
<file path=[Content_Types].xml><?xml version="1.0" encoding="utf-8"?>
<Types xmlns="http://schemas.openxmlformats.org/package/2006/content-types">
  <Override PartName="/xl/worksheets/sheet15.xml" ContentType="application/vnd.openxmlformats-officedocument.spreadsheetml.worksheet+xml"/>
  <Override PartName="/xl/worksheets/sheet16.xml" ContentType="application/vnd.openxmlformats-officedocument.spreadsheetml.worksheet+xml"/>
  <Default Extension="bin" ContentType="application/vnd.openxmlformats-officedocument.spreadsheetml.printerSettings"/>
  <Override PartName="/xl/worksheets/sheet9.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6.xml" ContentType="application/vnd.openxmlformats-officedocument.spreadsheetml.externalLink+xml"/>
  <Override PartName="/xl/externalLinks/externalLink7.xml" ContentType="application/vnd.openxmlformats-officedocument.spreadsheetml.externalLink+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xl/worksheets/sheet10.xml" ContentType="application/vnd.openxmlformats-officedocument.spreadsheetml.worksheet+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drawings/drawing1.xml" ContentType="application/vnd.openxmlformats-officedocument.drawing+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11.xml" ContentType="application/vnd.openxmlformats-officedocument.spreadsheetml.externalLink+xml"/>
  <Override PartName="/xl/calcChain.xml" ContentType="application/vnd.openxmlformats-officedocument.spreadsheetml.calcChain+xml"/>
  <Override PartName="/xl/worksheets/sheet19.xml" ContentType="application/vnd.openxmlformats-officedocument.spreadsheetml.worksheet+xml"/>
  <Override PartName="/xl/externalLinks/externalLink10.xml" ContentType="application/vnd.openxmlformats-officedocument.spreadsheetml.externalLink+xml"/>
  <Override PartName="/xl/sharedStrings.xml" ContentType="application/vnd.openxmlformats-officedocument.spreadsheetml.sharedStrings+xml"/>
  <Override PartName="/xl/worksheets/sheet17.xml" ContentType="application/vnd.openxmlformats-officedocument.spreadsheetml.worksheet+xml"/>
  <Override PartName="/xl/worksheets/sheet18.xml" ContentType="application/vnd.openxmlformats-officedocument.spreadsheetml.worksheet+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defaultThemeVersion="124226"/>
  <bookViews>
    <workbookView xWindow="0" yWindow="120" windowWidth="15195" windowHeight="8700" tabRatio="727" firstSheet="3" activeTab="7"/>
  </bookViews>
  <sheets>
    <sheet name="Hướng dẫn" sheetId="52" r:id="rId1"/>
    <sheet name="TEN HOC PHAN HKI" sheetId="50" r:id="rId2"/>
    <sheet name="LOP-MON" sheetId="49" state="hidden" r:id="rId3"/>
    <sheet name="DS LOP HKI" sheetId="34" r:id="rId4"/>
    <sheet name="TK NỢ HP" sheetId="51" r:id="rId5"/>
    <sheet name="NH13-14" sheetId="56" r:id="rId6"/>
    <sheet name="TICH LUY" sheetId="57" state="hidden" r:id="rId7"/>
    <sheet name="HKI" sheetId="1" r:id="rId8"/>
    <sheet name="LT01" sheetId="36" r:id="rId9"/>
    <sheet name="LT02" sheetId="37" r:id="rId10"/>
    <sheet name="LT03" sheetId="38" r:id="rId11"/>
    <sheet name="LT04" sheetId="39" r:id="rId12"/>
    <sheet name="LT05" sheetId="40" r:id="rId13"/>
    <sheet name="LT06" sheetId="41" r:id="rId14"/>
    <sheet name="LT07" sheetId="42" r:id="rId15"/>
    <sheet name="LT08" sheetId="43" r:id="rId16"/>
    <sheet name="LT09" sheetId="55" r:id="rId17"/>
    <sheet name="TH01" sheetId="53" r:id="rId18"/>
    <sheet name="TH02" sheetId="54"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s>
  <definedNames>
    <definedName name="\0">'[1]PNT-QUOT-#3'!#REF!</definedName>
    <definedName name="\d">'[2]??-BLDG'!#REF!</definedName>
    <definedName name="\e">'[2]??-BLDG'!#REF!</definedName>
    <definedName name="\f">'[2]??-BLDG'!#REF!</definedName>
    <definedName name="\g">'[2]??-BLDG'!#REF!</definedName>
    <definedName name="\h">'[2]??-BLDG'!#REF!</definedName>
    <definedName name="\i">'[2]??-BLDG'!#REF!</definedName>
    <definedName name="\j">'[2]??-BLDG'!#REF!</definedName>
    <definedName name="\k">'[2]??-BLDG'!#REF!</definedName>
    <definedName name="\l">'[2]??-BLDG'!#REF!</definedName>
    <definedName name="\m">'[2]??-BLDG'!#REF!</definedName>
    <definedName name="\n">'[2]??-BLDG'!#REF!</definedName>
    <definedName name="\o">'[2]??-BLDG'!#REF!</definedName>
    <definedName name="\z">'[1]COAT&amp;WRAP-QIOT-#3'!#REF!</definedName>
    <definedName name="_1">#N/A</definedName>
    <definedName name="_1000A01">#N/A</definedName>
    <definedName name="_2">#N/A</definedName>
    <definedName name="_A65700">'[3]MTO REV.2(ARMOR)'!#REF!</definedName>
    <definedName name="_A65800">'[3]MTO REV.2(ARMOR)'!#REF!</definedName>
    <definedName name="_A66000">'[3]MTO REV.2(ARMOR)'!#REF!</definedName>
    <definedName name="_A67000">'[3]MTO REV.2(ARMOR)'!#REF!</definedName>
    <definedName name="_A68000">'[3]MTO REV.2(ARMOR)'!#REF!</definedName>
    <definedName name="_A70000">'[3]MTO REV.2(ARMOR)'!#REF!</definedName>
    <definedName name="_A75000">'[3]MTO REV.2(ARMOR)'!#REF!</definedName>
    <definedName name="_A85000">'[3]MTO REV.2(ARMOR)'!#REF!</definedName>
    <definedName name="_CON1">#REF!</definedName>
    <definedName name="_CON2">#REF!</definedName>
    <definedName name="_Fill" hidden="1">#REF!</definedName>
    <definedName name="_xlnm._FilterDatabase" localSheetId="3" hidden="1">'DS LOP HKI'!$A$1:$F$944</definedName>
    <definedName name="_xlnm._FilterDatabase" localSheetId="7" hidden="1">HKI!$A$6:$ET$75</definedName>
    <definedName name="_xlnm._FilterDatabase" localSheetId="8" hidden="1">'LT01'!$A$9:$O$10</definedName>
    <definedName name="_xlnm._FilterDatabase" localSheetId="9" hidden="1">'LT02'!$A$9:$O$10</definedName>
    <definedName name="_Key1" hidden="1">#REF!</definedName>
    <definedName name="_Key2" hidden="1">#REF!</definedName>
    <definedName name="_NET2">#REF!</definedName>
    <definedName name="_Order1" hidden="1">255</definedName>
    <definedName name="_Order2" hidden="1">255</definedName>
    <definedName name="_Sort" hidden="1">#REF!</definedName>
    <definedName name="A">'[1]PNT-QUOT-#3'!#REF!</definedName>
    <definedName name="A01_">#N/A</definedName>
    <definedName name="A01AC">#N/A</definedName>
    <definedName name="A01CAT">#N/A</definedName>
    <definedName name="A01CODE">#N/A</definedName>
    <definedName name="A01DATA">#N/A</definedName>
    <definedName name="A01MI">#N/A</definedName>
    <definedName name="A01TO">#N/A</definedName>
    <definedName name="A60000.">#REF!</definedName>
    <definedName name="AA">#REF!</definedName>
    <definedName name="AAA">'[4]MTL$-INTER'!#REF!</definedName>
    <definedName name="All_Item">#REF!</definedName>
    <definedName name="ALPIN">#N/A</definedName>
    <definedName name="ALPJYOU">#N/A</definedName>
    <definedName name="ALPTOI">#N/A</definedName>
    <definedName name="B">'[1]PNT-QUOT-#3'!#REF!</definedName>
    <definedName name="BB">#REF!</definedName>
    <definedName name="BOQ">#REF!</definedName>
    <definedName name="BVCISUMMARY">#REF!</definedName>
    <definedName name="CABLE2">'[5]MTO REV.0'!$A$1:$Q$570</definedName>
    <definedName name="Category_All">#REF!</definedName>
    <definedName name="CATIN">#N/A</definedName>
    <definedName name="CATJYOU">#N/A</definedName>
    <definedName name="CATREC">#N/A</definedName>
    <definedName name="CATSYU">#N/A</definedName>
    <definedName name="COAT">'[1]PNT-QUOT-#3'!#REF!</definedName>
    <definedName name="COMMON">#REF!</definedName>
    <definedName name="CON_EQP_COS">#REF!</definedName>
    <definedName name="CON_EQP_COST">#REF!</definedName>
    <definedName name="CONST_EQ">#REF!</definedName>
    <definedName name="COVER">#REF!</definedName>
    <definedName name="_xlnm.Criteria">[6]SILICATE!#REF!</definedName>
    <definedName name="CRITINST">#REF!</definedName>
    <definedName name="CRITPURC">#REF!</definedName>
    <definedName name="CS_10">#REF!</definedName>
    <definedName name="CS_100">#REF!</definedName>
    <definedName name="CS_10S">#REF!</definedName>
    <definedName name="CS_120">#REF!</definedName>
    <definedName name="CS_140">#REF!</definedName>
    <definedName name="CS_160">#REF!</definedName>
    <definedName name="CS_20">#REF!</definedName>
    <definedName name="CS_30">#REF!</definedName>
    <definedName name="CS_40">#REF!</definedName>
    <definedName name="CS_40S">#REF!</definedName>
    <definedName name="CS_5S">#REF!</definedName>
    <definedName name="CS_60">#REF!</definedName>
    <definedName name="CS_80">#REF!</definedName>
    <definedName name="CS_80S">#REF!</definedName>
    <definedName name="CS_STD">#REF!</definedName>
    <definedName name="CS_XS">#REF!</definedName>
    <definedName name="CS_XXS">#REF!</definedName>
    <definedName name="CURRENCY">#REF!</definedName>
    <definedName name="D_7101A_B">#REF!</definedName>
    <definedName name="danhsach">#REF!</definedName>
    <definedName name="_xlnm.Database">#REF!</definedName>
    <definedName name="DataFilter">[7]!DataFilter</definedName>
    <definedName name="DataSort">[7]!DataSort</definedName>
    <definedName name="DSUMDATA">#REF!</definedName>
    <definedName name="End_1">#REF!</definedName>
    <definedName name="End_10">#REF!</definedName>
    <definedName name="End_11">#REF!</definedName>
    <definedName name="End_12">#REF!</definedName>
    <definedName name="End_13">#REF!</definedName>
    <definedName name="End_2">#REF!</definedName>
    <definedName name="End_3">#REF!</definedName>
    <definedName name="End_4">#REF!</definedName>
    <definedName name="End_5">#REF!</definedName>
    <definedName name="End_6">#REF!</definedName>
    <definedName name="End_7">#REF!</definedName>
    <definedName name="End_8">#REF!</definedName>
    <definedName name="End_9">#REF!</definedName>
    <definedName name="_xlnm.Extract">[6]SILICATE!#REF!</definedName>
    <definedName name="FACTOR">#REF!</definedName>
    <definedName name="FP">'[1]COAT&amp;WRAP-QIOT-#3'!#REF!</definedName>
    <definedName name="GoBack">[7]Sheet1!GoBack</definedName>
    <definedName name="GPT_GROUNDING_PT">'[8]NEW-PANEL'!#REF!</definedName>
    <definedName name="HOME_MANP">#REF!</definedName>
    <definedName name="HOMEOFFICE_COST">#REF!</definedName>
    <definedName name="HTML_CodePage" hidden="1">950</definedName>
    <definedName name="HTML_Control" localSheetId="16" hidden="1">{"'Sheet1'!$L$16"}</definedName>
    <definedName name="HTML_Control" localSheetId="18" hidden="1">{"'Sheet1'!$L$16"}</definedName>
    <definedName name="HTML_Control" hidden="1">{"'Sheet1'!$L$16"}</definedName>
    <definedName name="HTML_Description" hidden="1">""</definedName>
    <definedName name="HTML_Email" hidden="1">""</definedName>
    <definedName name="HTML_Header" hidden="1">"Sheet1"</definedName>
    <definedName name="HTML_LastUpdate" hidden="1">"2000/9/14"</definedName>
    <definedName name="HTML_LineAfter" hidden="1">FALSE</definedName>
    <definedName name="HTML_LineBefore" hidden="1">FALSE</definedName>
    <definedName name="HTML_Name" hidden="1">"J.C.WONG"</definedName>
    <definedName name="HTML_OBDlg2" hidden="1">TRUE</definedName>
    <definedName name="HTML_OBDlg4" hidden="1">TRUE</definedName>
    <definedName name="HTML_OS" hidden="1">0</definedName>
    <definedName name="HTML_PathFile" hidden="1">"C:\2689\Q\國內\00q3961台化龍德PTA3建造\MyHTML.htm"</definedName>
    <definedName name="HTML_Title" hidden="1">"00Q3961-SUM"</definedName>
    <definedName name="IDLAB_COST">#REF!</definedName>
    <definedName name="IND_LAB">#REF!</definedName>
    <definedName name="INDMANP">#REF!</definedName>
    <definedName name="IO">'[1]COAT&amp;WRAP-QIOT-#3'!#REF!</definedName>
    <definedName name="MAJ_CON_EQP">#REF!</definedName>
    <definedName name="MAT">'[1]COAT&amp;WRAP-QIOT-#3'!#REF!</definedName>
    <definedName name="MF">'[1]COAT&amp;WRAP-QIOT-#3'!#REF!</definedName>
    <definedName name="MG_A">#REF!</definedName>
    <definedName name="NET">#REF!</definedName>
    <definedName name="NET_1">#REF!</definedName>
    <definedName name="NET_ANA">#REF!</definedName>
    <definedName name="NET_ANA_1">#REF!</definedName>
    <definedName name="NET_ANA_2">#REF!</definedName>
    <definedName name="OTHER_PANEL">'[8]NEW-PANEL'!#REF!</definedName>
    <definedName name="P">'[1]PNT-QUOT-#3'!#REF!</definedName>
    <definedName name="PEJM">'[1]COAT&amp;WRAP-QIOT-#3'!#REF!</definedName>
    <definedName name="PF">'[1]PNT-QUOT-#3'!#REF!</definedName>
    <definedName name="PL_指示燈___P.B.___REST_P.B._壓扣開關">'[8]NEW-PANEL'!#REF!</definedName>
    <definedName name="PM">[9]IBASE!$AH$16:$AV$110</definedName>
    <definedName name="PRICE">#REF!</definedName>
    <definedName name="PRICE1">#REF!</definedName>
    <definedName name="_xlnm.Print_Area">#REF!</definedName>
    <definedName name="Print_Area_MI">[10]ESTI.!$A$1:$U$52</definedName>
    <definedName name="_xlnm.Print_Titles" localSheetId="8">'LT01'!$8:$10</definedName>
    <definedName name="_xlnm.Print_Titles" localSheetId="17">'TH01'!$8:$10</definedName>
    <definedName name="_xlnm.Print_Titles" localSheetId="18">'TH02'!$8:$10</definedName>
    <definedName name="_xlnm.Print_Titles">#REF!</definedName>
    <definedName name="Print_Titles_MI">#REF!</definedName>
    <definedName name="PRINTA">#REF!</definedName>
    <definedName name="PRINTB">#REF!</definedName>
    <definedName name="PRINTC">#REF!</definedName>
    <definedName name="PROPOSAL">#REF!</definedName>
    <definedName name="RECOUT">#N/A</definedName>
    <definedName name="RFP003A">#REF!</definedName>
    <definedName name="RFP003B">#REF!</definedName>
    <definedName name="RFP003C">#REF!</definedName>
    <definedName name="RFP003D">#REF!</definedName>
    <definedName name="RFP003E">#REF!</definedName>
    <definedName name="RFP003F">#REF!</definedName>
    <definedName name="RT">'[1]COAT&amp;WRAP-QIOT-#3'!#REF!</definedName>
    <definedName name="SB">[9]IBASE!$AH$7:$AL$14</definedName>
    <definedName name="SCH">#REF!</definedName>
    <definedName name="SIZE">#REF!</definedName>
    <definedName name="SORT">#REF!</definedName>
    <definedName name="SORT_AREA">'[10]DI-ESTI'!$A$8:$R$489</definedName>
    <definedName name="SP">'[1]PNT-QUOT-#3'!#REF!</definedName>
    <definedName name="SPEC">#REF!</definedName>
    <definedName name="SPECSUMMARY">#REF!</definedName>
    <definedName name="Start_1">#REF!</definedName>
    <definedName name="Start_10">#REF!</definedName>
    <definedName name="Start_11">#REF!</definedName>
    <definedName name="Start_12">#REF!</definedName>
    <definedName name="Start_13">#REF!</definedName>
    <definedName name="Start_2">#REF!</definedName>
    <definedName name="Start_3">#REF!</definedName>
    <definedName name="Start_4">#REF!</definedName>
    <definedName name="Start_5">#REF!</definedName>
    <definedName name="Start_6">#REF!</definedName>
    <definedName name="Start_7">#REF!</definedName>
    <definedName name="Start_8">#REF!</definedName>
    <definedName name="Start_9">#REF!</definedName>
    <definedName name="SUMMARY">#REF!</definedName>
    <definedName name="THI">#REF!</definedName>
    <definedName name="THK">'[1]COAT&amp;WRAP-QIOT-#3'!#REF!</definedName>
    <definedName name="TITAN">#REF!</definedName>
    <definedName name="TPLRP">#REF!</definedName>
    <definedName name="TRADE2">#REF!</definedName>
    <definedName name="TRANSFORMER">'[8]NEW-PANEL'!#REF!</definedName>
    <definedName name="VARIINST">#REF!</definedName>
    <definedName name="VARIPURC">#REF!</definedName>
    <definedName name="W">#REF!</definedName>
    <definedName name="X">#REF!</definedName>
    <definedName name="ZYX">#REF!</definedName>
    <definedName name="ZZZ">#REF!</definedName>
  </definedNames>
  <calcPr calcId="124519"/>
</workbook>
</file>

<file path=xl/calcChain.xml><?xml version="1.0" encoding="utf-8"?>
<calcChain xmlns="http://schemas.openxmlformats.org/spreadsheetml/2006/main">
  <c r="E114" i="56"/>
  <c r="D114"/>
  <c r="E113"/>
  <c r="D113"/>
  <c r="E112"/>
  <c r="D112"/>
  <c r="E111"/>
  <c r="D111"/>
  <c r="E110"/>
  <c r="D110"/>
  <c r="E109"/>
  <c r="D109"/>
  <c r="D3" i="1"/>
  <c r="B11" i="57"/>
  <c r="DG81" i="1" s="1"/>
  <c r="B12" i="57"/>
  <c r="B13"/>
  <c r="B14"/>
  <c r="B15"/>
  <c r="B16"/>
  <c r="B17"/>
  <c r="B18"/>
  <c r="B19"/>
  <c r="B20"/>
  <c r="B21"/>
  <c r="B22"/>
  <c r="B23"/>
  <c r="B24"/>
  <c r="B25"/>
  <c r="B26"/>
  <c r="B27"/>
  <c r="B28"/>
  <c r="B29"/>
  <c r="B30"/>
  <c r="B31"/>
  <c r="B32"/>
  <c r="B33"/>
  <c r="B34"/>
  <c r="B35"/>
  <c r="B36"/>
  <c r="B37"/>
  <c r="B38"/>
  <c r="B39"/>
  <c r="B40"/>
  <c r="B41"/>
  <c r="B42"/>
  <c r="B43"/>
  <c r="B44"/>
  <c r="B45"/>
  <c r="B46"/>
  <c r="B47"/>
  <c r="B48"/>
  <c r="B49"/>
  <c r="B50"/>
  <c r="B51"/>
  <c r="B52"/>
  <c r="B53"/>
  <c r="B54"/>
  <c r="D54" s="1"/>
  <c r="B55"/>
  <c r="B56"/>
  <c r="C56" s="1"/>
  <c r="B57"/>
  <c r="B58"/>
  <c r="C58" s="1"/>
  <c r="B59"/>
  <c r="D59" s="1"/>
  <c r="B60"/>
  <c r="C60" s="1"/>
  <c r="B61"/>
  <c r="B62"/>
  <c r="C62" s="1"/>
  <c r="B63"/>
  <c r="C63" s="1"/>
  <c r="B64"/>
  <c r="D64" s="1"/>
  <c r="B65"/>
  <c r="B66"/>
  <c r="D66" s="1"/>
  <c r="B67"/>
  <c r="D67" s="1"/>
  <c r="B68"/>
  <c r="C68" s="1"/>
  <c r="B69"/>
  <c r="B70"/>
  <c r="C70" s="1"/>
  <c r="B71"/>
  <c r="C71" s="1"/>
  <c r="B72"/>
  <c r="D72" s="1"/>
  <c r="B73"/>
  <c r="B74"/>
  <c r="D74" s="1"/>
  <c r="B75"/>
  <c r="D75" s="1"/>
  <c r="B76"/>
  <c r="D76" s="1"/>
  <c r="B77"/>
  <c r="B78"/>
  <c r="D78" s="1"/>
  <c r="B79"/>
  <c r="D79" s="1"/>
  <c r="B80"/>
  <c r="C80" s="1"/>
  <c r="B81"/>
  <c r="B82"/>
  <c r="D82" s="1"/>
  <c r="B83"/>
  <c r="C83" s="1"/>
  <c r="B84"/>
  <c r="B85"/>
  <c r="G59"/>
  <c r="BC59" s="1"/>
  <c r="H59"/>
  <c r="I59"/>
  <c r="BE59" s="1"/>
  <c r="J59"/>
  <c r="BF59"/>
  <c r="K59"/>
  <c r="L59"/>
  <c r="BH59" s="1"/>
  <c r="M59"/>
  <c r="BI59"/>
  <c r="N59"/>
  <c r="BJ59" s="1"/>
  <c r="O59"/>
  <c r="BK59" s="1"/>
  <c r="P59"/>
  <c r="Q59"/>
  <c r="BM59" s="1"/>
  <c r="R59"/>
  <c r="BN59" s="1"/>
  <c r="S59"/>
  <c r="BO59" s="1"/>
  <c r="T59"/>
  <c r="BP59" s="1"/>
  <c r="U59"/>
  <c r="BQ59" s="1"/>
  <c r="V59"/>
  <c r="BR59" s="1"/>
  <c r="W59"/>
  <c r="BS59" s="1"/>
  <c r="X59"/>
  <c r="Y59"/>
  <c r="BU59" s="1"/>
  <c r="Z59"/>
  <c r="BV59" s="1"/>
  <c r="AA59"/>
  <c r="BW59" s="1"/>
  <c r="AB59"/>
  <c r="BX59" s="1"/>
  <c r="AC59"/>
  <c r="BY59" s="1"/>
  <c r="G60"/>
  <c r="BC60" s="1"/>
  <c r="H60"/>
  <c r="BD60" s="1"/>
  <c r="I60"/>
  <c r="BE60" s="1"/>
  <c r="J60"/>
  <c r="AH60" s="1"/>
  <c r="K60"/>
  <c r="BG60" s="1"/>
  <c r="L60"/>
  <c r="BH60" s="1"/>
  <c r="M60"/>
  <c r="BI60" s="1"/>
  <c r="N60"/>
  <c r="BJ60" s="1"/>
  <c r="O60"/>
  <c r="BK60" s="1"/>
  <c r="P60"/>
  <c r="BL60" s="1"/>
  <c r="Q60"/>
  <c r="BM60" s="1"/>
  <c r="R60"/>
  <c r="AP60" s="1"/>
  <c r="S60"/>
  <c r="BO60" s="1"/>
  <c r="T60"/>
  <c r="BP60" s="1"/>
  <c r="U60"/>
  <c r="BQ60" s="1"/>
  <c r="V60"/>
  <c r="BR60" s="1"/>
  <c r="W60"/>
  <c r="BS60" s="1"/>
  <c r="X60"/>
  <c r="BT60" s="1"/>
  <c r="Y60"/>
  <c r="BU60" s="1"/>
  <c r="Z60"/>
  <c r="BV60"/>
  <c r="AA60"/>
  <c r="BW60" s="1"/>
  <c r="AB60"/>
  <c r="BX60" s="1"/>
  <c r="AC60"/>
  <c r="BY60"/>
  <c r="G61"/>
  <c r="BC61" s="1"/>
  <c r="H61"/>
  <c r="BD61" s="1"/>
  <c r="I61"/>
  <c r="BE61" s="1"/>
  <c r="J61"/>
  <c r="BF61" s="1"/>
  <c r="K61"/>
  <c r="BG61" s="1"/>
  <c r="L61"/>
  <c r="BH61" s="1"/>
  <c r="M61"/>
  <c r="BI61" s="1"/>
  <c r="N61"/>
  <c r="BJ61" s="1"/>
  <c r="O61"/>
  <c r="BK61" s="1"/>
  <c r="P61"/>
  <c r="BL61" s="1"/>
  <c r="Q61"/>
  <c r="R61"/>
  <c r="BN61" s="1"/>
  <c r="S61"/>
  <c r="BO61" s="1"/>
  <c r="T61"/>
  <c r="BP61" s="1"/>
  <c r="U61"/>
  <c r="V61"/>
  <c r="BR61" s="1"/>
  <c r="W61"/>
  <c r="BS61" s="1"/>
  <c r="X61"/>
  <c r="BT61"/>
  <c r="Y61"/>
  <c r="BU61" s="1"/>
  <c r="Z61"/>
  <c r="BV61" s="1"/>
  <c r="AA61"/>
  <c r="BW61" s="1"/>
  <c r="AB61"/>
  <c r="BX61" s="1"/>
  <c r="AC61"/>
  <c r="G62"/>
  <c r="BC62" s="1"/>
  <c r="H62"/>
  <c r="BD62" s="1"/>
  <c r="I62"/>
  <c r="BE62" s="1"/>
  <c r="J62"/>
  <c r="K62"/>
  <c r="BG62" s="1"/>
  <c r="L62"/>
  <c r="BH62" s="1"/>
  <c r="M62"/>
  <c r="BI62" s="1"/>
  <c r="N62"/>
  <c r="BJ62" s="1"/>
  <c r="O62"/>
  <c r="BK62" s="1"/>
  <c r="P62"/>
  <c r="BL62" s="1"/>
  <c r="Q62"/>
  <c r="BM62" s="1"/>
  <c r="R62"/>
  <c r="BN62" s="1"/>
  <c r="S62"/>
  <c r="BO62"/>
  <c r="T62"/>
  <c r="BP62" s="1"/>
  <c r="U62"/>
  <c r="BQ62" s="1"/>
  <c r="V62"/>
  <c r="BR62" s="1"/>
  <c r="W62"/>
  <c r="BS62" s="1"/>
  <c r="X62"/>
  <c r="BT62" s="1"/>
  <c r="Y62"/>
  <c r="BU62" s="1"/>
  <c r="Z62"/>
  <c r="BV62" s="1"/>
  <c r="AA62"/>
  <c r="BW62" s="1"/>
  <c r="AB62"/>
  <c r="BX62" s="1"/>
  <c r="AC62"/>
  <c r="BY62" s="1"/>
  <c r="G63"/>
  <c r="BC63" s="1"/>
  <c r="H63"/>
  <c r="BD63" s="1"/>
  <c r="I63"/>
  <c r="BE63" s="1"/>
  <c r="J63"/>
  <c r="BF63" s="1"/>
  <c r="K63"/>
  <c r="BG63" s="1"/>
  <c r="L63"/>
  <c r="BH63" s="1"/>
  <c r="M63"/>
  <c r="BI63" s="1"/>
  <c r="N63"/>
  <c r="BJ63" s="1"/>
  <c r="O63"/>
  <c r="BK63" s="1"/>
  <c r="P63"/>
  <c r="BL63" s="1"/>
  <c r="Q63"/>
  <c r="BM63" s="1"/>
  <c r="R63"/>
  <c r="BN63" s="1"/>
  <c r="S63"/>
  <c r="BO63" s="1"/>
  <c r="T63"/>
  <c r="BP63" s="1"/>
  <c r="U63"/>
  <c r="BQ63" s="1"/>
  <c r="V63"/>
  <c r="BR63" s="1"/>
  <c r="W63"/>
  <c r="BS63"/>
  <c r="X63"/>
  <c r="BT63" s="1"/>
  <c r="Y63"/>
  <c r="BU63" s="1"/>
  <c r="Z63"/>
  <c r="BV63" s="1"/>
  <c r="AA63"/>
  <c r="BW63"/>
  <c r="AB63"/>
  <c r="BX63" s="1"/>
  <c r="AC63"/>
  <c r="BY63" s="1"/>
  <c r="G64"/>
  <c r="BC64" s="1"/>
  <c r="H64"/>
  <c r="BD64" s="1"/>
  <c r="I64"/>
  <c r="BE64" s="1"/>
  <c r="J64"/>
  <c r="BF64" s="1"/>
  <c r="K64"/>
  <c r="BG64" s="1"/>
  <c r="L64"/>
  <c r="M64"/>
  <c r="BI64" s="1"/>
  <c r="N64"/>
  <c r="BJ64" s="1"/>
  <c r="O64"/>
  <c r="BK64" s="1"/>
  <c r="P64"/>
  <c r="BL64" s="1"/>
  <c r="Q64"/>
  <c r="BM64" s="1"/>
  <c r="R64"/>
  <c r="BN64"/>
  <c r="S64"/>
  <c r="T64"/>
  <c r="U64"/>
  <c r="BQ64" s="1"/>
  <c r="V64"/>
  <c r="BR64"/>
  <c r="W64"/>
  <c r="BS64" s="1"/>
  <c r="X64"/>
  <c r="BT64" s="1"/>
  <c r="Y64"/>
  <c r="BU64" s="1"/>
  <c r="Z64"/>
  <c r="BV64" s="1"/>
  <c r="AA64"/>
  <c r="BW64" s="1"/>
  <c r="AB64"/>
  <c r="AC64"/>
  <c r="G65"/>
  <c r="BC65" s="1"/>
  <c r="H65"/>
  <c r="BD65" s="1"/>
  <c r="I65"/>
  <c r="BE65" s="1"/>
  <c r="J65"/>
  <c r="BF65" s="1"/>
  <c r="K65"/>
  <c r="BG65" s="1"/>
  <c r="L65"/>
  <c r="BH65" s="1"/>
  <c r="M65"/>
  <c r="BI65" s="1"/>
  <c r="N65"/>
  <c r="BJ65" s="1"/>
  <c r="O65"/>
  <c r="BK65" s="1"/>
  <c r="P65"/>
  <c r="BL65" s="1"/>
  <c r="Q65"/>
  <c r="BM65" s="1"/>
  <c r="R65"/>
  <c r="BN65" s="1"/>
  <c r="S65"/>
  <c r="BO65" s="1"/>
  <c r="T65"/>
  <c r="BP65" s="1"/>
  <c r="U65"/>
  <c r="BQ65"/>
  <c r="V65"/>
  <c r="BR65" s="1"/>
  <c r="W65"/>
  <c r="BS65" s="1"/>
  <c r="X65"/>
  <c r="BT65"/>
  <c r="Y65"/>
  <c r="Z65"/>
  <c r="BV65" s="1"/>
  <c r="AA65"/>
  <c r="BW65" s="1"/>
  <c r="AB65"/>
  <c r="BX65"/>
  <c r="AC65"/>
  <c r="Q43" i="40"/>
  <c r="G66" i="57"/>
  <c r="BC66"/>
  <c r="H66"/>
  <c r="BD66" s="1"/>
  <c r="I66"/>
  <c r="BE66" s="1"/>
  <c r="J66"/>
  <c r="BF66" s="1"/>
  <c r="K66"/>
  <c r="AI66" s="1"/>
  <c r="L66"/>
  <c r="BH66" s="1"/>
  <c r="M66"/>
  <c r="BI66"/>
  <c r="N66"/>
  <c r="O66"/>
  <c r="BK66" s="1"/>
  <c r="P66"/>
  <c r="BL66" s="1"/>
  <c r="Q66"/>
  <c r="BM66" s="1"/>
  <c r="R66"/>
  <c r="BN66" s="1"/>
  <c r="S66"/>
  <c r="BO66" s="1"/>
  <c r="T66"/>
  <c r="BP66" s="1"/>
  <c r="U66"/>
  <c r="BQ66" s="1"/>
  <c r="V66"/>
  <c r="W66"/>
  <c r="BS66"/>
  <c r="X66"/>
  <c r="BT66" s="1"/>
  <c r="Y66"/>
  <c r="BU66" s="1"/>
  <c r="Z66"/>
  <c r="BV66" s="1"/>
  <c r="AA66"/>
  <c r="BW66" s="1"/>
  <c r="AB66"/>
  <c r="BX66" s="1"/>
  <c r="AC66"/>
  <c r="BY66" s="1"/>
  <c r="Q44" i="40"/>
  <c r="G67" i="57"/>
  <c r="BC67" s="1"/>
  <c r="H67"/>
  <c r="BD67" s="1"/>
  <c r="I67"/>
  <c r="BE67" s="1"/>
  <c r="J67"/>
  <c r="BF67" s="1"/>
  <c r="K67"/>
  <c r="BG67" s="1"/>
  <c r="L67"/>
  <c r="M67"/>
  <c r="BI67" s="1"/>
  <c r="N67"/>
  <c r="BJ67" s="1"/>
  <c r="O67"/>
  <c r="BK67" s="1"/>
  <c r="P67"/>
  <c r="BL67" s="1"/>
  <c r="Q67"/>
  <c r="BM67" s="1"/>
  <c r="R67"/>
  <c r="BN67" s="1"/>
  <c r="S67"/>
  <c r="BO67" s="1"/>
  <c r="T67"/>
  <c r="U67"/>
  <c r="BQ67" s="1"/>
  <c r="V67"/>
  <c r="BR67" s="1"/>
  <c r="W67"/>
  <c r="BS67" s="1"/>
  <c r="X67"/>
  <c r="BT67" s="1"/>
  <c r="Y67"/>
  <c r="BU67" s="1"/>
  <c r="Z67"/>
  <c r="BV67" s="1"/>
  <c r="AA67"/>
  <c r="BW67" s="1"/>
  <c r="AB67"/>
  <c r="AC67"/>
  <c r="BY67" s="1"/>
  <c r="G68"/>
  <c r="BC68" s="1"/>
  <c r="H68"/>
  <c r="BD68" s="1"/>
  <c r="I68"/>
  <c r="BE68" s="1"/>
  <c r="J68"/>
  <c r="BF68"/>
  <c r="K68"/>
  <c r="BG68" s="1"/>
  <c r="L68"/>
  <c r="BH68" s="1"/>
  <c r="M68"/>
  <c r="BI68" s="1"/>
  <c r="N68"/>
  <c r="BJ68" s="1"/>
  <c r="O68"/>
  <c r="BK68" s="1"/>
  <c r="P68"/>
  <c r="BL68" s="1"/>
  <c r="Q68"/>
  <c r="BM68" s="1"/>
  <c r="R68"/>
  <c r="BN68"/>
  <c r="S68"/>
  <c r="BO68" s="1"/>
  <c r="T68"/>
  <c r="BP68" s="1"/>
  <c r="U68"/>
  <c r="BQ68" s="1"/>
  <c r="V68"/>
  <c r="BR68" s="1"/>
  <c r="W68"/>
  <c r="BS68" s="1"/>
  <c r="X68"/>
  <c r="BT68" s="1"/>
  <c r="Y68"/>
  <c r="BU68" s="1"/>
  <c r="Z68"/>
  <c r="BV68" s="1"/>
  <c r="AA68"/>
  <c r="BW68" s="1"/>
  <c r="AB68"/>
  <c r="BX68" s="1"/>
  <c r="AC68"/>
  <c r="BY68" s="1"/>
  <c r="G69"/>
  <c r="BC69" s="1"/>
  <c r="H69"/>
  <c r="BD69" s="1"/>
  <c r="I69"/>
  <c r="J69"/>
  <c r="K69"/>
  <c r="AI69" s="1"/>
  <c r="L69"/>
  <c r="BH69" s="1"/>
  <c r="M69"/>
  <c r="BI69" s="1"/>
  <c r="N69"/>
  <c r="BJ69" s="1"/>
  <c r="O69"/>
  <c r="BK69" s="1"/>
  <c r="P69"/>
  <c r="BL69" s="1"/>
  <c r="Q69"/>
  <c r="R69"/>
  <c r="S69"/>
  <c r="BO69" s="1"/>
  <c r="T69"/>
  <c r="BP69" s="1"/>
  <c r="U69"/>
  <c r="BQ69" s="1"/>
  <c r="V69"/>
  <c r="BR69" s="1"/>
  <c r="W69"/>
  <c r="BS69" s="1"/>
  <c r="X69"/>
  <c r="BT69" s="1"/>
  <c r="Y69"/>
  <c r="Z69"/>
  <c r="AA69"/>
  <c r="BW69" s="1"/>
  <c r="AB69"/>
  <c r="BX69" s="1"/>
  <c r="AC69"/>
  <c r="G70"/>
  <c r="BC70" s="1"/>
  <c r="H70"/>
  <c r="BD70" s="1"/>
  <c r="I70"/>
  <c r="BE70" s="1"/>
  <c r="J70"/>
  <c r="BF70" s="1"/>
  <c r="K70"/>
  <c r="BG70" s="1"/>
  <c r="L70"/>
  <c r="BH70" s="1"/>
  <c r="M70"/>
  <c r="BI70" s="1"/>
  <c r="N70"/>
  <c r="BJ70" s="1"/>
  <c r="O70"/>
  <c r="AM70" s="1"/>
  <c r="P70"/>
  <c r="BL70" s="1"/>
  <c r="Q70"/>
  <c r="BM70"/>
  <c r="R70"/>
  <c r="BN70" s="1"/>
  <c r="S70"/>
  <c r="BO70" s="1"/>
  <c r="T70"/>
  <c r="BP70" s="1"/>
  <c r="U70"/>
  <c r="BQ70" s="1"/>
  <c r="V70"/>
  <c r="BR70" s="1"/>
  <c r="W70"/>
  <c r="BS70" s="1"/>
  <c r="X70"/>
  <c r="BT70" s="1"/>
  <c r="Y70"/>
  <c r="BU70" s="1"/>
  <c r="Z70"/>
  <c r="BV70" s="1"/>
  <c r="AA70"/>
  <c r="BW70" s="1"/>
  <c r="AB70"/>
  <c r="BX70" s="1"/>
  <c r="AC70"/>
  <c r="BY70" s="1"/>
  <c r="G71"/>
  <c r="BC71" s="1"/>
  <c r="H71"/>
  <c r="BD71" s="1"/>
  <c r="I71"/>
  <c r="BE71" s="1"/>
  <c r="J71"/>
  <c r="BF71" s="1"/>
  <c r="K71"/>
  <c r="BG71" s="1"/>
  <c r="L71"/>
  <c r="M71"/>
  <c r="BI71" s="1"/>
  <c r="N71"/>
  <c r="BJ71" s="1"/>
  <c r="O71"/>
  <c r="BK71" s="1"/>
  <c r="P71"/>
  <c r="BL71" s="1"/>
  <c r="Q71"/>
  <c r="BM71" s="1"/>
  <c r="R71"/>
  <c r="BN71" s="1"/>
  <c r="S71"/>
  <c r="BO71" s="1"/>
  <c r="T71"/>
  <c r="U71"/>
  <c r="BQ71" s="1"/>
  <c r="V71"/>
  <c r="BR71" s="1"/>
  <c r="W71"/>
  <c r="BS71" s="1"/>
  <c r="X71"/>
  <c r="BT71" s="1"/>
  <c r="Y71"/>
  <c r="BU71" s="1"/>
  <c r="Z71"/>
  <c r="BV71" s="1"/>
  <c r="AA71"/>
  <c r="BW71" s="1"/>
  <c r="AB71"/>
  <c r="AC71"/>
  <c r="BY71" s="1"/>
  <c r="G72"/>
  <c r="BC72" s="1"/>
  <c r="H72"/>
  <c r="BD72" s="1"/>
  <c r="I72"/>
  <c r="BE72" s="1"/>
  <c r="J72"/>
  <c r="BF72" s="1"/>
  <c r="K72"/>
  <c r="BG72" s="1"/>
  <c r="L72"/>
  <c r="BH72" s="1"/>
  <c r="M72"/>
  <c r="BI72" s="1"/>
  <c r="N72"/>
  <c r="BJ72" s="1"/>
  <c r="O72"/>
  <c r="BK72" s="1"/>
  <c r="P72"/>
  <c r="BL72" s="1"/>
  <c r="Q72"/>
  <c r="BM72" s="1"/>
  <c r="R72"/>
  <c r="BN72" s="1"/>
  <c r="S72"/>
  <c r="BO72" s="1"/>
  <c r="T72"/>
  <c r="BP72" s="1"/>
  <c r="U72"/>
  <c r="BQ72"/>
  <c r="V72"/>
  <c r="BR72" s="1"/>
  <c r="W72"/>
  <c r="BS72" s="1"/>
  <c r="X72"/>
  <c r="BT72"/>
  <c r="Y72"/>
  <c r="BU72" s="1"/>
  <c r="Z72"/>
  <c r="BV72"/>
  <c r="AA72"/>
  <c r="BW72" s="1"/>
  <c r="AB72"/>
  <c r="BX72" s="1"/>
  <c r="AC72"/>
  <c r="BY72" s="1"/>
  <c r="G73"/>
  <c r="BC73" s="1"/>
  <c r="H73"/>
  <c r="BD73" s="1"/>
  <c r="I73"/>
  <c r="BE73" s="1"/>
  <c r="J73"/>
  <c r="BF73" s="1"/>
  <c r="K73"/>
  <c r="BG73" s="1"/>
  <c r="L73"/>
  <c r="BH73" s="1"/>
  <c r="M73"/>
  <c r="BI73" s="1"/>
  <c r="N73"/>
  <c r="O73"/>
  <c r="BK73" s="1"/>
  <c r="P73"/>
  <c r="BL73" s="1"/>
  <c r="Q73"/>
  <c r="BM73" s="1"/>
  <c r="R73"/>
  <c r="BN73" s="1"/>
  <c r="S73"/>
  <c r="BO73" s="1"/>
  <c r="T73"/>
  <c r="BP73" s="1"/>
  <c r="U73"/>
  <c r="BQ73" s="1"/>
  <c r="V73"/>
  <c r="BR73"/>
  <c r="W73"/>
  <c r="BS73" s="1"/>
  <c r="X73"/>
  <c r="BT73" s="1"/>
  <c r="Y73"/>
  <c r="BU73" s="1"/>
  <c r="Z73"/>
  <c r="BV73" s="1"/>
  <c r="AA73"/>
  <c r="BW73" s="1"/>
  <c r="AB73"/>
  <c r="BX73"/>
  <c r="AC73"/>
  <c r="BA73" s="1"/>
  <c r="G74"/>
  <c r="BC74" s="1"/>
  <c r="H74"/>
  <c r="AF74" s="1"/>
  <c r="I74"/>
  <c r="BE74" s="1"/>
  <c r="J74"/>
  <c r="BF74" s="1"/>
  <c r="K74"/>
  <c r="BG74" s="1"/>
  <c r="L74"/>
  <c r="BH74" s="1"/>
  <c r="M74"/>
  <c r="BI74" s="1"/>
  <c r="N74"/>
  <c r="BJ74" s="1"/>
  <c r="O74"/>
  <c r="BK74" s="1"/>
  <c r="P74"/>
  <c r="BL74" s="1"/>
  <c r="Q74"/>
  <c r="AO74" s="1"/>
  <c r="R74"/>
  <c r="BN74" s="1"/>
  <c r="S74"/>
  <c r="BO74" s="1"/>
  <c r="T74"/>
  <c r="BP74" s="1"/>
  <c r="U74"/>
  <c r="BQ74" s="1"/>
  <c r="V74"/>
  <c r="BR74" s="1"/>
  <c r="W74"/>
  <c r="BS74" s="1"/>
  <c r="X74"/>
  <c r="BT74" s="1"/>
  <c r="Y74"/>
  <c r="BU74" s="1"/>
  <c r="Z74"/>
  <c r="BV74" s="1"/>
  <c r="AA74"/>
  <c r="BW74" s="1"/>
  <c r="AB74"/>
  <c r="BX74" s="1"/>
  <c r="AC74"/>
  <c r="BY74" s="1"/>
  <c r="G75"/>
  <c r="H75"/>
  <c r="AF75" s="1"/>
  <c r="I75"/>
  <c r="BE75" s="1"/>
  <c r="Q60" i="37"/>
  <c r="EU7" i="1"/>
  <c r="EV7"/>
  <c r="EW7"/>
  <c r="EX7"/>
  <c r="EY7"/>
  <c r="EZ7"/>
  <c r="FA7"/>
  <c r="FB7"/>
  <c r="FC7"/>
  <c r="FD7"/>
  <c r="FE7"/>
  <c r="FF7"/>
  <c r="FG7"/>
  <c r="FH7"/>
  <c r="FI7"/>
  <c r="FJ7"/>
  <c r="FK7"/>
  <c r="FL7"/>
  <c r="FM7"/>
  <c r="FN7"/>
  <c r="FO7"/>
  <c r="FP7"/>
  <c r="FQ7"/>
  <c r="CQ7"/>
  <c r="CR7"/>
  <c r="CS7"/>
  <c r="CT7"/>
  <c r="CU7"/>
  <c r="CV7"/>
  <c r="CW7"/>
  <c r="CX7"/>
  <c r="CY7"/>
  <c r="CZ7"/>
  <c r="DA7"/>
  <c r="DB7"/>
  <c r="DC7"/>
  <c r="DD7"/>
  <c r="DE7"/>
  <c r="DF7"/>
  <c r="DG7"/>
  <c r="DH7"/>
  <c r="DI7"/>
  <c r="DJ7"/>
  <c r="DK7"/>
  <c r="DL7"/>
  <c r="DM7"/>
  <c r="Q12" i="41"/>
  <c r="H12" i="57"/>
  <c r="BD12" s="1"/>
  <c r="I12"/>
  <c r="BE12" s="1"/>
  <c r="J12"/>
  <c r="BF12"/>
  <c r="K12"/>
  <c r="BG12" s="1"/>
  <c r="L12"/>
  <c r="BH12" s="1"/>
  <c r="M12"/>
  <c r="BI12" s="1"/>
  <c r="N12"/>
  <c r="BJ12" s="1"/>
  <c r="O12"/>
  <c r="BK12" s="1"/>
  <c r="P12"/>
  <c r="BL12" s="1"/>
  <c r="Q12"/>
  <c r="BM12" s="1"/>
  <c r="R12"/>
  <c r="BN12" s="1"/>
  <c r="S12"/>
  <c r="BO12" s="1"/>
  <c r="T12"/>
  <c r="BP12" s="1"/>
  <c r="U12"/>
  <c r="BQ12" s="1"/>
  <c r="V12"/>
  <c r="BR12" s="1"/>
  <c r="W12"/>
  <c r="BS12" s="1"/>
  <c r="X12"/>
  <c r="BT12" s="1"/>
  <c r="Y12"/>
  <c r="BU12" s="1"/>
  <c r="Z12"/>
  <c r="BV12" s="1"/>
  <c r="AA12"/>
  <c r="BW12" s="1"/>
  <c r="AB12"/>
  <c r="BX12" s="1"/>
  <c r="AC12"/>
  <c r="BY12" s="1"/>
  <c r="H14"/>
  <c r="BD14" s="1"/>
  <c r="I14"/>
  <c r="BE14" s="1"/>
  <c r="J14"/>
  <c r="BF14" s="1"/>
  <c r="K14"/>
  <c r="BG14" s="1"/>
  <c r="L14"/>
  <c r="AJ14" s="1"/>
  <c r="M14"/>
  <c r="BI14" s="1"/>
  <c r="N14"/>
  <c r="BJ14" s="1"/>
  <c r="O14"/>
  <c r="BK14" s="1"/>
  <c r="P14"/>
  <c r="BL14" s="1"/>
  <c r="Q14"/>
  <c r="BM14" s="1"/>
  <c r="R14"/>
  <c r="BN14" s="1"/>
  <c r="S14"/>
  <c r="BO14" s="1"/>
  <c r="T14"/>
  <c r="BP14" s="1"/>
  <c r="U14"/>
  <c r="BQ14" s="1"/>
  <c r="V14"/>
  <c r="BR14" s="1"/>
  <c r="W14"/>
  <c r="BS14" s="1"/>
  <c r="X14"/>
  <c r="BT14"/>
  <c r="Y14"/>
  <c r="BU14" s="1"/>
  <c r="Z14"/>
  <c r="BV14" s="1"/>
  <c r="AA14"/>
  <c r="BW14" s="1"/>
  <c r="AB14"/>
  <c r="BX14" s="1"/>
  <c r="AC14"/>
  <c r="H15"/>
  <c r="BD15" s="1"/>
  <c r="I15"/>
  <c r="BE15" s="1"/>
  <c r="J15"/>
  <c r="BF15" s="1"/>
  <c r="K15"/>
  <c r="BG15" s="1"/>
  <c r="L15"/>
  <c r="BH15" s="1"/>
  <c r="M15"/>
  <c r="BI15" s="1"/>
  <c r="N15"/>
  <c r="BJ15" s="1"/>
  <c r="O15"/>
  <c r="BK15" s="1"/>
  <c r="P15"/>
  <c r="BL15" s="1"/>
  <c r="Q15"/>
  <c r="BM15" s="1"/>
  <c r="R15"/>
  <c r="BN15" s="1"/>
  <c r="S15"/>
  <c r="BO15" s="1"/>
  <c r="T15"/>
  <c r="BP15" s="1"/>
  <c r="U15"/>
  <c r="BQ15" s="1"/>
  <c r="V15"/>
  <c r="AT15" s="1"/>
  <c r="W15"/>
  <c r="BS15" s="1"/>
  <c r="X15"/>
  <c r="BT15"/>
  <c r="Y15"/>
  <c r="BU15" s="1"/>
  <c r="Z15"/>
  <c r="BV15" s="1"/>
  <c r="AA15"/>
  <c r="BW15" s="1"/>
  <c r="AB15"/>
  <c r="BX15" s="1"/>
  <c r="AC15"/>
  <c r="H16"/>
  <c r="BD16" s="1"/>
  <c r="I16"/>
  <c r="BE16" s="1"/>
  <c r="J16"/>
  <c r="BF16" s="1"/>
  <c r="K16"/>
  <c r="BG16" s="1"/>
  <c r="L16"/>
  <c r="BH16" s="1"/>
  <c r="M16"/>
  <c r="BI16" s="1"/>
  <c r="N16"/>
  <c r="BJ16" s="1"/>
  <c r="O16"/>
  <c r="BK16" s="1"/>
  <c r="P16"/>
  <c r="BL16" s="1"/>
  <c r="Q16"/>
  <c r="BM16" s="1"/>
  <c r="R16"/>
  <c r="BN16" s="1"/>
  <c r="S16"/>
  <c r="BO16" s="1"/>
  <c r="T16"/>
  <c r="BP16"/>
  <c r="U16"/>
  <c r="BQ16" s="1"/>
  <c r="V16"/>
  <c r="W16"/>
  <c r="BS16" s="1"/>
  <c r="X16"/>
  <c r="BT16" s="1"/>
  <c r="Y16"/>
  <c r="BU16" s="1"/>
  <c r="Z16"/>
  <c r="BV16" s="1"/>
  <c r="AA16"/>
  <c r="BW16" s="1"/>
  <c r="AB16"/>
  <c r="BX16" s="1"/>
  <c r="AC16"/>
  <c r="BY16" s="1"/>
  <c r="H17"/>
  <c r="BD17" s="1"/>
  <c r="I17"/>
  <c r="J17"/>
  <c r="AH17" s="1"/>
  <c r="K17"/>
  <c r="BG17" s="1"/>
  <c r="L17"/>
  <c r="BH17" s="1"/>
  <c r="M17"/>
  <c r="BI17" s="1"/>
  <c r="N17"/>
  <c r="BJ17" s="1"/>
  <c r="O17"/>
  <c r="BK17" s="1"/>
  <c r="P17"/>
  <c r="BL17" s="1"/>
  <c r="Q17"/>
  <c r="BM17" s="1"/>
  <c r="R17"/>
  <c r="BN17" s="1"/>
  <c r="S17"/>
  <c r="BO17" s="1"/>
  <c r="T17"/>
  <c r="AR17" s="1"/>
  <c r="U17"/>
  <c r="BQ17" s="1"/>
  <c r="V17"/>
  <c r="BR17" s="1"/>
  <c r="W17"/>
  <c r="BS17" s="1"/>
  <c r="X17"/>
  <c r="BT17" s="1"/>
  <c r="Y17"/>
  <c r="BU17" s="1"/>
  <c r="Z17"/>
  <c r="BV17" s="1"/>
  <c r="AA17"/>
  <c r="BW17" s="1"/>
  <c r="AB17"/>
  <c r="BX17" s="1"/>
  <c r="AC17"/>
  <c r="BY17" s="1"/>
  <c r="H18"/>
  <c r="AF18" s="1"/>
  <c r="I18"/>
  <c r="BE18" s="1"/>
  <c r="J18"/>
  <c r="BF18" s="1"/>
  <c r="K18"/>
  <c r="BG18" s="1"/>
  <c r="L18"/>
  <c r="BH18" s="1"/>
  <c r="M18"/>
  <c r="BI18" s="1"/>
  <c r="N18"/>
  <c r="BJ18" s="1"/>
  <c r="O18"/>
  <c r="BK18" s="1"/>
  <c r="P18"/>
  <c r="BL18" s="1"/>
  <c r="Q18"/>
  <c r="BM18" s="1"/>
  <c r="R18"/>
  <c r="BN18" s="1"/>
  <c r="S18"/>
  <c r="BO18" s="1"/>
  <c r="T18"/>
  <c r="AR18" s="1"/>
  <c r="U18"/>
  <c r="BQ18" s="1"/>
  <c r="V18"/>
  <c r="BR18" s="1"/>
  <c r="W18"/>
  <c r="BS18" s="1"/>
  <c r="X18"/>
  <c r="BT18" s="1"/>
  <c r="Y18"/>
  <c r="BU18" s="1"/>
  <c r="Z18"/>
  <c r="BV18" s="1"/>
  <c r="AA18"/>
  <c r="AB18"/>
  <c r="BX18"/>
  <c r="AC18"/>
  <c r="BY18" s="1"/>
  <c r="H19"/>
  <c r="BD19" s="1"/>
  <c r="I19"/>
  <c r="BE19" s="1"/>
  <c r="J19"/>
  <c r="BF19" s="1"/>
  <c r="K19"/>
  <c r="BG19" s="1"/>
  <c r="L19"/>
  <c r="BH19" s="1"/>
  <c r="M19"/>
  <c r="BI19" s="1"/>
  <c r="N19"/>
  <c r="AL19" s="1"/>
  <c r="O19"/>
  <c r="BK19" s="1"/>
  <c r="P19"/>
  <c r="BL19" s="1"/>
  <c r="Q19"/>
  <c r="BM19" s="1"/>
  <c r="R19"/>
  <c r="BN19" s="1"/>
  <c r="S19"/>
  <c r="BO19" s="1"/>
  <c r="T19"/>
  <c r="BP19" s="1"/>
  <c r="U19"/>
  <c r="BQ19" s="1"/>
  <c r="V19"/>
  <c r="AT19" s="1"/>
  <c r="W19"/>
  <c r="BS19" s="1"/>
  <c r="X19"/>
  <c r="BT19" s="1"/>
  <c r="Y19"/>
  <c r="BU19" s="1"/>
  <c r="Z19"/>
  <c r="BV19" s="1"/>
  <c r="AA19"/>
  <c r="BW19" s="1"/>
  <c r="AB19"/>
  <c r="BX19" s="1"/>
  <c r="AC19"/>
  <c r="BY19" s="1"/>
  <c r="H20"/>
  <c r="AF20" s="1"/>
  <c r="I20"/>
  <c r="BE20" s="1"/>
  <c r="J20"/>
  <c r="BF20"/>
  <c r="K20"/>
  <c r="BG20" s="1"/>
  <c r="L20"/>
  <c r="BH20" s="1"/>
  <c r="M20"/>
  <c r="N20"/>
  <c r="BJ20" s="1"/>
  <c r="O20"/>
  <c r="BK20" s="1"/>
  <c r="P20"/>
  <c r="Q20"/>
  <c r="BM20" s="1"/>
  <c r="R20"/>
  <c r="BN20" s="1"/>
  <c r="S20"/>
  <c r="BO20" s="1"/>
  <c r="T20"/>
  <c r="BP20" s="1"/>
  <c r="U20"/>
  <c r="BQ20" s="1"/>
  <c r="V20"/>
  <c r="BR20" s="1"/>
  <c r="W20"/>
  <c r="BS20" s="1"/>
  <c r="X20"/>
  <c r="AV20" s="1"/>
  <c r="Y20"/>
  <c r="BU20" s="1"/>
  <c r="Z20"/>
  <c r="BV20" s="1"/>
  <c r="AA20"/>
  <c r="BW20" s="1"/>
  <c r="AB20"/>
  <c r="BX20" s="1"/>
  <c r="AC20"/>
  <c r="H21"/>
  <c r="AF21" s="1"/>
  <c r="I21"/>
  <c r="BE21" s="1"/>
  <c r="J21"/>
  <c r="K21"/>
  <c r="BG21" s="1"/>
  <c r="L21"/>
  <c r="BH21" s="1"/>
  <c r="M21"/>
  <c r="BI21" s="1"/>
  <c r="N21"/>
  <c r="BJ21" s="1"/>
  <c r="O21"/>
  <c r="P21"/>
  <c r="BL21" s="1"/>
  <c r="Q21"/>
  <c r="BM21" s="1"/>
  <c r="R21"/>
  <c r="BN21" s="1"/>
  <c r="S21"/>
  <c r="T21"/>
  <c r="BP21" s="1"/>
  <c r="U21"/>
  <c r="BQ21" s="1"/>
  <c r="V21"/>
  <c r="W21"/>
  <c r="X21"/>
  <c r="BT21"/>
  <c r="Y21"/>
  <c r="BU21" s="1"/>
  <c r="Z21"/>
  <c r="BV21" s="1"/>
  <c r="AA21"/>
  <c r="AB21"/>
  <c r="BX21" s="1"/>
  <c r="AC21"/>
  <c r="H22"/>
  <c r="BD22" s="1"/>
  <c r="I22"/>
  <c r="J22"/>
  <c r="BF22"/>
  <c r="K22"/>
  <c r="BG22" s="1"/>
  <c r="L22"/>
  <c r="BH22" s="1"/>
  <c r="M22"/>
  <c r="N22"/>
  <c r="BJ22" s="1"/>
  <c r="O22"/>
  <c r="BK22" s="1"/>
  <c r="P22"/>
  <c r="Q22"/>
  <c r="R22"/>
  <c r="BN22"/>
  <c r="S22"/>
  <c r="BO22" s="1"/>
  <c r="T22"/>
  <c r="BP22" s="1"/>
  <c r="U22"/>
  <c r="V22"/>
  <c r="BR22" s="1"/>
  <c r="W22"/>
  <c r="BS22" s="1"/>
  <c r="X22"/>
  <c r="BT22" s="1"/>
  <c r="Y22"/>
  <c r="Z22"/>
  <c r="BV22" s="1"/>
  <c r="AA22"/>
  <c r="BW22" s="1"/>
  <c r="AB22"/>
  <c r="BX22" s="1"/>
  <c r="AC22"/>
  <c r="H23"/>
  <c r="BD23"/>
  <c r="I23"/>
  <c r="BE23" s="1"/>
  <c r="J23"/>
  <c r="K23"/>
  <c r="L23"/>
  <c r="BH23" s="1"/>
  <c r="M23"/>
  <c r="BI23" s="1"/>
  <c r="N23"/>
  <c r="BJ23" s="1"/>
  <c r="O23"/>
  <c r="P23"/>
  <c r="BL23" s="1"/>
  <c r="Q23"/>
  <c r="BM23" s="1"/>
  <c r="R23"/>
  <c r="BN23" s="1"/>
  <c r="S23"/>
  <c r="T23"/>
  <c r="BP23" s="1"/>
  <c r="U23"/>
  <c r="BQ23" s="1"/>
  <c r="V23"/>
  <c r="BR23" s="1"/>
  <c r="W23"/>
  <c r="X23"/>
  <c r="BT23"/>
  <c r="Y23"/>
  <c r="BU23" s="1"/>
  <c r="Z23"/>
  <c r="AA23"/>
  <c r="AB23"/>
  <c r="BX23" s="1"/>
  <c r="AC23"/>
  <c r="H24"/>
  <c r="BD24" s="1"/>
  <c r="I24"/>
  <c r="J24"/>
  <c r="BF24" s="1"/>
  <c r="K24"/>
  <c r="BG24" s="1"/>
  <c r="L24"/>
  <c r="BH24" s="1"/>
  <c r="M24"/>
  <c r="N24"/>
  <c r="BJ24"/>
  <c r="O24"/>
  <c r="BK24" s="1"/>
  <c r="P24"/>
  <c r="BL24" s="1"/>
  <c r="Q24"/>
  <c r="R24"/>
  <c r="BN24" s="1"/>
  <c r="S24"/>
  <c r="BO24" s="1"/>
  <c r="T24"/>
  <c r="U24"/>
  <c r="V24"/>
  <c r="BR24" s="1"/>
  <c r="W24"/>
  <c r="BS24" s="1"/>
  <c r="X24"/>
  <c r="BT24" s="1"/>
  <c r="Y24"/>
  <c r="Z24"/>
  <c r="BV24" s="1"/>
  <c r="AA24"/>
  <c r="BW24" s="1"/>
  <c r="AB24"/>
  <c r="BX24" s="1"/>
  <c r="AC24"/>
  <c r="BY24" s="1"/>
  <c r="H25"/>
  <c r="BD25" s="1"/>
  <c r="I25"/>
  <c r="BE25" s="1"/>
  <c r="J25"/>
  <c r="BF25" s="1"/>
  <c r="K25"/>
  <c r="L25"/>
  <c r="BH25"/>
  <c r="M25"/>
  <c r="BI25" s="1"/>
  <c r="N25"/>
  <c r="O25"/>
  <c r="P25"/>
  <c r="BL25"/>
  <c r="Q25"/>
  <c r="BM25" s="1"/>
  <c r="R25"/>
  <c r="BN25" s="1"/>
  <c r="S25"/>
  <c r="T25"/>
  <c r="BP25" s="1"/>
  <c r="U25"/>
  <c r="BQ25" s="1"/>
  <c r="V25"/>
  <c r="BR25" s="1"/>
  <c r="W25"/>
  <c r="X25"/>
  <c r="BT25" s="1"/>
  <c r="Y25"/>
  <c r="BU25" s="1"/>
  <c r="Z25"/>
  <c r="BV25" s="1"/>
  <c r="AA25"/>
  <c r="AB25"/>
  <c r="BX25" s="1"/>
  <c r="AC25"/>
  <c r="BY25" s="1"/>
  <c r="H26"/>
  <c r="I26"/>
  <c r="J26"/>
  <c r="K26"/>
  <c r="BG26" s="1"/>
  <c r="L26"/>
  <c r="BH26" s="1"/>
  <c r="M26"/>
  <c r="N26"/>
  <c r="BJ26" s="1"/>
  <c r="O26"/>
  <c r="BK26" s="1"/>
  <c r="P26"/>
  <c r="BL26" s="1"/>
  <c r="Q26"/>
  <c r="R26"/>
  <c r="BN26" s="1"/>
  <c r="S26"/>
  <c r="BO26" s="1"/>
  <c r="T26"/>
  <c r="BP26" s="1"/>
  <c r="U26"/>
  <c r="V26"/>
  <c r="BR26"/>
  <c r="W26"/>
  <c r="BS26" s="1"/>
  <c r="X26"/>
  <c r="Y26"/>
  <c r="Z26"/>
  <c r="BV26" s="1"/>
  <c r="AA26"/>
  <c r="BW26" s="1"/>
  <c r="AB26"/>
  <c r="BX26" s="1"/>
  <c r="AC26"/>
  <c r="H27"/>
  <c r="BD27" s="1"/>
  <c r="I27"/>
  <c r="BE27" s="1"/>
  <c r="J27"/>
  <c r="BF27" s="1"/>
  <c r="K27"/>
  <c r="L27"/>
  <c r="BH27" s="1"/>
  <c r="M27"/>
  <c r="BI27" s="1"/>
  <c r="N27"/>
  <c r="BJ27" s="1"/>
  <c r="O27"/>
  <c r="P27"/>
  <c r="BL27" s="1"/>
  <c r="Q27"/>
  <c r="BM27" s="1"/>
  <c r="R27"/>
  <c r="S27"/>
  <c r="T27"/>
  <c r="BP27" s="1"/>
  <c r="U27"/>
  <c r="BQ27" s="1"/>
  <c r="V27"/>
  <c r="BR27" s="1"/>
  <c r="W27"/>
  <c r="X27"/>
  <c r="BT27" s="1"/>
  <c r="Y27"/>
  <c r="BU27" s="1"/>
  <c r="Z27"/>
  <c r="BV27" s="1"/>
  <c r="AA27"/>
  <c r="AB27"/>
  <c r="BX27" s="1"/>
  <c r="AC27"/>
  <c r="H29"/>
  <c r="BD29" s="1"/>
  <c r="I29"/>
  <c r="J29"/>
  <c r="BF29" s="1"/>
  <c r="K29"/>
  <c r="BG29" s="1"/>
  <c r="L29"/>
  <c r="BH29" s="1"/>
  <c r="M29"/>
  <c r="N29"/>
  <c r="BJ29"/>
  <c r="O29"/>
  <c r="BK29" s="1"/>
  <c r="P29"/>
  <c r="BL29" s="1"/>
  <c r="Q29"/>
  <c r="R29"/>
  <c r="BN29" s="1"/>
  <c r="S29"/>
  <c r="BO29" s="1"/>
  <c r="T29"/>
  <c r="BP29" s="1"/>
  <c r="U29"/>
  <c r="V29"/>
  <c r="BR29" s="1"/>
  <c r="W29"/>
  <c r="BS29" s="1"/>
  <c r="X29"/>
  <c r="BT29" s="1"/>
  <c r="Y29"/>
  <c r="Z29"/>
  <c r="BV29"/>
  <c r="AA29"/>
  <c r="BW29" s="1"/>
  <c r="AB29"/>
  <c r="BX29" s="1"/>
  <c r="AC29"/>
  <c r="H30"/>
  <c r="AF30" s="1"/>
  <c r="I30"/>
  <c r="BE30" s="1"/>
  <c r="J30"/>
  <c r="BF30" s="1"/>
  <c r="K30"/>
  <c r="L30"/>
  <c r="BH30" s="1"/>
  <c r="M30"/>
  <c r="BI30" s="1"/>
  <c r="N30"/>
  <c r="BJ30" s="1"/>
  <c r="O30"/>
  <c r="P30"/>
  <c r="BL30" s="1"/>
  <c r="Q30"/>
  <c r="BM30" s="1"/>
  <c r="R30"/>
  <c r="BN30" s="1"/>
  <c r="S30"/>
  <c r="T30"/>
  <c r="BP30" s="1"/>
  <c r="U30"/>
  <c r="BQ30" s="1"/>
  <c r="V30"/>
  <c r="BR30" s="1"/>
  <c r="W30"/>
  <c r="X30"/>
  <c r="BT30" s="1"/>
  <c r="Y30"/>
  <c r="BU30" s="1"/>
  <c r="Z30"/>
  <c r="BV30" s="1"/>
  <c r="AA30"/>
  <c r="AB30"/>
  <c r="BX30" s="1"/>
  <c r="AC30"/>
  <c r="H31"/>
  <c r="BD31" s="1"/>
  <c r="I31"/>
  <c r="J31"/>
  <c r="BF31" s="1"/>
  <c r="K31"/>
  <c r="BG31" s="1"/>
  <c r="L31"/>
  <c r="BH31" s="1"/>
  <c r="M31"/>
  <c r="N31"/>
  <c r="BJ31" s="1"/>
  <c r="O31"/>
  <c r="BK31" s="1"/>
  <c r="P31"/>
  <c r="BL31" s="1"/>
  <c r="Q31"/>
  <c r="R31"/>
  <c r="BN31" s="1"/>
  <c r="S31"/>
  <c r="BO31" s="1"/>
  <c r="T31"/>
  <c r="BP31" s="1"/>
  <c r="U31"/>
  <c r="V31"/>
  <c r="BR31" s="1"/>
  <c r="W31"/>
  <c r="BS31" s="1"/>
  <c r="X31"/>
  <c r="BT31" s="1"/>
  <c r="Y31"/>
  <c r="Z31"/>
  <c r="BV31"/>
  <c r="AA31"/>
  <c r="BW31" s="1"/>
  <c r="AB31"/>
  <c r="BX31" s="1"/>
  <c r="AC31"/>
  <c r="H32"/>
  <c r="BD32" s="1"/>
  <c r="I32"/>
  <c r="BE32" s="1"/>
  <c r="J32"/>
  <c r="BF32" s="1"/>
  <c r="K32"/>
  <c r="L32"/>
  <c r="BH32" s="1"/>
  <c r="M32"/>
  <c r="BI32" s="1"/>
  <c r="N32"/>
  <c r="BJ32"/>
  <c r="O32"/>
  <c r="P32"/>
  <c r="AN32" s="1"/>
  <c r="Q32"/>
  <c r="BM32" s="1"/>
  <c r="R32"/>
  <c r="BN32"/>
  <c r="S32"/>
  <c r="T32"/>
  <c r="BP32" s="1"/>
  <c r="U32"/>
  <c r="BQ32" s="1"/>
  <c r="V32"/>
  <c r="BR32" s="1"/>
  <c r="W32"/>
  <c r="X32"/>
  <c r="BT32" s="1"/>
  <c r="Y32"/>
  <c r="BU32" s="1"/>
  <c r="Z32"/>
  <c r="BV32" s="1"/>
  <c r="AA32"/>
  <c r="AB32"/>
  <c r="BX32" s="1"/>
  <c r="AC32"/>
  <c r="H33"/>
  <c r="BD33"/>
  <c r="I33"/>
  <c r="J33"/>
  <c r="BF33" s="1"/>
  <c r="K33"/>
  <c r="BG33" s="1"/>
  <c r="L33"/>
  <c r="BH33"/>
  <c r="M33"/>
  <c r="N33"/>
  <c r="BJ33" s="1"/>
  <c r="O33"/>
  <c r="BK33" s="1"/>
  <c r="P33"/>
  <c r="BL33" s="1"/>
  <c r="Q33"/>
  <c r="R33"/>
  <c r="AP33" s="1"/>
  <c r="S33"/>
  <c r="BO33" s="1"/>
  <c r="T33"/>
  <c r="BP33"/>
  <c r="U33"/>
  <c r="V33"/>
  <c r="BR33" s="1"/>
  <c r="W33"/>
  <c r="BS33" s="1"/>
  <c r="X33"/>
  <c r="BT33"/>
  <c r="Y33"/>
  <c r="Z33"/>
  <c r="BV33" s="1"/>
  <c r="AA33"/>
  <c r="BW33" s="1"/>
  <c r="AB33"/>
  <c r="BX33"/>
  <c r="AC33"/>
  <c r="BY33" s="1"/>
  <c r="H34"/>
  <c r="BD34" s="1"/>
  <c r="I34"/>
  <c r="BE34" s="1"/>
  <c r="J34"/>
  <c r="BF34" s="1"/>
  <c r="K34"/>
  <c r="L34"/>
  <c r="BH34" s="1"/>
  <c r="M34"/>
  <c r="BI34" s="1"/>
  <c r="N34"/>
  <c r="BJ34" s="1"/>
  <c r="O34"/>
  <c r="P34"/>
  <c r="BL34" s="1"/>
  <c r="Q34"/>
  <c r="BM34" s="1"/>
  <c r="R34"/>
  <c r="BN34"/>
  <c r="S34"/>
  <c r="T34"/>
  <c r="BP34" s="1"/>
  <c r="U34"/>
  <c r="BQ34" s="1"/>
  <c r="V34"/>
  <c r="BR34"/>
  <c r="W34"/>
  <c r="X34"/>
  <c r="BT34" s="1"/>
  <c r="Y34"/>
  <c r="BU34" s="1"/>
  <c r="Z34"/>
  <c r="BV34" s="1"/>
  <c r="AA34"/>
  <c r="AB34"/>
  <c r="BX34" s="1"/>
  <c r="AC34"/>
  <c r="H36"/>
  <c r="BD36"/>
  <c r="I36"/>
  <c r="BE36" s="1"/>
  <c r="J36"/>
  <c r="BF36" s="1"/>
  <c r="K36"/>
  <c r="L36"/>
  <c r="BH36"/>
  <c r="M36"/>
  <c r="BI36" s="1"/>
  <c r="N36"/>
  <c r="BJ36" s="1"/>
  <c r="O36"/>
  <c r="P36"/>
  <c r="BL36"/>
  <c r="Q36"/>
  <c r="BM36" s="1"/>
  <c r="R36"/>
  <c r="BN36" s="1"/>
  <c r="S36"/>
  <c r="T36"/>
  <c r="BP36" s="1"/>
  <c r="U36"/>
  <c r="BQ36" s="1"/>
  <c r="V36"/>
  <c r="AT36" s="1"/>
  <c r="W36"/>
  <c r="X36"/>
  <c r="BT36"/>
  <c r="Y36"/>
  <c r="BU36" s="1"/>
  <c r="Z36"/>
  <c r="BV36" s="1"/>
  <c r="AA36"/>
  <c r="AB36"/>
  <c r="BX36"/>
  <c r="AC36"/>
  <c r="BY36" s="1"/>
  <c r="H37"/>
  <c r="BD37" s="1"/>
  <c r="I37"/>
  <c r="J37"/>
  <c r="BF37"/>
  <c r="K37"/>
  <c r="BG37" s="1"/>
  <c r="L37"/>
  <c r="BH37" s="1"/>
  <c r="M37"/>
  <c r="N37"/>
  <c r="BJ37" s="1"/>
  <c r="O37"/>
  <c r="BK37" s="1"/>
  <c r="P37"/>
  <c r="BL37" s="1"/>
  <c r="Q37"/>
  <c r="R37"/>
  <c r="BN37"/>
  <c r="S37"/>
  <c r="BO37" s="1"/>
  <c r="T37"/>
  <c r="BP37" s="1"/>
  <c r="U37"/>
  <c r="V37"/>
  <c r="BR37"/>
  <c r="W37"/>
  <c r="BS37" s="1"/>
  <c r="X37"/>
  <c r="AV37" s="1"/>
  <c r="Y37"/>
  <c r="Z37"/>
  <c r="BV37"/>
  <c r="AA37"/>
  <c r="BW37" s="1"/>
  <c r="AB37"/>
  <c r="BX37" s="1"/>
  <c r="AC37"/>
  <c r="H38"/>
  <c r="BD38" s="1"/>
  <c r="I38"/>
  <c r="BE38" s="1"/>
  <c r="J38"/>
  <c r="BF38" s="1"/>
  <c r="K38"/>
  <c r="L38"/>
  <c r="BH38"/>
  <c r="M38"/>
  <c r="BI38" s="1"/>
  <c r="N38"/>
  <c r="BJ38" s="1"/>
  <c r="O38"/>
  <c r="P38"/>
  <c r="BL38"/>
  <c r="Q38"/>
  <c r="BM38" s="1"/>
  <c r="R38"/>
  <c r="BN38" s="1"/>
  <c r="S38"/>
  <c r="T38"/>
  <c r="BP38"/>
  <c r="U38"/>
  <c r="BQ38" s="1"/>
  <c r="V38"/>
  <c r="BR38" s="1"/>
  <c r="W38"/>
  <c r="X38"/>
  <c r="BT38" s="1"/>
  <c r="Y38"/>
  <c r="BU38" s="1"/>
  <c r="Z38"/>
  <c r="AX38" s="1"/>
  <c r="AA38"/>
  <c r="AB38"/>
  <c r="BX38"/>
  <c r="AC38"/>
  <c r="H39"/>
  <c r="BD39" s="1"/>
  <c r="I39"/>
  <c r="J39"/>
  <c r="BF39"/>
  <c r="K39"/>
  <c r="BG39" s="1"/>
  <c r="L39"/>
  <c r="AJ39" s="1"/>
  <c r="M39"/>
  <c r="N39"/>
  <c r="BJ39"/>
  <c r="O39"/>
  <c r="BK39" s="1"/>
  <c r="P39"/>
  <c r="BL39" s="1"/>
  <c r="Q39"/>
  <c r="R39"/>
  <c r="BN39" s="1"/>
  <c r="S39"/>
  <c r="BO39" s="1"/>
  <c r="T39"/>
  <c r="BP39" s="1"/>
  <c r="U39"/>
  <c r="V39"/>
  <c r="BR39" s="1"/>
  <c r="W39"/>
  <c r="BS39" s="1"/>
  <c r="X39"/>
  <c r="BT39" s="1"/>
  <c r="Y39"/>
  <c r="Z39"/>
  <c r="BV39"/>
  <c r="AA39"/>
  <c r="BW39" s="1"/>
  <c r="AB39"/>
  <c r="BX39" s="1"/>
  <c r="AC39"/>
  <c r="H40"/>
  <c r="BD40"/>
  <c r="I40"/>
  <c r="BE40" s="1"/>
  <c r="J40"/>
  <c r="BF40" s="1"/>
  <c r="K40"/>
  <c r="L40"/>
  <c r="BH40" s="1"/>
  <c r="M40"/>
  <c r="BI40" s="1"/>
  <c r="N40"/>
  <c r="BJ40" s="1"/>
  <c r="O40"/>
  <c r="P40"/>
  <c r="BL40" s="1"/>
  <c r="Q40"/>
  <c r="BM40" s="1"/>
  <c r="R40"/>
  <c r="BN40" s="1"/>
  <c r="S40"/>
  <c r="T40"/>
  <c r="BP40"/>
  <c r="U40"/>
  <c r="BQ40" s="1"/>
  <c r="V40"/>
  <c r="BR40" s="1"/>
  <c r="W40"/>
  <c r="X40"/>
  <c r="BT40"/>
  <c r="Y40"/>
  <c r="BU40" s="1"/>
  <c r="Z40"/>
  <c r="BV40" s="1"/>
  <c r="AA40"/>
  <c r="AB40"/>
  <c r="BX40" s="1"/>
  <c r="AC40"/>
  <c r="Q38" i="40"/>
  <c r="Q38" i="55"/>
  <c r="H42" i="57"/>
  <c r="I42"/>
  <c r="BE42"/>
  <c r="J42"/>
  <c r="BF42" s="1"/>
  <c r="K42"/>
  <c r="BG42" s="1"/>
  <c r="L42"/>
  <c r="M42"/>
  <c r="BI42"/>
  <c r="N42"/>
  <c r="O42"/>
  <c r="AM42" s="1"/>
  <c r="P42"/>
  <c r="Q42"/>
  <c r="BM42" s="1"/>
  <c r="R42"/>
  <c r="BN42" s="1"/>
  <c r="S42"/>
  <c r="BO42" s="1"/>
  <c r="T42"/>
  <c r="U42"/>
  <c r="BQ42"/>
  <c r="V42"/>
  <c r="BR42" s="1"/>
  <c r="W42"/>
  <c r="BS42" s="1"/>
  <c r="X42"/>
  <c r="Y42"/>
  <c r="BU42"/>
  <c r="Z42"/>
  <c r="BV42" s="1"/>
  <c r="AA42"/>
  <c r="BW42" s="1"/>
  <c r="AB42"/>
  <c r="AC42"/>
  <c r="BA42" s="1"/>
  <c r="BY42"/>
  <c r="H43"/>
  <c r="I43"/>
  <c r="BE43" s="1"/>
  <c r="J43"/>
  <c r="K43"/>
  <c r="BG43" s="1"/>
  <c r="L43"/>
  <c r="BH43" s="1"/>
  <c r="M43"/>
  <c r="BI43" s="1"/>
  <c r="N43"/>
  <c r="O43"/>
  <c r="BK43"/>
  <c r="P43"/>
  <c r="BL43" s="1"/>
  <c r="Q43"/>
  <c r="AO43" s="1"/>
  <c r="R43"/>
  <c r="S43"/>
  <c r="BO43"/>
  <c r="T43"/>
  <c r="BP43" s="1"/>
  <c r="U43"/>
  <c r="BQ43" s="1"/>
  <c r="V43"/>
  <c r="W43"/>
  <c r="BS43"/>
  <c r="X43"/>
  <c r="Y43"/>
  <c r="BU43" s="1"/>
  <c r="Z43"/>
  <c r="AA43"/>
  <c r="BW43" s="1"/>
  <c r="AB43"/>
  <c r="BX43" s="1"/>
  <c r="AC43"/>
  <c r="BY43" s="1"/>
  <c r="Q40" i="40"/>
  <c r="H44" i="57"/>
  <c r="I44"/>
  <c r="BE44" s="1"/>
  <c r="J44"/>
  <c r="BF44" s="1"/>
  <c r="K44"/>
  <c r="BG44" s="1"/>
  <c r="L44"/>
  <c r="M44"/>
  <c r="N44"/>
  <c r="BJ44" s="1"/>
  <c r="O44"/>
  <c r="BK44" s="1"/>
  <c r="P44"/>
  <c r="Q44"/>
  <c r="BM44" s="1"/>
  <c r="R44"/>
  <c r="BN44" s="1"/>
  <c r="S44"/>
  <c r="BO44" s="1"/>
  <c r="T44"/>
  <c r="U44"/>
  <c r="BQ44"/>
  <c r="V44"/>
  <c r="BR44" s="1"/>
  <c r="W44"/>
  <c r="BS44" s="1"/>
  <c r="X44"/>
  <c r="Y44"/>
  <c r="BU44" s="1"/>
  <c r="Z44"/>
  <c r="BV44" s="1"/>
  <c r="AA44"/>
  <c r="AB44"/>
  <c r="AC44"/>
  <c r="BA44" s="1"/>
  <c r="BY44"/>
  <c r="H46"/>
  <c r="I46"/>
  <c r="BE46" s="1"/>
  <c r="J46"/>
  <c r="BF46" s="1"/>
  <c r="K46"/>
  <c r="BG46" s="1"/>
  <c r="L46"/>
  <c r="M46"/>
  <c r="BI46" s="1"/>
  <c r="N46"/>
  <c r="BJ46" s="1"/>
  <c r="O46"/>
  <c r="BK46" s="1"/>
  <c r="P46"/>
  <c r="Q46"/>
  <c r="BM46" s="1"/>
  <c r="R46"/>
  <c r="S46"/>
  <c r="BO46" s="1"/>
  <c r="T46"/>
  <c r="U46"/>
  <c r="BQ46" s="1"/>
  <c r="V46"/>
  <c r="BR46" s="1"/>
  <c r="W46"/>
  <c r="BS46" s="1"/>
  <c r="X46"/>
  <c r="Y46"/>
  <c r="BU46" s="1"/>
  <c r="Z46"/>
  <c r="BV46" s="1"/>
  <c r="AA46"/>
  <c r="BW46" s="1"/>
  <c r="AB46"/>
  <c r="AC46"/>
  <c r="H47"/>
  <c r="BD47" s="1"/>
  <c r="I47"/>
  <c r="AG47" s="1"/>
  <c r="J47"/>
  <c r="K47"/>
  <c r="BG47" s="1"/>
  <c r="L47"/>
  <c r="BH47" s="1"/>
  <c r="M47"/>
  <c r="BI47"/>
  <c r="N47"/>
  <c r="O47"/>
  <c r="P47"/>
  <c r="BL47" s="1"/>
  <c r="Q47"/>
  <c r="AO47" s="1"/>
  <c r="R47"/>
  <c r="S47"/>
  <c r="BO47" s="1"/>
  <c r="T47"/>
  <c r="BP47" s="1"/>
  <c r="U47"/>
  <c r="BQ47" s="1"/>
  <c r="V47"/>
  <c r="W47"/>
  <c r="BS47" s="1"/>
  <c r="X47"/>
  <c r="BT47" s="1"/>
  <c r="Y47"/>
  <c r="BU47" s="1"/>
  <c r="Z47"/>
  <c r="AA47"/>
  <c r="BW47" s="1"/>
  <c r="AB47"/>
  <c r="AC47"/>
  <c r="BY47"/>
  <c r="H11"/>
  <c r="BD11" s="1"/>
  <c r="I11"/>
  <c r="J11"/>
  <c r="BF11" s="1"/>
  <c r="K11"/>
  <c r="BG11" s="1"/>
  <c r="L11"/>
  <c r="BH11" s="1"/>
  <c r="M11"/>
  <c r="BI11" s="1"/>
  <c r="N11"/>
  <c r="BJ11" s="1"/>
  <c r="O11"/>
  <c r="BK11" s="1"/>
  <c r="P11"/>
  <c r="BL11" s="1"/>
  <c r="Q11"/>
  <c r="BM11" s="1"/>
  <c r="R11"/>
  <c r="BN11" s="1"/>
  <c r="S11"/>
  <c r="BO11" s="1"/>
  <c r="T11"/>
  <c r="BP11" s="1"/>
  <c r="U11"/>
  <c r="BQ11" s="1"/>
  <c r="V11"/>
  <c r="W11"/>
  <c r="BS11"/>
  <c r="X11"/>
  <c r="BT11" s="1"/>
  <c r="Y11"/>
  <c r="BU11" s="1"/>
  <c r="Z11"/>
  <c r="BV11" s="1"/>
  <c r="AA11"/>
  <c r="BW11" s="1"/>
  <c r="AB11"/>
  <c r="BX11" s="1"/>
  <c r="AC11"/>
  <c r="BY11" s="1"/>
  <c r="AC49"/>
  <c r="BY49" s="1"/>
  <c r="AB49"/>
  <c r="BX49" s="1"/>
  <c r="AA49"/>
  <c r="BW49" s="1"/>
  <c r="Z49"/>
  <c r="BV49" s="1"/>
  <c r="Y49"/>
  <c r="BU49" s="1"/>
  <c r="X49"/>
  <c r="W49"/>
  <c r="BS49" s="1"/>
  <c r="V49"/>
  <c r="BR49" s="1"/>
  <c r="U49"/>
  <c r="BQ49" s="1"/>
  <c r="T49"/>
  <c r="BP49"/>
  <c r="S49"/>
  <c r="BO49" s="1"/>
  <c r="R49"/>
  <c r="BN49" s="1"/>
  <c r="Q49"/>
  <c r="BM49" s="1"/>
  <c r="P49"/>
  <c r="O49"/>
  <c r="BK49" s="1"/>
  <c r="N49"/>
  <c r="BJ49" s="1"/>
  <c r="M49"/>
  <c r="BI49" s="1"/>
  <c r="L49"/>
  <c r="BH49" s="1"/>
  <c r="K49"/>
  <c r="J49"/>
  <c r="BF49" s="1"/>
  <c r="I49"/>
  <c r="BE49" s="1"/>
  <c r="H49"/>
  <c r="BD49" s="1"/>
  <c r="G49"/>
  <c r="BC49" s="1"/>
  <c r="AC48"/>
  <c r="BY48" s="1"/>
  <c r="AB48"/>
  <c r="AA48"/>
  <c r="AY48" s="1"/>
  <c r="Z48"/>
  <c r="BV48" s="1"/>
  <c r="Y48"/>
  <c r="BU48" s="1"/>
  <c r="X48"/>
  <c r="W48"/>
  <c r="V48"/>
  <c r="BR48" s="1"/>
  <c r="U48"/>
  <c r="BQ48" s="1"/>
  <c r="T48"/>
  <c r="S48"/>
  <c r="BO48"/>
  <c r="R48"/>
  <c r="Q48"/>
  <c r="AO48" s="1"/>
  <c r="P48"/>
  <c r="O48"/>
  <c r="BK48" s="1"/>
  <c r="N48"/>
  <c r="BJ48" s="1"/>
  <c r="M48"/>
  <c r="BI48" s="1"/>
  <c r="L48"/>
  <c r="K48"/>
  <c r="AI48" s="1"/>
  <c r="J48"/>
  <c r="BF48" s="1"/>
  <c r="I48"/>
  <c r="BE48" s="1"/>
  <c r="H48"/>
  <c r="G48"/>
  <c r="G47"/>
  <c r="BC47" s="1"/>
  <c r="G46"/>
  <c r="BC46" s="1"/>
  <c r="G44"/>
  <c r="BC44" s="1"/>
  <c r="G43"/>
  <c r="BC43"/>
  <c r="G42"/>
  <c r="BC42" s="1"/>
  <c r="G40"/>
  <c r="BC40" s="1"/>
  <c r="G39"/>
  <c r="BC39" s="1"/>
  <c r="G38"/>
  <c r="BC38" s="1"/>
  <c r="G37"/>
  <c r="G36"/>
  <c r="BC36" s="1"/>
  <c r="G34"/>
  <c r="BC34" s="1"/>
  <c r="G33"/>
  <c r="BC33" s="1"/>
  <c r="G32"/>
  <c r="BC32" s="1"/>
  <c r="G31"/>
  <c r="BC31" s="1"/>
  <c r="G30"/>
  <c r="BC30" s="1"/>
  <c r="G29"/>
  <c r="BC29" s="1"/>
  <c r="G27"/>
  <c r="BC27" s="1"/>
  <c r="G26"/>
  <c r="BC26"/>
  <c r="G25"/>
  <c r="G24"/>
  <c r="BC24" s="1"/>
  <c r="G23"/>
  <c r="BC23" s="1"/>
  <c r="G22"/>
  <c r="BC22" s="1"/>
  <c r="G21"/>
  <c r="BC21" s="1"/>
  <c r="G20"/>
  <c r="G19"/>
  <c r="BC19" s="1"/>
  <c r="G18"/>
  <c r="BC18" s="1"/>
  <c r="G17"/>
  <c r="BC17" s="1"/>
  <c r="G16"/>
  <c r="BC16" s="1"/>
  <c r="G15"/>
  <c r="G14"/>
  <c r="BC14" s="1"/>
  <c r="G12"/>
  <c r="BC12" s="1"/>
  <c r="G11"/>
  <c r="BC11" s="1"/>
  <c r="FQ6" i="1"/>
  <c r="FP6"/>
  <c r="FO6"/>
  <c r="FN6"/>
  <c r="FM6"/>
  <c r="FL6"/>
  <c r="FK6"/>
  <c r="FJ6"/>
  <c r="FI6"/>
  <c r="FH6"/>
  <c r="FG6"/>
  <c r="FF6"/>
  <c r="FE6"/>
  <c r="FD6"/>
  <c r="FC6"/>
  <c r="FB6"/>
  <c r="FA6"/>
  <c r="EZ6"/>
  <c r="EY6"/>
  <c r="EX6"/>
  <c r="EW6"/>
  <c r="EV6"/>
  <c r="EU6"/>
  <c r="G13" i="57"/>
  <c r="H13"/>
  <c r="BD13"/>
  <c r="I13"/>
  <c r="BE13" s="1"/>
  <c r="J13"/>
  <c r="BF13" s="1"/>
  <c r="K13"/>
  <c r="BG13" s="1"/>
  <c r="L13"/>
  <c r="BH13" s="1"/>
  <c r="M13"/>
  <c r="BI13" s="1"/>
  <c r="N13"/>
  <c r="BJ13" s="1"/>
  <c r="O13"/>
  <c r="BK13" s="1"/>
  <c r="P13"/>
  <c r="AN13" s="1"/>
  <c r="Q13"/>
  <c r="BM13" s="1"/>
  <c r="R13"/>
  <c r="BN13" s="1"/>
  <c r="S13"/>
  <c r="BO13" s="1"/>
  <c r="T13"/>
  <c r="BP13" s="1"/>
  <c r="U13"/>
  <c r="BQ13" s="1"/>
  <c r="V13"/>
  <c r="BR13" s="1"/>
  <c r="W13"/>
  <c r="BS13" s="1"/>
  <c r="X13"/>
  <c r="BT13"/>
  <c r="Y13"/>
  <c r="BU13" s="1"/>
  <c r="Z13"/>
  <c r="BV13" s="1"/>
  <c r="AA13"/>
  <c r="BW13" s="1"/>
  <c r="AB13"/>
  <c r="BX13" s="1"/>
  <c r="AC13"/>
  <c r="BY13" s="1"/>
  <c r="G28"/>
  <c r="BC28" s="1"/>
  <c r="H28"/>
  <c r="AF28" s="1"/>
  <c r="I28"/>
  <c r="BE28" s="1"/>
  <c r="J28"/>
  <c r="BF28" s="1"/>
  <c r="K28"/>
  <c r="BG28" s="1"/>
  <c r="L28"/>
  <c r="AJ28" s="1"/>
  <c r="M28"/>
  <c r="N28"/>
  <c r="BJ28" s="1"/>
  <c r="O28"/>
  <c r="BK28" s="1"/>
  <c r="P28"/>
  <c r="AN28" s="1"/>
  <c r="Q28"/>
  <c r="BM28" s="1"/>
  <c r="R28"/>
  <c r="BN28" s="1"/>
  <c r="S28"/>
  <c r="AQ28" s="1"/>
  <c r="T28"/>
  <c r="AR28" s="1"/>
  <c r="U28"/>
  <c r="V28"/>
  <c r="BR28" s="1"/>
  <c r="W28"/>
  <c r="BS28" s="1"/>
  <c r="X28"/>
  <c r="AV28" s="1"/>
  <c r="Y28"/>
  <c r="BU28" s="1"/>
  <c r="Z28"/>
  <c r="BV28" s="1"/>
  <c r="AA28"/>
  <c r="BW28" s="1"/>
  <c r="AB28"/>
  <c r="AZ28" s="1"/>
  <c r="AC28"/>
  <c r="G35"/>
  <c r="BC35" s="1"/>
  <c r="H35"/>
  <c r="BD35"/>
  <c r="I35"/>
  <c r="BE35" s="1"/>
  <c r="J35"/>
  <c r="BF35" s="1"/>
  <c r="K35"/>
  <c r="BG35" s="1"/>
  <c r="L35"/>
  <c r="BH35" s="1"/>
  <c r="M35"/>
  <c r="BI35" s="1"/>
  <c r="N35"/>
  <c r="O35"/>
  <c r="BK35" s="1"/>
  <c r="P35"/>
  <c r="BL35" s="1"/>
  <c r="Q35"/>
  <c r="BM35" s="1"/>
  <c r="R35"/>
  <c r="BN35"/>
  <c r="S35"/>
  <c r="BO35" s="1"/>
  <c r="T35"/>
  <c r="BP35" s="1"/>
  <c r="U35"/>
  <c r="BQ35" s="1"/>
  <c r="V35"/>
  <c r="W35"/>
  <c r="BS35" s="1"/>
  <c r="X35"/>
  <c r="BT35" s="1"/>
  <c r="Y35"/>
  <c r="BU35" s="1"/>
  <c r="Z35"/>
  <c r="AX35" s="1"/>
  <c r="BV35"/>
  <c r="AA35"/>
  <c r="BW35" s="1"/>
  <c r="AB35"/>
  <c r="BX35" s="1"/>
  <c r="AC35"/>
  <c r="BA35" s="1"/>
  <c r="G41"/>
  <c r="H41"/>
  <c r="I41"/>
  <c r="BE41" s="1"/>
  <c r="J41"/>
  <c r="AH41" s="1"/>
  <c r="K41"/>
  <c r="BG41" s="1"/>
  <c r="L41"/>
  <c r="BH41" s="1"/>
  <c r="M41"/>
  <c r="AK41" s="1"/>
  <c r="N41"/>
  <c r="AL41" s="1"/>
  <c r="O41"/>
  <c r="P41"/>
  <c r="BL41" s="1"/>
  <c r="Q41"/>
  <c r="BM41" s="1"/>
  <c r="R41"/>
  <c r="AP41" s="1"/>
  <c r="S41"/>
  <c r="BO41" s="1"/>
  <c r="T41"/>
  <c r="BP41" s="1"/>
  <c r="U41"/>
  <c r="BQ41" s="1"/>
  <c r="V41"/>
  <c r="AT41" s="1"/>
  <c r="W41"/>
  <c r="BS41" s="1"/>
  <c r="X41"/>
  <c r="BT41" s="1"/>
  <c r="Y41"/>
  <c r="BU41" s="1"/>
  <c r="Z41"/>
  <c r="AX41" s="1"/>
  <c r="AA41"/>
  <c r="BW41" s="1"/>
  <c r="AB41"/>
  <c r="BX41" s="1"/>
  <c r="AC41"/>
  <c r="BY41" s="1"/>
  <c r="G45"/>
  <c r="H45"/>
  <c r="BD45" s="1"/>
  <c r="I45"/>
  <c r="BE45" s="1"/>
  <c r="J45"/>
  <c r="BF45" s="1"/>
  <c r="K45"/>
  <c r="BG45" s="1"/>
  <c r="L45"/>
  <c r="BH45"/>
  <c r="M45"/>
  <c r="BI45" s="1"/>
  <c r="N45"/>
  <c r="BJ45" s="1"/>
  <c r="O45"/>
  <c r="BK45" s="1"/>
  <c r="P45"/>
  <c r="BL45" s="1"/>
  <c r="Q45"/>
  <c r="BM45" s="1"/>
  <c r="R45"/>
  <c r="BN45" s="1"/>
  <c r="S45"/>
  <c r="BO45" s="1"/>
  <c r="T45"/>
  <c r="BP45" s="1"/>
  <c r="U45"/>
  <c r="BQ45" s="1"/>
  <c r="V45"/>
  <c r="BR45" s="1"/>
  <c r="W45"/>
  <c r="BS45" s="1"/>
  <c r="X45"/>
  <c r="BT45" s="1"/>
  <c r="Y45"/>
  <c r="BU45" s="1"/>
  <c r="Z45"/>
  <c r="BV45" s="1"/>
  <c r="AA45"/>
  <c r="BW45" s="1"/>
  <c r="AB45"/>
  <c r="BX45" s="1"/>
  <c r="AC45"/>
  <c r="BY45" s="1"/>
  <c r="L1" i="34"/>
  <c r="BN75" i="1"/>
  <c r="BL75"/>
  <c r="BJ75"/>
  <c r="BI75"/>
  <c r="BH75"/>
  <c r="BG75"/>
  <c r="BN74"/>
  <c r="BL74"/>
  <c r="BJ74"/>
  <c r="BI74"/>
  <c r="BH74"/>
  <c r="BG74"/>
  <c r="BN73"/>
  <c r="BL73"/>
  <c r="BJ73"/>
  <c r="BI73"/>
  <c r="BH73"/>
  <c r="BG73"/>
  <c r="BN72"/>
  <c r="BL72"/>
  <c r="BJ72"/>
  <c r="BI72"/>
  <c r="BH72"/>
  <c r="BG72"/>
  <c r="BN71"/>
  <c r="BL71"/>
  <c r="BJ71"/>
  <c r="BI71"/>
  <c r="BH71"/>
  <c r="BG71"/>
  <c r="BN70"/>
  <c r="BL70"/>
  <c r="BJ70"/>
  <c r="BI70"/>
  <c r="BH70"/>
  <c r="BG70"/>
  <c r="BN69"/>
  <c r="BL69"/>
  <c r="BJ69"/>
  <c r="BI69"/>
  <c r="BH69"/>
  <c r="BG69"/>
  <c r="BN68"/>
  <c r="BL68"/>
  <c r="BJ68"/>
  <c r="BI68"/>
  <c r="BH68"/>
  <c r="BG68"/>
  <c r="BN67"/>
  <c r="BL67"/>
  <c r="BJ67"/>
  <c r="BI67"/>
  <c r="BH67"/>
  <c r="BG67"/>
  <c r="BN66"/>
  <c r="BL66"/>
  <c r="BJ66"/>
  <c r="BI66"/>
  <c r="BH66"/>
  <c r="BG66"/>
  <c r="BN65"/>
  <c r="BL65"/>
  <c r="BJ65"/>
  <c r="BI65"/>
  <c r="BH65"/>
  <c r="BG65"/>
  <c r="BN64"/>
  <c r="BL64"/>
  <c r="BJ64"/>
  <c r="BI64"/>
  <c r="BH64"/>
  <c r="BG64"/>
  <c r="BN63"/>
  <c r="BL63"/>
  <c r="BJ63"/>
  <c r="BI63"/>
  <c r="BH63"/>
  <c r="BG63"/>
  <c r="BN62"/>
  <c r="BL62"/>
  <c r="BJ62"/>
  <c r="BI62"/>
  <c r="BH62"/>
  <c r="BG62"/>
  <c r="BN61"/>
  <c r="BL61"/>
  <c r="BJ61"/>
  <c r="BI61"/>
  <c r="BH61"/>
  <c r="BG61"/>
  <c r="BJ60"/>
  <c r="BI60"/>
  <c r="BN60"/>
  <c r="BL60"/>
  <c r="BH60"/>
  <c r="BG60"/>
  <c r="BJ59"/>
  <c r="BI59"/>
  <c r="BL59"/>
  <c r="BH59"/>
  <c r="BG59"/>
  <c r="BJ58"/>
  <c r="BI58"/>
  <c r="BN58"/>
  <c r="BL58"/>
  <c r="BH58"/>
  <c r="BG58"/>
  <c r="D73" i="57"/>
  <c r="BJ57" i="1"/>
  <c r="C73" i="57"/>
  <c r="BI57" i="1"/>
  <c r="BN57"/>
  <c r="BL57"/>
  <c r="BH57"/>
  <c r="BG57"/>
  <c r="BJ56"/>
  <c r="BI56"/>
  <c r="BN56"/>
  <c r="BL56"/>
  <c r="BH56"/>
  <c r="BG56"/>
  <c r="BJ55"/>
  <c r="BI55"/>
  <c r="BL55"/>
  <c r="BH55"/>
  <c r="BG55"/>
  <c r="BJ54"/>
  <c r="BI54"/>
  <c r="BN54"/>
  <c r="BL54"/>
  <c r="BH54"/>
  <c r="BG54"/>
  <c r="BJ53"/>
  <c r="BI53"/>
  <c r="BN53"/>
  <c r="BL53"/>
  <c r="BH53"/>
  <c r="BG53"/>
  <c r="D69" i="57"/>
  <c r="BJ52" i="1"/>
  <c r="C69" i="57"/>
  <c r="BI52" i="1"/>
  <c r="BN52"/>
  <c r="BL52"/>
  <c r="BH52"/>
  <c r="BG52"/>
  <c r="BJ51"/>
  <c r="BI51"/>
  <c r="BL51"/>
  <c r="BH51"/>
  <c r="BG51"/>
  <c r="D68" i="57"/>
  <c r="BJ50" i="1"/>
  <c r="BI50"/>
  <c r="BN50"/>
  <c r="BL50"/>
  <c r="BH50"/>
  <c r="BG50"/>
  <c r="BJ49"/>
  <c r="BI49"/>
  <c r="BL49"/>
  <c r="BH49"/>
  <c r="BG49"/>
  <c r="BJ48"/>
  <c r="BI48"/>
  <c r="BN48"/>
  <c r="BL48"/>
  <c r="BH48"/>
  <c r="BG48"/>
  <c r="Q48" i="40"/>
  <c r="Q47"/>
  <c r="BJ47" i="1"/>
  <c r="BI47"/>
  <c r="BL47"/>
  <c r="BH47"/>
  <c r="BG47"/>
  <c r="BJ46"/>
  <c r="BI46"/>
  <c r="BL46"/>
  <c r="BH46"/>
  <c r="BG46"/>
  <c r="Q46" i="40"/>
  <c r="Q45"/>
  <c r="M7" i="57"/>
  <c r="W7"/>
  <c r="H7"/>
  <c r="L7"/>
  <c r="P7"/>
  <c r="Q7"/>
  <c r="T7"/>
  <c r="X7"/>
  <c r="G7"/>
  <c r="C24" s="1"/>
  <c r="I7"/>
  <c r="J7"/>
  <c r="K7"/>
  <c r="R7"/>
  <c r="S7"/>
  <c r="U7"/>
  <c r="V7"/>
  <c r="AB7"/>
  <c r="O7"/>
  <c r="Y7"/>
  <c r="C66"/>
  <c r="D65"/>
  <c r="C65"/>
  <c r="Q42" i="40"/>
  <c r="Q42" i="36"/>
  <c r="Q42" i="37"/>
  <c r="Q42" i="38"/>
  <c r="Q42" i="39"/>
  <c r="Q42" i="41"/>
  <c r="C45" i="57"/>
  <c r="Q41" i="40"/>
  <c r="Q41" i="36"/>
  <c r="Q41" i="37"/>
  <c r="Q41" i="38"/>
  <c r="Q41" i="39"/>
  <c r="Q41" i="41"/>
  <c r="Q40" i="36"/>
  <c r="Q40" i="37"/>
  <c r="Q40" i="38"/>
  <c r="Q40" i="39"/>
  <c r="Q40" i="41"/>
  <c r="Q39" i="40"/>
  <c r="Q39" i="36"/>
  <c r="Q39" i="37"/>
  <c r="Q39" i="38"/>
  <c r="Q39" i="39"/>
  <c r="Q39" i="41"/>
  <c r="Q38" i="36"/>
  <c r="Q38" i="37"/>
  <c r="Q38" i="38"/>
  <c r="Q38" i="39"/>
  <c r="Q38" i="41"/>
  <c r="Q37" i="36"/>
  <c r="Q37" i="37"/>
  <c r="Q37" i="38"/>
  <c r="Q37" i="39"/>
  <c r="Q37" i="40"/>
  <c r="Q37" i="41"/>
  <c r="Q36" i="36"/>
  <c r="Q36" i="37"/>
  <c r="Q36" i="38"/>
  <c r="Q36" i="39"/>
  <c r="Q36" i="40"/>
  <c r="Q36" i="41"/>
  <c r="Q35" i="36"/>
  <c r="Q35" i="37"/>
  <c r="Q35" i="38"/>
  <c r="Q35" i="39"/>
  <c r="Q35" i="40"/>
  <c r="Q35" i="41"/>
  <c r="Q34" i="36"/>
  <c r="Q34" i="37"/>
  <c r="Q34" i="38"/>
  <c r="Q34" i="39"/>
  <c r="Q34" i="40"/>
  <c r="Q34" i="41"/>
  <c r="Q33" i="36"/>
  <c r="Q33" i="37"/>
  <c r="Q33" i="38"/>
  <c r="Q33" i="39"/>
  <c r="Q33" i="40"/>
  <c r="Q33" i="41"/>
  <c r="D61" i="57"/>
  <c r="C61"/>
  <c r="Q32" i="36"/>
  <c r="Q32" i="37"/>
  <c r="Q32" i="38"/>
  <c r="Q32" i="39"/>
  <c r="Q32" i="40"/>
  <c r="Q32" i="41"/>
  <c r="Q31" i="36"/>
  <c r="Q31" i="37"/>
  <c r="Q31" i="38"/>
  <c r="Q31" i="39"/>
  <c r="Q31" i="40"/>
  <c r="Q31" i="41"/>
  <c r="Q30" i="36"/>
  <c r="Q30" i="37"/>
  <c r="Q30" i="38"/>
  <c r="Q30" i="39"/>
  <c r="Q30" i="40"/>
  <c r="Q30" i="41"/>
  <c r="Q29" i="36"/>
  <c r="Q29" i="37"/>
  <c r="Q29" i="38"/>
  <c r="Q29" i="39"/>
  <c r="Q29" i="40"/>
  <c r="Q29" i="41"/>
  <c r="D60" i="57"/>
  <c r="Q28" i="36"/>
  <c r="Q28" i="37"/>
  <c r="Q28" i="38"/>
  <c r="Q28" i="39"/>
  <c r="Q28" i="40"/>
  <c r="Q28" i="41"/>
  <c r="Q27" i="36"/>
  <c r="Q27" i="37"/>
  <c r="Q27" i="38"/>
  <c r="Q27" i="39"/>
  <c r="Q27" i="40"/>
  <c r="Q27" i="41"/>
  <c r="Q26" i="36"/>
  <c r="Q26" i="37"/>
  <c r="Q26" i="38"/>
  <c r="Q26" i="39"/>
  <c r="Q26" i="40"/>
  <c r="Q26" i="41"/>
  <c r="Q25" i="36"/>
  <c r="Q25" i="37"/>
  <c r="Q25" i="38"/>
  <c r="Q25" i="39"/>
  <c r="Q25" i="40"/>
  <c r="Q25" i="41"/>
  <c r="Q24" i="36"/>
  <c r="Q24" i="37"/>
  <c r="Q24" i="38"/>
  <c r="Q24" i="39"/>
  <c r="Q24" i="40"/>
  <c r="Q24" i="41"/>
  <c r="Q23" i="36"/>
  <c r="Q23" i="37"/>
  <c r="Q23" i="38"/>
  <c r="Q23" i="39"/>
  <c r="Q23" i="40"/>
  <c r="Q23" i="41"/>
  <c r="Q22" i="36"/>
  <c r="Q22" i="37"/>
  <c r="Q22" i="38"/>
  <c r="Q22" i="39"/>
  <c r="Q22" i="40"/>
  <c r="Q22" i="41"/>
  <c r="Q21" i="36"/>
  <c r="Q21" i="37"/>
  <c r="Q21" i="38"/>
  <c r="Q21" i="39"/>
  <c r="Q21" i="40"/>
  <c r="Q21" i="41"/>
  <c r="Q20" i="36"/>
  <c r="Q20" i="37"/>
  <c r="Q20" i="38"/>
  <c r="Q20" i="39"/>
  <c r="Q20" i="40"/>
  <c r="Q20" i="41"/>
  <c r="Q19" i="36"/>
  <c r="Q19" i="37"/>
  <c r="Q19" i="38"/>
  <c r="Q19" i="39"/>
  <c r="Q19" i="40"/>
  <c r="Q19" i="41"/>
  <c r="Q18" i="36"/>
  <c r="Q18" i="37"/>
  <c r="Q18" i="38"/>
  <c r="Q18" i="39"/>
  <c r="Q18" i="40"/>
  <c r="Q18" i="41"/>
  <c r="Q17" i="36"/>
  <c r="Q17" i="37"/>
  <c r="Q17" i="38"/>
  <c r="Q17" i="39"/>
  <c r="Q17" i="40"/>
  <c r="Q17" i="41"/>
  <c r="Q16" i="36"/>
  <c r="Q16" i="37"/>
  <c r="Q16" i="38"/>
  <c r="Q16" i="39"/>
  <c r="Q16" i="40"/>
  <c r="Q16" i="41"/>
  <c r="Q15" i="36"/>
  <c r="Q15" i="37"/>
  <c r="Q15" i="38"/>
  <c r="Q15" i="39"/>
  <c r="Q15" i="40"/>
  <c r="Q15" i="41"/>
  <c r="Q14" i="36"/>
  <c r="Q14" i="37"/>
  <c r="Q14" i="38"/>
  <c r="Q14" i="39"/>
  <c r="Q14" i="40"/>
  <c r="Q14" i="41"/>
  <c r="Q13" i="36"/>
  <c r="Q13" i="37"/>
  <c r="Q13" i="38"/>
  <c r="Q13" i="39"/>
  <c r="Q13" i="40"/>
  <c r="Q13" i="41"/>
  <c r="Q12" i="36"/>
  <c r="Q12" i="37"/>
  <c r="Q12" i="38"/>
  <c r="Q12" i="39"/>
  <c r="Q12" i="40"/>
  <c r="Q11" i="36"/>
  <c r="Q11" i="37"/>
  <c r="Q11" i="38"/>
  <c r="Q11" i="39"/>
  <c r="Q11" i="40"/>
  <c r="Q11" i="41"/>
  <c r="DM6" i="1"/>
  <c r="DL6"/>
  <c r="DK6"/>
  <c r="DJ6"/>
  <c r="DI6"/>
  <c r="DH6"/>
  <c r="DG6"/>
  <c r="DF6"/>
  <c r="DE6"/>
  <c r="DD6"/>
  <c r="DC6"/>
  <c r="DB6"/>
  <c r="DA6"/>
  <c r="CZ6"/>
  <c r="CY6"/>
  <c r="CX6"/>
  <c r="CW6"/>
  <c r="CV6"/>
  <c r="CU6"/>
  <c r="CT6"/>
  <c r="CS6"/>
  <c r="CR6"/>
  <c r="CQ6"/>
  <c r="G50" i="57"/>
  <c r="BC50" s="1"/>
  <c r="H50"/>
  <c r="AF50" s="1"/>
  <c r="I50"/>
  <c r="BE50" s="1"/>
  <c r="J50"/>
  <c r="BF50"/>
  <c r="K50"/>
  <c r="L50"/>
  <c r="BH50" s="1"/>
  <c r="M50"/>
  <c r="BI50" s="1"/>
  <c r="N50"/>
  <c r="BJ50" s="1"/>
  <c r="O50"/>
  <c r="BK50" s="1"/>
  <c r="P50"/>
  <c r="AN50" s="1"/>
  <c r="Q50"/>
  <c r="BM50" s="1"/>
  <c r="R50"/>
  <c r="BN50" s="1"/>
  <c r="S50"/>
  <c r="T50"/>
  <c r="BP50" s="1"/>
  <c r="U50"/>
  <c r="BQ50" s="1"/>
  <c r="V50"/>
  <c r="BR50" s="1"/>
  <c r="W50"/>
  <c r="BS50" s="1"/>
  <c r="X50"/>
  <c r="AV50" s="1"/>
  <c r="Y50"/>
  <c r="BU50" s="1"/>
  <c r="Z50"/>
  <c r="BV50" s="1"/>
  <c r="AA50"/>
  <c r="AB50"/>
  <c r="BX50" s="1"/>
  <c r="AC50"/>
  <c r="BA50" s="1"/>
  <c r="G51"/>
  <c r="BC51" s="1"/>
  <c r="H51"/>
  <c r="BD51" s="1"/>
  <c r="I51"/>
  <c r="BE51" s="1"/>
  <c r="J51"/>
  <c r="AH51" s="1"/>
  <c r="K51"/>
  <c r="BG51" s="1"/>
  <c r="L51"/>
  <c r="M51"/>
  <c r="BI51" s="1"/>
  <c r="N51"/>
  <c r="AL51" s="1"/>
  <c r="O51"/>
  <c r="BK51" s="1"/>
  <c r="P51"/>
  <c r="BL51" s="1"/>
  <c r="Q51"/>
  <c r="AO51" s="1"/>
  <c r="R51"/>
  <c r="AP51" s="1"/>
  <c r="S51"/>
  <c r="BO51" s="1"/>
  <c r="T51"/>
  <c r="BP51" s="1"/>
  <c r="U51"/>
  <c r="BQ51" s="1"/>
  <c r="V51"/>
  <c r="AT51" s="1"/>
  <c r="W51"/>
  <c r="X51"/>
  <c r="BT51" s="1"/>
  <c r="Y51"/>
  <c r="AW51" s="1"/>
  <c r="Z51"/>
  <c r="AX51" s="1"/>
  <c r="AA51"/>
  <c r="AY51" s="1"/>
  <c r="AB51"/>
  <c r="BX51" s="1"/>
  <c r="AC51"/>
  <c r="BY51" s="1"/>
  <c r="G52"/>
  <c r="AE52" s="1"/>
  <c r="H52"/>
  <c r="I52"/>
  <c r="BE52" s="1"/>
  <c r="J52"/>
  <c r="AH52" s="1"/>
  <c r="K52"/>
  <c r="AI52" s="1"/>
  <c r="L52"/>
  <c r="BH52" s="1"/>
  <c r="M52"/>
  <c r="BI52" s="1"/>
  <c r="N52"/>
  <c r="BJ52" s="1"/>
  <c r="O52"/>
  <c r="AM52" s="1"/>
  <c r="P52"/>
  <c r="Q52"/>
  <c r="BM52" s="1"/>
  <c r="R52"/>
  <c r="BN52" s="1"/>
  <c r="S52"/>
  <c r="AQ52" s="1"/>
  <c r="T52"/>
  <c r="BP52" s="1"/>
  <c r="U52"/>
  <c r="BQ52" s="1"/>
  <c r="V52"/>
  <c r="BR52" s="1"/>
  <c r="W52"/>
  <c r="AU52" s="1"/>
  <c r="X52"/>
  <c r="BT52" s="1"/>
  <c r="Y52"/>
  <c r="BU52" s="1"/>
  <c r="Z52"/>
  <c r="AX52" s="1"/>
  <c r="AA52"/>
  <c r="AY52" s="1"/>
  <c r="AB52"/>
  <c r="BX52"/>
  <c r="AC52"/>
  <c r="BY52" s="1"/>
  <c r="G53"/>
  <c r="BC53" s="1"/>
  <c r="H53"/>
  <c r="AF53" s="1"/>
  <c r="I53"/>
  <c r="BE53" s="1"/>
  <c r="J53"/>
  <c r="BF53" s="1"/>
  <c r="K53"/>
  <c r="AI53" s="1"/>
  <c r="L53"/>
  <c r="AJ53" s="1"/>
  <c r="M53"/>
  <c r="N53"/>
  <c r="BJ53" s="1"/>
  <c r="O53"/>
  <c r="P53"/>
  <c r="AN53" s="1"/>
  <c r="Q53"/>
  <c r="BM53" s="1"/>
  <c r="R53"/>
  <c r="BN53" s="1"/>
  <c r="S53"/>
  <c r="AQ53" s="1"/>
  <c r="T53"/>
  <c r="AR53" s="1"/>
  <c r="U53"/>
  <c r="BQ53" s="1"/>
  <c r="V53"/>
  <c r="BR53" s="1"/>
  <c r="W53"/>
  <c r="X53"/>
  <c r="AV53" s="1"/>
  <c r="Y53"/>
  <c r="Z53"/>
  <c r="BV53" s="1"/>
  <c r="AA53"/>
  <c r="BW53" s="1"/>
  <c r="AB53"/>
  <c r="AZ53" s="1"/>
  <c r="AC53"/>
  <c r="BA53" s="1"/>
  <c r="G54"/>
  <c r="BC54" s="1"/>
  <c r="H54"/>
  <c r="BD54" s="1"/>
  <c r="I54"/>
  <c r="AG54" s="1"/>
  <c r="J54"/>
  <c r="K54"/>
  <c r="BG54" s="1"/>
  <c r="L54"/>
  <c r="AJ54" s="1"/>
  <c r="M54"/>
  <c r="AK54" s="1"/>
  <c r="N54"/>
  <c r="BJ54" s="1"/>
  <c r="O54"/>
  <c r="P54"/>
  <c r="BL54" s="1"/>
  <c r="Q54"/>
  <c r="AO54" s="1"/>
  <c r="R54"/>
  <c r="BN54" s="1"/>
  <c r="S54"/>
  <c r="BO54" s="1"/>
  <c r="T54"/>
  <c r="AR54" s="1"/>
  <c r="U54"/>
  <c r="AS54" s="1"/>
  <c r="V54"/>
  <c r="BR54" s="1"/>
  <c r="W54"/>
  <c r="X54"/>
  <c r="BT54" s="1"/>
  <c r="Y54"/>
  <c r="AW54" s="1"/>
  <c r="Z54"/>
  <c r="BV54" s="1"/>
  <c r="AA54"/>
  <c r="BW54" s="1"/>
  <c r="AB54"/>
  <c r="AZ54" s="1"/>
  <c r="AC54"/>
  <c r="BA54" s="1"/>
  <c r="G55"/>
  <c r="AE55" s="1"/>
  <c r="H55"/>
  <c r="AF55" s="1"/>
  <c r="I55"/>
  <c r="BE55" s="1"/>
  <c r="J55"/>
  <c r="BF55" s="1"/>
  <c r="K55"/>
  <c r="BG55" s="1"/>
  <c r="L55"/>
  <c r="AJ55" s="1"/>
  <c r="M55"/>
  <c r="AK55" s="1"/>
  <c r="BI55"/>
  <c r="N55"/>
  <c r="BJ55" s="1"/>
  <c r="O55"/>
  <c r="BK55" s="1"/>
  <c r="P55"/>
  <c r="AN55" s="1"/>
  <c r="Q55"/>
  <c r="R55"/>
  <c r="BN55" s="1"/>
  <c r="S55"/>
  <c r="T55"/>
  <c r="AR55" s="1"/>
  <c r="U55"/>
  <c r="AS55" s="1"/>
  <c r="V55"/>
  <c r="BR55" s="1"/>
  <c r="W55"/>
  <c r="BS55" s="1"/>
  <c r="X55"/>
  <c r="AV55" s="1"/>
  <c r="Y55"/>
  <c r="BU55" s="1"/>
  <c r="Z55"/>
  <c r="BV55" s="1"/>
  <c r="AA55"/>
  <c r="AB55"/>
  <c r="AZ55" s="1"/>
  <c r="AC55"/>
  <c r="BA55" s="1"/>
  <c r="G56"/>
  <c r="BC56" s="1"/>
  <c r="H56"/>
  <c r="BD56" s="1"/>
  <c r="I56"/>
  <c r="AG56" s="1"/>
  <c r="J56"/>
  <c r="BF56" s="1"/>
  <c r="K56"/>
  <c r="L56"/>
  <c r="M56"/>
  <c r="AK56" s="1"/>
  <c r="N56"/>
  <c r="BJ56" s="1"/>
  <c r="O56"/>
  <c r="BK56" s="1"/>
  <c r="P56"/>
  <c r="Q56"/>
  <c r="AO56" s="1"/>
  <c r="R56"/>
  <c r="AP56" s="1"/>
  <c r="S56"/>
  <c r="T56"/>
  <c r="BP56" s="1"/>
  <c r="U56"/>
  <c r="AS56" s="1"/>
  <c r="V56"/>
  <c r="BR56" s="1"/>
  <c r="W56"/>
  <c r="BS56" s="1"/>
  <c r="X56"/>
  <c r="BT56" s="1"/>
  <c r="Y56"/>
  <c r="AW56" s="1"/>
  <c r="Z56"/>
  <c r="BV56" s="1"/>
  <c r="AA56"/>
  <c r="BW56" s="1"/>
  <c r="AB56"/>
  <c r="BX56" s="1"/>
  <c r="AC56"/>
  <c r="BY56" s="1"/>
  <c r="G57"/>
  <c r="AE57" s="1"/>
  <c r="H57"/>
  <c r="AF57" s="1"/>
  <c r="I57"/>
  <c r="J57"/>
  <c r="BF57" s="1"/>
  <c r="K57"/>
  <c r="L57"/>
  <c r="AJ57" s="1"/>
  <c r="M57"/>
  <c r="N57"/>
  <c r="BJ57" s="1"/>
  <c r="O57"/>
  <c r="AM57" s="1"/>
  <c r="BK57"/>
  <c r="P57"/>
  <c r="AN57" s="1"/>
  <c r="Q57"/>
  <c r="BM57" s="1"/>
  <c r="R57"/>
  <c r="BN57" s="1"/>
  <c r="S57"/>
  <c r="BO57" s="1"/>
  <c r="T57"/>
  <c r="AR57" s="1"/>
  <c r="U57"/>
  <c r="V57"/>
  <c r="BR57" s="1"/>
  <c r="W57"/>
  <c r="BS57" s="1"/>
  <c r="X57"/>
  <c r="AV57" s="1"/>
  <c r="Y57"/>
  <c r="AW57" s="1"/>
  <c r="Z57"/>
  <c r="AA57"/>
  <c r="BW57" s="1"/>
  <c r="AB57"/>
  <c r="AZ57" s="1"/>
  <c r="AC57"/>
  <c r="BY57" s="1"/>
  <c r="G58"/>
  <c r="BC58" s="1"/>
  <c r="H58"/>
  <c r="BD58" s="1"/>
  <c r="I58"/>
  <c r="AG58" s="1"/>
  <c r="J58"/>
  <c r="BF58"/>
  <c r="K58"/>
  <c r="BG58" s="1"/>
  <c r="L58"/>
  <c r="BH58" s="1"/>
  <c r="M58"/>
  <c r="AK58" s="1"/>
  <c r="N58"/>
  <c r="BJ58" s="1"/>
  <c r="O58"/>
  <c r="P58"/>
  <c r="AN58" s="1"/>
  <c r="Q58"/>
  <c r="AO58" s="1"/>
  <c r="R58"/>
  <c r="BN58" s="1"/>
  <c r="S58"/>
  <c r="BO58" s="1"/>
  <c r="T58"/>
  <c r="BP58" s="1"/>
  <c r="U58"/>
  <c r="AS58" s="1"/>
  <c r="V58"/>
  <c r="BR58" s="1"/>
  <c r="W58"/>
  <c r="BS58" s="1"/>
  <c r="X58"/>
  <c r="AV58" s="1"/>
  <c r="Y58"/>
  <c r="AW58" s="1"/>
  <c r="Z58"/>
  <c r="AA58"/>
  <c r="BW58" s="1"/>
  <c r="AB58"/>
  <c r="AC58"/>
  <c r="BA58" s="1"/>
  <c r="J75"/>
  <c r="BF75" s="1"/>
  <c r="K75"/>
  <c r="BG75" s="1"/>
  <c r="L75"/>
  <c r="AJ75" s="1"/>
  <c r="M75"/>
  <c r="AK75" s="1"/>
  <c r="N75"/>
  <c r="BJ75" s="1"/>
  <c r="O75"/>
  <c r="BK75" s="1"/>
  <c r="P75"/>
  <c r="BL75" s="1"/>
  <c r="Q75"/>
  <c r="AO75" s="1"/>
  <c r="R75"/>
  <c r="BN75" s="1"/>
  <c r="S75"/>
  <c r="BO75" s="1"/>
  <c r="T75"/>
  <c r="U75"/>
  <c r="AS75" s="1"/>
  <c r="V75"/>
  <c r="AT75" s="1"/>
  <c r="W75"/>
  <c r="BS75" s="1"/>
  <c r="X75"/>
  <c r="BT75" s="1"/>
  <c r="Y75"/>
  <c r="AW75" s="1"/>
  <c r="Z75"/>
  <c r="AA75"/>
  <c r="BW75" s="1"/>
  <c r="AB75"/>
  <c r="BX75" s="1"/>
  <c r="AC75"/>
  <c r="BA75" s="1"/>
  <c r="G76"/>
  <c r="BC76" s="1"/>
  <c r="H76"/>
  <c r="I76"/>
  <c r="BE76" s="1"/>
  <c r="J76"/>
  <c r="AH76" s="1"/>
  <c r="K76"/>
  <c r="BG76" s="1"/>
  <c r="L76"/>
  <c r="BH76" s="1"/>
  <c r="M76"/>
  <c r="AK76" s="1"/>
  <c r="N76"/>
  <c r="AL76" s="1"/>
  <c r="O76"/>
  <c r="AM76" s="1"/>
  <c r="BK76"/>
  <c r="P76"/>
  <c r="BL76" s="1"/>
  <c r="Q76"/>
  <c r="BM76" s="1"/>
  <c r="R76"/>
  <c r="AP76" s="1"/>
  <c r="S76"/>
  <c r="T76"/>
  <c r="BP76" s="1"/>
  <c r="U76"/>
  <c r="AS76" s="1"/>
  <c r="V76"/>
  <c r="AT76" s="1"/>
  <c r="W76"/>
  <c r="BS76" s="1"/>
  <c r="X76"/>
  <c r="BT76" s="1"/>
  <c r="Y76"/>
  <c r="BU76" s="1"/>
  <c r="Z76"/>
  <c r="AX76" s="1"/>
  <c r="AA76"/>
  <c r="AB76"/>
  <c r="BX76" s="1"/>
  <c r="AC76"/>
  <c r="BY76" s="1"/>
  <c r="G77"/>
  <c r="AE77" s="1"/>
  <c r="H77"/>
  <c r="BD77" s="1"/>
  <c r="I77"/>
  <c r="J77"/>
  <c r="BF77" s="1"/>
  <c r="K77"/>
  <c r="AI77" s="1"/>
  <c r="L77"/>
  <c r="BH77" s="1"/>
  <c r="M77"/>
  <c r="BI77" s="1"/>
  <c r="N77"/>
  <c r="BJ77" s="1"/>
  <c r="O77"/>
  <c r="AM77" s="1"/>
  <c r="P77"/>
  <c r="BL77" s="1"/>
  <c r="Q77"/>
  <c r="R77"/>
  <c r="BN77" s="1"/>
  <c r="S77"/>
  <c r="AQ77" s="1"/>
  <c r="T77"/>
  <c r="BP77" s="1"/>
  <c r="U77"/>
  <c r="BQ77" s="1"/>
  <c r="V77"/>
  <c r="AT77" s="1"/>
  <c r="W77"/>
  <c r="AU77" s="1"/>
  <c r="X77"/>
  <c r="BT77" s="1"/>
  <c r="Y77"/>
  <c r="BU77" s="1"/>
  <c r="Z77"/>
  <c r="BV77" s="1"/>
  <c r="AA77"/>
  <c r="AY77" s="1"/>
  <c r="AB77"/>
  <c r="AC77"/>
  <c r="BY77" s="1"/>
  <c r="G78"/>
  <c r="BC78" s="1"/>
  <c r="H78"/>
  <c r="AF78" s="1"/>
  <c r="I78"/>
  <c r="BE78" s="1"/>
  <c r="J78"/>
  <c r="K78"/>
  <c r="BG78" s="1"/>
  <c r="L78"/>
  <c r="AJ78" s="1"/>
  <c r="M78"/>
  <c r="BI78" s="1"/>
  <c r="N78"/>
  <c r="BJ78" s="1"/>
  <c r="O78"/>
  <c r="BK78" s="1"/>
  <c r="P78"/>
  <c r="AN78" s="1"/>
  <c r="Q78"/>
  <c r="BM78" s="1"/>
  <c r="R78"/>
  <c r="S78"/>
  <c r="BO78" s="1"/>
  <c r="T78"/>
  <c r="AR78" s="1"/>
  <c r="U78"/>
  <c r="BQ78" s="1"/>
  <c r="V78"/>
  <c r="BR78" s="1"/>
  <c r="W78"/>
  <c r="AU78" s="1"/>
  <c r="X78"/>
  <c r="AV78" s="1"/>
  <c r="Y78"/>
  <c r="BU78" s="1"/>
  <c r="Z78"/>
  <c r="BV78" s="1"/>
  <c r="AA78"/>
  <c r="BW78" s="1"/>
  <c r="AB78"/>
  <c r="AZ78" s="1"/>
  <c r="AC78"/>
  <c r="G79"/>
  <c r="BC79" s="1"/>
  <c r="H79"/>
  <c r="AF79" s="1"/>
  <c r="I79"/>
  <c r="AG79" s="1"/>
  <c r="J79"/>
  <c r="BF79"/>
  <c r="K79"/>
  <c r="BG79" s="1"/>
  <c r="L79"/>
  <c r="BH79" s="1"/>
  <c r="M79"/>
  <c r="AK79" s="1"/>
  <c r="N79"/>
  <c r="O79"/>
  <c r="BK79" s="1"/>
  <c r="P79"/>
  <c r="AN79" s="1"/>
  <c r="Q79"/>
  <c r="AO79" s="1"/>
  <c r="R79"/>
  <c r="AP79" s="1"/>
  <c r="S79"/>
  <c r="T79"/>
  <c r="BP79" s="1"/>
  <c r="U79"/>
  <c r="AS79" s="1"/>
  <c r="V79"/>
  <c r="BR79" s="1"/>
  <c r="W79"/>
  <c r="BS79" s="1"/>
  <c r="X79"/>
  <c r="BT79" s="1"/>
  <c r="Y79"/>
  <c r="AW79" s="1"/>
  <c r="Z79"/>
  <c r="AX79" s="1"/>
  <c r="AA79"/>
  <c r="AB79"/>
  <c r="BX79" s="1"/>
  <c r="AC79"/>
  <c r="BA79" s="1"/>
  <c r="G80"/>
  <c r="H80"/>
  <c r="BD80" s="1"/>
  <c r="I80"/>
  <c r="BE80" s="1"/>
  <c r="J80"/>
  <c r="AH80" s="1"/>
  <c r="K80"/>
  <c r="AI80" s="1"/>
  <c r="L80"/>
  <c r="BH80" s="1"/>
  <c r="M80"/>
  <c r="BI80" s="1"/>
  <c r="N80"/>
  <c r="AL80" s="1"/>
  <c r="O80"/>
  <c r="P80"/>
  <c r="BL80" s="1"/>
  <c r="Q80"/>
  <c r="BM80" s="1"/>
  <c r="R80"/>
  <c r="AP80" s="1"/>
  <c r="S80"/>
  <c r="BO80" s="1"/>
  <c r="T80"/>
  <c r="BP80" s="1"/>
  <c r="U80"/>
  <c r="BQ80" s="1"/>
  <c r="V80"/>
  <c r="AT80" s="1"/>
  <c r="W80"/>
  <c r="BS80" s="1"/>
  <c r="X80"/>
  <c r="BT80" s="1"/>
  <c r="Y80"/>
  <c r="AW80" s="1"/>
  <c r="Z80"/>
  <c r="AX80" s="1"/>
  <c r="AA80"/>
  <c r="BW80"/>
  <c r="AB80"/>
  <c r="BX80" s="1"/>
  <c r="AC80"/>
  <c r="G81"/>
  <c r="AE81" s="1"/>
  <c r="H81"/>
  <c r="BD81" s="1"/>
  <c r="I81"/>
  <c r="BE81" s="1"/>
  <c r="J81"/>
  <c r="K81"/>
  <c r="AI81" s="1"/>
  <c r="L81"/>
  <c r="BH81" s="1"/>
  <c r="M81"/>
  <c r="BI81" s="1"/>
  <c r="N81"/>
  <c r="BJ81" s="1"/>
  <c r="O81"/>
  <c r="AM81" s="1"/>
  <c r="P81"/>
  <c r="Q81"/>
  <c r="BM81" s="1"/>
  <c r="R81"/>
  <c r="AP81" s="1"/>
  <c r="S81"/>
  <c r="AQ81" s="1"/>
  <c r="T81"/>
  <c r="BP81" s="1"/>
  <c r="U81"/>
  <c r="BQ81" s="1"/>
  <c r="V81"/>
  <c r="BR81" s="1"/>
  <c r="W81"/>
  <c r="AU81" s="1"/>
  <c r="X81"/>
  <c r="Y81"/>
  <c r="BU81" s="1"/>
  <c r="Z81"/>
  <c r="AX81" s="1"/>
  <c r="AA81"/>
  <c r="AY81" s="1"/>
  <c r="AB81"/>
  <c r="BX81" s="1"/>
  <c r="AC81"/>
  <c r="BY81" s="1"/>
  <c r="G82"/>
  <c r="BC82" s="1"/>
  <c r="H82"/>
  <c r="AF82" s="1"/>
  <c r="I82"/>
  <c r="BE82" s="1"/>
  <c r="J82"/>
  <c r="BF82" s="1"/>
  <c r="K82"/>
  <c r="AI82" s="1"/>
  <c r="L82"/>
  <c r="AJ82" s="1"/>
  <c r="M82"/>
  <c r="BI82" s="1"/>
  <c r="N82"/>
  <c r="BJ82" s="1"/>
  <c r="O82"/>
  <c r="BK82" s="1"/>
  <c r="P82"/>
  <c r="AN82" s="1"/>
  <c r="Q82"/>
  <c r="R82"/>
  <c r="BN82" s="1"/>
  <c r="S82"/>
  <c r="AQ82" s="1"/>
  <c r="T82"/>
  <c r="AR82" s="1"/>
  <c r="U82"/>
  <c r="BQ82" s="1"/>
  <c r="V82"/>
  <c r="BR82" s="1"/>
  <c r="W82"/>
  <c r="BS82" s="1"/>
  <c r="X82"/>
  <c r="AV82" s="1"/>
  <c r="Y82"/>
  <c r="Z82"/>
  <c r="BV82" s="1"/>
  <c r="AA82"/>
  <c r="BW82" s="1"/>
  <c r="AB82"/>
  <c r="AZ82" s="1"/>
  <c r="AC82"/>
  <c r="BY82"/>
  <c r="G83"/>
  <c r="BC83" s="1"/>
  <c r="H83"/>
  <c r="BD83" s="1"/>
  <c r="I83"/>
  <c r="AG83" s="1"/>
  <c r="J83"/>
  <c r="BF83" s="1"/>
  <c r="K83"/>
  <c r="BG83" s="1"/>
  <c r="L83"/>
  <c r="AJ83" s="1"/>
  <c r="M83"/>
  <c r="AK83" s="1"/>
  <c r="N83"/>
  <c r="BJ83" s="1"/>
  <c r="O83"/>
  <c r="BK83" s="1"/>
  <c r="P83"/>
  <c r="BL83" s="1"/>
  <c r="Q83"/>
  <c r="AO83" s="1"/>
  <c r="R83"/>
  <c r="BN83" s="1"/>
  <c r="S83"/>
  <c r="BO83" s="1"/>
  <c r="T83"/>
  <c r="AR83" s="1"/>
  <c r="U83"/>
  <c r="AS83" s="1"/>
  <c r="V83"/>
  <c r="BR83" s="1"/>
  <c r="W83"/>
  <c r="BS83" s="1"/>
  <c r="X83"/>
  <c r="BT83" s="1"/>
  <c r="Y83"/>
  <c r="AW83" s="1"/>
  <c r="Z83"/>
  <c r="AA83"/>
  <c r="BW83" s="1"/>
  <c r="AB83"/>
  <c r="BX83" s="1"/>
  <c r="AC83"/>
  <c r="BA83" s="1"/>
  <c r="G84"/>
  <c r="BC84" s="1"/>
  <c r="H84"/>
  <c r="I84"/>
  <c r="BE84" s="1"/>
  <c r="J84"/>
  <c r="AH84" s="1"/>
  <c r="K84"/>
  <c r="BG84" s="1"/>
  <c r="L84"/>
  <c r="BH84" s="1"/>
  <c r="M84"/>
  <c r="AK84" s="1"/>
  <c r="N84"/>
  <c r="AL84" s="1"/>
  <c r="O84"/>
  <c r="BK84" s="1"/>
  <c r="P84"/>
  <c r="BL84" s="1"/>
  <c r="Q84"/>
  <c r="BM84" s="1"/>
  <c r="R84"/>
  <c r="AP84" s="1"/>
  <c r="S84"/>
  <c r="T84"/>
  <c r="BP84" s="1"/>
  <c r="U84"/>
  <c r="AS84" s="1"/>
  <c r="V84"/>
  <c r="AT84" s="1"/>
  <c r="W84"/>
  <c r="BS84" s="1"/>
  <c r="X84"/>
  <c r="BT84" s="1"/>
  <c r="Y84"/>
  <c r="BU84" s="1"/>
  <c r="Z84"/>
  <c r="AX84" s="1"/>
  <c r="AA84"/>
  <c r="AB84"/>
  <c r="BX84" s="1"/>
  <c r="AC84"/>
  <c r="BA84" s="1"/>
  <c r="G85"/>
  <c r="AE85" s="1"/>
  <c r="H85"/>
  <c r="BD85" s="1"/>
  <c r="I85"/>
  <c r="J85"/>
  <c r="BF85" s="1"/>
  <c r="K85"/>
  <c r="AI85" s="1"/>
  <c r="L85"/>
  <c r="BH85" s="1"/>
  <c r="M85"/>
  <c r="BI85" s="1"/>
  <c r="N85"/>
  <c r="BJ85"/>
  <c r="O85"/>
  <c r="AM85" s="1"/>
  <c r="P85"/>
  <c r="BL85" s="1"/>
  <c r="Q85"/>
  <c r="R85"/>
  <c r="BN85" s="1"/>
  <c r="S85"/>
  <c r="AQ85" s="1"/>
  <c r="T85"/>
  <c r="BP85" s="1"/>
  <c r="U85"/>
  <c r="BQ85" s="1"/>
  <c r="V85"/>
  <c r="AT85" s="1"/>
  <c r="W85"/>
  <c r="AU85" s="1"/>
  <c r="X85"/>
  <c r="BT85" s="1"/>
  <c r="Y85"/>
  <c r="BU85" s="1"/>
  <c r="Z85"/>
  <c r="BV85" s="1"/>
  <c r="AA85"/>
  <c r="AY85" s="1"/>
  <c r="AB85"/>
  <c r="AC85"/>
  <c r="BY85" s="1"/>
  <c r="BY7"/>
  <c r="BX7"/>
  <c r="BW7"/>
  <c r="BV7"/>
  <c r="BU7"/>
  <c r="BT7"/>
  <c r="BS7"/>
  <c r="BR7"/>
  <c r="BQ7"/>
  <c r="BP7"/>
  <c r="BO7"/>
  <c r="BN7"/>
  <c r="BM7"/>
  <c r="BL7"/>
  <c r="BK7"/>
  <c r="BJ7"/>
  <c r="BI7"/>
  <c r="BH7"/>
  <c r="BG7"/>
  <c r="BF7"/>
  <c r="BE7"/>
  <c r="BD7"/>
  <c r="BC7"/>
  <c r="BY6"/>
  <c r="BX6"/>
  <c r="BW6"/>
  <c r="BV6"/>
  <c r="BU6"/>
  <c r="BT6"/>
  <c r="BS6"/>
  <c r="BR6"/>
  <c r="BQ6"/>
  <c r="BP6"/>
  <c r="BO6"/>
  <c r="BN6"/>
  <c r="BM6"/>
  <c r="BL6"/>
  <c r="BK6"/>
  <c r="BJ6"/>
  <c r="BI6"/>
  <c r="BH6"/>
  <c r="BG6"/>
  <c r="BF6"/>
  <c r="BE6"/>
  <c r="BD6"/>
  <c r="BC6"/>
  <c r="J944" i="34"/>
  <c r="J943"/>
  <c r="J942"/>
  <c r="J941"/>
  <c r="J940"/>
  <c r="J939"/>
  <c r="J938"/>
  <c r="J937"/>
  <c r="J936"/>
  <c r="J935"/>
  <c r="J934"/>
  <c r="J933"/>
  <c r="J932"/>
  <c r="J931"/>
  <c r="J930"/>
  <c r="J929"/>
  <c r="J928"/>
  <c r="J927"/>
  <c r="J926"/>
  <c r="J925"/>
  <c r="J924"/>
  <c r="J923"/>
  <c r="J922"/>
  <c r="J921"/>
  <c r="J920"/>
  <c r="J919"/>
  <c r="J918"/>
  <c r="J917"/>
  <c r="J916"/>
  <c r="J915"/>
  <c r="J914"/>
  <c r="J913"/>
  <c r="J912"/>
  <c r="J911"/>
  <c r="J910"/>
  <c r="J909"/>
  <c r="J908"/>
  <c r="J907"/>
  <c r="J906"/>
  <c r="J905"/>
  <c r="J904"/>
  <c r="J903"/>
  <c r="J902"/>
  <c r="J901"/>
  <c r="J900"/>
  <c r="J899"/>
  <c r="J898"/>
  <c r="J897"/>
  <c r="J896"/>
  <c r="J895"/>
  <c r="J894"/>
  <c r="J893"/>
  <c r="J892"/>
  <c r="J891"/>
  <c r="J890"/>
  <c r="J889"/>
  <c r="J888"/>
  <c r="J887"/>
  <c r="J886"/>
  <c r="J885"/>
  <c r="J884"/>
  <c r="J883"/>
  <c r="J882"/>
  <c r="J881"/>
  <c r="J880"/>
  <c r="J879"/>
  <c r="J878"/>
  <c r="J877"/>
  <c r="J876"/>
  <c r="J875"/>
  <c r="J874"/>
  <c r="J873"/>
  <c r="J872"/>
  <c r="J871"/>
  <c r="J870"/>
  <c r="J869"/>
  <c r="J868"/>
  <c r="J867"/>
  <c r="J866"/>
  <c r="J865"/>
  <c r="J864"/>
  <c r="J863"/>
  <c r="J862"/>
  <c r="J861"/>
  <c r="J860"/>
  <c r="J859"/>
  <c r="J858"/>
  <c r="J857"/>
  <c r="J856"/>
  <c r="J855"/>
  <c r="J854"/>
  <c r="J853"/>
  <c r="J852"/>
  <c r="J851"/>
  <c r="J850"/>
  <c r="J849"/>
  <c r="J848"/>
  <c r="J847"/>
  <c r="J846"/>
  <c r="J845"/>
  <c r="J844"/>
  <c r="J843"/>
  <c r="J842"/>
  <c r="J841"/>
  <c r="J840"/>
  <c r="J839"/>
  <c r="J838"/>
  <c r="J837"/>
  <c r="J836"/>
  <c r="J835"/>
  <c r="J834"/>
  <c r="J833"/>
  <c r="J832"/>
  <c r="J831"/>
  <c r="J830"/>
  <c r="J829"/>
  <c r="J828"/>
  <c r="J827"/>
  <c r="J826"/>
  <c r="J825"/>
  <c r="J824"/>
  <c r="J823"/>
  <c r="J822"/>
  <c r="J821"/>
  <c r="J820"/>
  <c r="J819"/>
  <c r="J818"/>
  <c r="J817"/>
  <c r="J816"/>
  <c r="J815"/>
  <c r="J814"/>
  <c r="J813"/>
  <c r="J812"/>
  <c r="J811"/>
  <c r="J810"/>
  <c r="J809"/>
  <c r="J808"/>
  <c r="J807"/>
  <c r="J806"/>
  <c r="J805"/>
  <c r="J804"/>
  <c r="J803"/>
  <c r="J802"/>
  <c r="J801"/>
  <c r="J800"/>
  <c r="J799"/>
  <c r="J798"/>
  <c r="J797"/>
  <c r="J796"/>
  <c r="J795"/>
  <c r="J794"/>
  <c r="J793"/>
  <c r="J792"/>
  <c r="J791"/>
  <c r="J790"/>
  <c r="J789"/>
  <c r="J788"/>
  <c r="J787"/>
  <c r="J786"/>
  <c r="J785"/>
  <c r="J784"/>
  <c r="J783"/>
  <c r="J782"/>
  <c r="J781"/>
  <c r="J780"/>
  <c r="J779"/>
  <c r="J778"/>
  <c r="J777"/>
  <c r="J776"/>
  <c r="J775"/>
  <c r="J774"/>
  <c r="J773"/>
  <c r="J772"/>
  <c r="J771"/>
  <c r="J770"/>
  <c r="J769"/>
  <c r="J768"/>
  <c r="J767"/>
  <c r="J766"/>
  <c r="J765"/>
  <c r="J764"/>
  <c r="J763"/>
  <c r="J762"/>
  <c r="J761"/>
  <c r="J760"/>
  <c r="J759"/>
  <c r="J758"/>
  <c r="J757"/>
  <c r="J756"/>
  <c r="J755"/>
  <c r="J754"/>
  <c r="J753"/>
  <c r="J752"/>
  <c r="J751"/>
  <c r="J750"/>
  <c r="J749"/>
  <c r="J748"/>
  <c r="J747"/>
  <c r="J746"/>
  <c r="J745"/>
  <c r="J744"/>
  <c r="J743"/>
  <c r="J742"/>
  <c r="J741"/>
  <c r="J740"/>
  <c r="J739"/>
  <c r="J738"/>
  <c r="J737"/>
  <c r="J736"/>
  <c r="J735"/>
  <c r="J734"/>
  <c r="J733"/>
  <c r="J732"/>
  <c r="J731"/>
  <c r="J730"/>
  <c r="J729"/>
  <c r="J728"/>
  <c r="J727"/>
  <c r="J726"/>
  <c r="J725"/>
  <c r="J724"/>
  <c r="J723"/>
  <c r="J722"/>
  <c r="J721"/>
  <c r="J720"/>
  <c r="J719"/>
  <c r="J718"/>
  <c r="J717"/>
  <c r="J716"/>
  <c r="J715"/>
  <c r="J714"/>
  <c r="J713"/>
  <c r="J712"/>
  <c r="J711"/>
  <c r="J710"/>
  <c r="J709"/>
  <c r="J708"/>
  <c r="J707"/>
  <c r="J706"/>
  <c r="J705"/>
  <c r="J704"/>
  <c r="J703"/>
  <c r="J702"/>
  <c r="J701"/>
  <c r="J700"/>
  <c r="J699"/>
  <c r="J698"/>
  <c r="J697"/>
  <c r="J696"/>
  <c r="J695"/>
  <c r="J694"/>
  <c r="J693"/>
  <c r="J692"/>
  <c r="J691"/>
  <c r="J690"/>
  <c r="J689"/>
  <c r="J688"/>
  <c r="J687"/>
  <c r="J686"/>
  <c r="J685"/>
  <c r="J684"/>
  <c r="J683"/>
  <c r="J682"/>
  <c r="J681"/>
  <c r="J680"/>
  <c r="J679"/>
  <c r="J678"/>
  <c r="J677"/>
  <c r="J676"/>
  <c r="J675"/>
  <c r="J674"/>
  <c r="J673"/>
  <c r="J672"/>
  <c r="J671"/>
  <c r="J670"/>
  <c r="J669"/>
  <c r="J668"/>
  <c r="J667"/>
  <c r="J666"/>
  <c r="J665"/>
  <c r="J664"/>
  <c r="J663"/>
  <c r="J662"/>
  <c r="J661"/>
  <c r="J660"/>
  <c r="J659"/>
  <c r="J658"/>
  <c r="J657"/>
  <c r="J656"/>
  <c r="J655"/>
  <c r="J654"/>
  <c r="J653"/>
  <c r="J652"/>
  <c r="J651"/>
  <c r="J650"/>
  <c r="J649"/>
  <c r="J648"/>
  <c r="J647"/>
  <c r="J646"/>
  <c r="J645"/>
  <c r="J644"/>
  <c r="J643"/>
  <c r="J642"/>
  <c r="J641"/>
  <c r="J640"/>
  <c r="J639"/>
  <c r="J638"/>
  <c r="J637"/>
  <c r="J636"/>
  <c r="J635"/>
  <c r="J634"/>
  <c r="J633"/>
  <c r="J632"/>
  <c r="J631"/>
  <c r="J630"/>
  <c r="J629"/>
  <c r="J628"/>
  <c r="J627"/>
  <c r="J626"/>
  <c r="J625"/>
  <c r="J624"/>
  <c r="J623"/>
  <c r="J622"/>
  <c r="J621"/>
  <c r="J620"/>
  <c r="J619"/>
  <c r="J618"/>
  <c r="J617"/>
  <c r="J616"/>
  <c r="J615"/>
  <c r="J614"/>
  <c r="J613"/>
  <c r="J612"/>
  <c r="J611"/>
  <c r="J610"/>
  <c r="J609"/>
  <c r="J608"/>
  <c r="J607"/>
  <c r="J606"/>
  <c r="J605"/>
  <c r="J604"/>
  <c r="J603"/>
  <c r="J602"/>
  <c r="J601"/>
  <c r="J600"/>
  <c r="J599"/>
  <c r="J598"/>
  <c r="J597"/>
  <c r="J596"/>
  <c r="J595"/>
  <c r="J594"/>
  <c r="J593"/>
  <c r="J592"/>
  <c r="J591"/>
  <c r="J590"/>
  <c r="J589"/>
  <c r="J588"/>
  <c r="J587"/>
  <c r="J586"/>
  <c r="J585"/>
  <c r="J584"/>
  <c r="J583"/>
  <c r="J582"/>
  <c r="J581"/>
  <c r="J580"/>
  <c r="J579"/>
  <c r="J578"/>
  <c r="J577"/>
  <c r="J576"/>
  <c r="J575"/>
  <c r="J574"/>
  <c r="J573"/>
  <c r="J572"/>
  <c r="J571"/>
  <c r="J570"/>
  <c r="J569"/>
  <c r="J568"/>
  <c r="J567"/>
  <c r="J566"/>
  <c r="J565"/>
  <c r="J564"/>
  <c r="J563"/>
  <c r="J562"/>
  <c r="J561"/>
  <c r="J560"/>
  <c r="J559"/>
  <c r="J558"/>
  <c r="J557"/>
  <c r="J556"/>
  <c r="J555"/>
  <c r="J554"/>
  <c r="J553"/>
  <c r="J552"/>
  <c r="J551"/>
  <c r="J550"/>
  <c r="J549"/>
  <c r="J548"/>
  <c r="J547"/>
  <c r="J546"/>
  <c r="J545"/>
  <c r="J544"/>
  <c r="J543"/>
  <c r="J542"/>
  <c r="J541"/>
  <c r="J540"/>
  <c r="J539"/>
  <c r="J538"/>
  <c r="J537"/>
  <c r="J536"/>
  <c r="J535"/>
  <c r="J534"/>
  <c r="J533"/>
  <c r="J532"/>
  <c r="J531"/>
  <c r="J530"/>
  <c r="J529"/>
  <c r="J528"/>
  <c r="J527"/>
  <c r="J526"/>
  <c r="J525"/>
  <c r="J524"/>
  <c r="J523"/>
  <c r="J522"/>
  <c r="J521"/>
  <c r="J520"/>
  <c r="J519"/>
  <c r="J518"/>
  <c r="J517"/>
  <c r="J516"/>
  <c r="J515"/>
  <c r="J514"/>
  <c r="J513"/>
  <c r="J512"/>
  <c r="J511"/>
  <c r="J510"/>
  <c r="J509"/>
  <c r="J508"/>
  <c r="J507"/>
  <c r="J506"/>
  <c r="J505"/>
  <c r="J504"/>
  <c r="J503"/>
  <c r="J502"/>
  <c r="J501"/>
  <c r="J500"/>
  <c r="J499"/>
  <c r="J498"/>
  <c r="J497"/>
  <c r="J496"/>
  <c r="J495"/>
  <c r="J494"/>
  <c r="J493"/>
  <c r="J492"/>
  <c r="J491"/>
  <c r="J490"/>
  <c r="J489"/>
  <c r="J488"/>
  <c r="J487"/>
  <c r="J486"/>
  <c r="J485"/>
  <c r="J484"/>
  <c r="J483"/>
  <c r="J482"/>
  <c r="J481"/>
  <c r="J480"/>
  <c r="J479"/>
  <c r="J478"/>
  <c r="J477"/>
  <c r="J476"/>
  <c r="J475"/>
  <c r="J474"/>
  <c r="J473"/>
  <c r="J472"/>
  <c r="J471"/>
  <c r="J470"/>
  <c r="J469"/>
  <c r="J468"/>
  <c r="J467"/>
  <c r="J466"/>
  <c r="J465"/>
  <c r="J464"/>
  <c r="J463"/>
  <c r="J462"/>
  <c r="J461"/>
  <c r="J460"/>
  <c r="J459"/>
  <c r="J458"/>
  <c r="J457"/>
  <c r="J456"/>
  <c r="J455"/>
  <c r="J454"/>
  <c r="J453"/>
  <c r="J452"/>
  <c r="J451"/>
  <c r="J450"/>
  <c r="J449"/>
  <c r="J448"/>
  <c r="J447"/>
  <c r="J446"/>
  <c r="J445"/>
  <c r="J444"/>
  <c r="J443"/>
  <c r="J442"/>
  <c r="J441"/>
  <c r="J440"/>
  <c r="J439"/>
  <c r="J438"/>
  <c r="J437"/>
  <c r="J436"/>
  <c r="J435"/>
  <c r="J434"/>
  <c r="J433"/>
  <c r="J432"/>
  <c r="J431"/>
  <c r="J430"/>
  <c r="J429"/>
  <c r="J428"/>
  <c r="J427"/>
  <c r="J426"/>
  <c r="J425"/>
  <c r="J424"/>
  <c r="J423"/>
  <c r="J422"/>
  <c r="J421"/>
  <c r="J420"/>
  <c r="J419"/>
  <c r="J418"/>
  <c r="J417"/>
  <c r="J416"/>
  <c r="J415"/>
  <c r="J414"/>
  <c r="J413"/>
  <c r="J412"/>
  <c r="J411"/>
  <c r="J410"/>
  <c r="J409"/>
  <c r="J408"/>
  <c r="J407"/>
  <c r="J406"/>
  <c r="J405"/>
  <c r="J404"/>
  <c r="J403"/>
  <c r="J402"/>
  <c r="J401"/>
  <c r="J400"/>
  <c r="J399"/>
  <c r="J398"/>
  <c r="J397"/>
  <c r="J396"/>
  <c r="J395"/>
  <c r="J394"/>
  <c r="J393"/>
  <c r="J392"/>
  <c r="J391"/>
  <c r="J390"/>
  <c r="J389"/>
  <c r="J388"/>
  <c r="J387"/>
  <c r="J386"/>
  <c r="J385"/>
  <c r="J384"/>
  <c r="J383"/>
  <c r="J382"/>
  <c r="J381"/>
  <c r="J380"/>
  <c r="J379"/>
  <c r="J378"/>
  <c r="J377"/>
  <c r="J376"/>
  <c r="J375"/>
  <c r="J374"/>
  <c r="J373"/>
  <c r="J372"/>
  <c r="J371"/>
  <c r="J370"/>
  <c r="J369"/>
  <c r="J368"/>
  <c r="J367"/>
  <c r="J366"/>
  <c r="J365"/>
  <c r="J364"/>
  <c r="J363"/>
  <c r="J362"/>
  <c r="J361"/>
  <c r="J360"/>
  <c r="J359"/>
  <c r="J358"/>
  <c r="J357"/>
  <c r="J356"/>
  <c r="J355"/>
  <c r="J354"/>
  <c r="J353"/>
  <c r="J352"/>
  <c r="J351"/>
  <c r="J350"/>
  <c r="J349"/>
  <c r="J348"/>
  <c r="J347"/>
  <c r="J346"/>
  <c r="J345"/>
  <c r="J344"/>
  <c r="J343"/>
  <c r="J342"/>
  <c r="J341"/>
  <c r="J340"/>
  <c r="J339"/>
  <c r="J338"/>
  <c r="J337"/>
  <c r="J336"/>
  <c r="J335"/>
  <c r="J334"/>
  <c r="J333"/>
  <c r="J332"/>
  <c r="J331"/>
  <c r="J330"/>
  <c r="J329"/>
  <c r="J328"/>
  <c r="J327"/>
  <c r="J326"/>
  <c r="J325"/>
  <c r="J324"/>
  <c r="J323"/>
  <c r="J322"/>
  <c r="J321"/>
  <c r="J320"/>
  <c r="J319"/>
  <c r="J318"/>
  <c r="J317"/>
  <c r="J316"/>
  <c r="J315"/>
  <c r="J314"/>
  <c r="J313"/>
  <c r="J312"/>
  <c r="J311"/>
  <c r="J310"/>
  <c r="J309"/>
  <c r="J308"/>
  <c r="J307"/>
  <c r="J306"/>
  <c r="J305"/>
  <c r="J304"/>
  <c r="J303"/>
  <c r="J302"/>
  <c r="J301"/>
  <c r="J300"/>
  <c r="J299"/>
  <c r="J298"/>
  <c r="J297"/>
  <c r="J296"/>
  <c r="J295"/>
  <c r="J294"/>
  <c r="J293"/>
  <c r="J292"/>
  <c r="J291"/>
  <c r="J290"/>
  <c r="J289"/>
  <c r="J288"/>
  <c r="J287"/>
  <c r="J286"/>
  <c r="J285"/>
  <c r="J284"/>
  <c r="J283"/>
  <c r="J282"/>
  <c r="J281"/>
  <c r="J280"/>
  <c r="J279"/>
  <c r="J278"/>
  <c r="J277"/>
  <c r="J276"/>
  <c r="J275"/>
  <c r="J274"/>
  <c r="J273"/>
  <c r="J272"/>
  <c r="J271"/>
  <c r="J270"/>
  <c r="J269"/>
  <c r="J268"/>
  <c r="J267"/>
  <c r="J266"/>
  <c r="J265"/>
  <c r="J264"/>
  <c r="J263"/>
  <c r="J262"/>
  <c r="J261"/>
  <c r="J260"/>
  <c r="J259"/>
  <c r="J258"/>
  <c r="J257"/>
  <c r="J256"/>
  <c r="J255"/>
  <c r="J254"/>
  <c r="J253"/>
  <c r="J252"/>
  <c r="J251"/>
  <c r="J250"/>
  <c r="J249"/>
  <c r="J248"/>
  <c r="J247"/>
  <c r="J246"/>
  <c r="J245"/>
  <c r="J244"/>
  <c r="J243"/>
  <c r="J242"/>
  <c r="J241"/>
  <c r="J240"/>
  <c r="J239"/>
  <c r="J238"/>
  <c r="J237"/>
  <c r="J236"/>
  <c r="J235"/>
  <c r="J234"/>
  <c r="J233"/>
  <c r="J232"/>
  <c r="J231"/>
  <c r="J230"/>
  <c r="J229"/>
  <c r="J228"/>
  <c r="J227"/>
  <c r="J226"/>
  <c r="J225"/>
  <c r="J224"/>
  <c r="J223"/>
  <c r="J222"/>
  <c r="J221"/>
  <c r="J220"/>
  <c r="J219"/>
  <c r="J218"/>
  <c r="J217"/>
  <c r="J216"/>
  <c r="J215"/>
  <c r="J214"/>
  <c r="J213"/>
  <c r="J212"/>
  <c r="J211"/>
  <c r="J210"/>
  <c r="J209"/>
  <c r="J208"/>
  <c r="J207"/>
  <c r="J206"/>
  <c r="J205"/>
  <c r="J204"/>
  <c r="J203"/>
  <c r="J202"/>
  <c r="J201"/>
  <c r="J200"/>
  <c r="J199"/>
  <c r="J198"/>
  <c r="J197"/>
  <c r="J196"/>
  <c r="J195"/>
  <c r="J194"/>
  <c r="J193"/>
  <c r="J192"/>
  <c r="J191"/>
  <c r="J190"/>
  <c r="J189"/>
  <c r="J188"/>
  <c r="J187"/>
  <c r="J186"/>
  <c r="J185"/>
  <c r="J184"/>
  <c r="J183"/>
  <c r="J182"/>
  <c r="J181"/>
  <c r="J180"/>
  <c r="J179"/>
  <c r="J178"/>
  <c r="J177"/>
  <c r="J176"/>
  <c r="J175"/>
  <c r="J174"/>
  <c r="J173"/>
  <c r="J172"/>
  <c r="J171"/>
  <c r="J170"/>
  <c r="J169"/>
  <c r="J168"/>
  <c r="J167"/>
  <c r="J166"/>
  <c r="J165"/>
  <c r="J164"/>
  <c r="J163"/>
  <c r="J162"/>
  <c r="J161"/>
  <c r="J160"/>
  <c r="J159"/>
  <c r="J158"/>
  <c r="J157"/>
  <c r="J156"/>
  <c r="J155"/>
  <c r="J154"/>
  <c r="J153"/>
  <c r="J152"/>
  <c r="J151"/>
  <c r="J150"/>
  <c r="J149"/>
  <c r="J148"/>
  <c r="J147"/>
  <c r="J146"/>
  <c r="J145"/>
  <c r="J144"/>
  <c r="J143"/>
  <c r="J142"/>
  <c r="J141"/>
  <c r="J140"/>
  <c r="J139"/>
  <c r="J138"/>
  <c r="J137"/>
  <c r="J136"/>
  <c r="J135"/>
  <c r="J134"/>
  <c r="J133"/>
  <c r="J132"/>
  <c r="J131"/>
  <c r="J130"/>
  <c r="J129"/>
  <c r="J128"/>
  <c r="J127"/>
  <c r="J126"/>
  <c r="J125"/>
  <c r="J124"/>
  <c r="J123"/>
  <c r="J122"/>
  <c r="J121"/>
  <c r="J120"/>
  <c r="J119"/>
  <c r="J118"/>
  <c r="J117"/>
  <c r="J116"/>
  <c r="J115"/>
  <c r="J114"/>
  <c r="J113"/>
  <c r="J112"/>
  <c r="J111"/>
  <c r="J110"/>
  <c r="J109"/>
  <c r="J108"/>
  <c r="J107"/>
  <c r="J106"/>
  <c r="J105"/>
  <c r="J104"/>
  <c r="J103"/>
  <c r="J102"/>
  <c r="J101"/>
  <c r="J100"/>
  <c r="J99"/>
  <c r="J98"/>
  <c r="J97"/>
  <c r="J96"/>
  <c r="J95"/>
  <c r="J94"/>
  <c r="J93"/>
  <c r="J92"/>
  <c r="J91"/>
  <c r="J90"/>
  <c r="J89"/>
  <c r="J88"/>
  <c r="J87"/>
  <c r="J86"/>
  <c r="J85"/>
  <c r="J84"/>
  <c r="J83"/>
  <c r="J82"/>
  <c r="J81"/>
  <c r="J80"/>
  <c r="J79"/>
  <c r="J78"/>
  <c r="J77"/>
  <c r="J76"/>
  <c r="J75"/>
  <c r="J74"/>
  <c r="J73"/>
  <c r="J72"/>
  <c r="J71"/>
  <c r="J70"/>
  <c r="J69"/>
  <c r="J68"/>
  <c r="J67"/>
  <c r="J66"/>
  <c r="J65"/>
  <c r="J64"/>
  <c r="J63"/>
  <c r="J62"/>
  <c r="J61"/>
  <c r="J60"/>
  <c r="J59"/>
  <c r="J58"/>
  <c r="J57"/>
  <c r="J56"/>
  <c r="J55"/>
  <c r="J54"/>
  <c r="J53"/>
  <c r="J52"/>
  <c r="J51"/>
  <c r="J50"/>
  <c r="J49"/>
  <c r="J48"/>
  <c r="J47"/>
  <c r="J46"/>
  <c r="J45"/>
  <c r="J44"/>
  <c r="J43"/>
  <c r="J42"/>
  <c r="J41"/>
  <c r="J40"/>
  <c r="J39"/>
  <c r="J38"/>
  <c r="J37"/>
  <c r="J36"/>
  <c r="J35"/>
  <c r="J34"/>
  <c r="J33"/>
  <c r="J32"/>
  <c r="J31"/>
  <c r="J30"/>
  <c r="J29"/>
  <c r="J28"/>
  <c r="J27"/>
  <c r="J26"/>
  <c r="J25"/>
  <c r="J24"/>
  <c r="J23"/>
  <c r="J22"/>
  <c r="J21"/>
  <c r="J20"/>
  <c r="J19"/>
  <c r="J18"/>
  <c r="J17"/>
  <c r="J16"/>
  <c r="J15"/>
  <c r="J14"/>
  <c r="J13"/>
  <c r="J12"/>
  <c r="J11"/>
  <c r="J10"/>
  <c r="J9"/>
  <c r="J8"/>
  <c r="J7"/>
  <c r="J6"/>
  <c r="J5"/>
  <c r="J4"/>
  <c r="J3"/>
  <c r="J2"/>
  <c r="J1875"/>
  <c r="J1874"/>
  <c r="J1873"/>
  <c r="J1872"/>
  <c r="J1871"/>
  <c r="J1870"/>
  <c r="J1869"/>
  <c r="J1868"/>
  <c r="J1867"/>
  <c r="J1866"/>
  <c r="J1865"/>
  <c r="J1864"/>
  <c r="J1863"/>
  <c r="J1862"/>
  <c r="J1861"/>
  <c r="J1860"/>
  <c r="J1859"/>
  <c r="J1858"/>
  <c r="J1857"/>
  <c r="J1856"/>
  <c r="J1855"/>
  <c r="J1854"/>
  <c r="J1853"/>
  <c r="J1852"/>
  <c r="J1851"/>
  <c r="J1850"/>
  <c r="J1849"/>
  <c r="J1848"/>
  <c r="J1847"/>
  <c r="J1846"/>
  <c r="J1845"/>
  <c r="J1844"/>
  <c r="J1843"/>
  <c r="J1842"/>
  <c r="J1841"/>
  <c r="J1840"/>
  <c r="J1839"/>
  <c r="J1838"/>
  <c r="J1837"/>
  <c r="J1836"/>
  <c r="J1835"/>
  <c r="J1834"/>
  <c r="J1833"/>
  <c r="J1832"/>
  <c r="J1831"/>
  <c r="J1830"/>
  <c r="J1829"/>
  <c r="J1828"/>
  <c r="J1827"/>
  <c r="J1826"/>
  <c r="J1825"/>
  <c r="J1824"/>
  <c r="J1823"/>
  <c r="J1822"/>
  <c r="J1821"/>
  <c r="J1820"/>
  <c r="J1819"/>
  <c r="A11" i="1"/>
  <c r="Z7" i="57"/>
  <c r="C53"/>
  <c r="D53"/>
  <c r="D56"/>
  <c r="C57"/>
  <c r="D57"/>
  <c r="BA16"/>
  <c r="BA19"/>
  <c r="BA24"/>
  <c r="BA33"/>
  <c r="BA47"/>
  <c r="BA51"/>
  <c r="BA59"/>
  <c r="BA60"/>
  <c r="BA62"/>
  <c r="BA67"/>
  <c r="BA68"/>
  <c r="BA70"/>
  <c r="BA72"/>
  <c r="BA74"/>
  <c r="BA76"/>
  <c r="BA82"/>
  <c r="N7"/>
  <c r="C76"/>
  <c r="C77"/>
  <c r="D77"/>
  <c r="C79"/>
  <c r="D80"/>
  <c r="C81"/>
  <c r="D81"/>
  <c r="C82"/>
  <c r="C85"/>
  <c r="D85"/>
  <c r="AC7"/>
  <c r="AC6"/>
  <c r="AH53"/>
  <c r="AP53"/>
  <c r="AX53"/>
  <c r="AE54"/>
  <c r="AT54"/>
  <c r="AX54"/>
  <c r="AG55"/>
  <c r="AT55"/>
  <c r="AW55"/>
  <c r="AL56"/>
  <c r="AT56"/>
  <c r="AX56"/>
  <c r="AO57"/>
  <c r="AH58"/>
  <c r="AR58"/>
  <c r="AE59"/>
  <c r="AG59"/>
  <c r="AH59"/>
  <c r="AJ59"/>
  <c r="AK59"/>
  <c r="AM59"/>
  <c r="AO59"/>
  <c r="AQ59"/>
  <c r="AR59"/>
  <c r="AS59"/>
  <c r="AW59"/>
  <c r="AY59"/>
  <c r="AZ59"/>
  <c r="BB59"/>
  <c r="AF60"/>
  <c r="AG60"/>
  <c r="AI60"/>
  <c r="AJ60"/>
  <c r="AL60"/>
  <c r="AN60"/>
  <c r="AO60"/>
  <c r="AR60"/>
  <c r="AS60"/>
  <c r="AT60"/>
  <c r="AV60"/>
  <c r="AW60"/>
  <c r="AX60"/>
  <c r="AZ60"/>
  <c r="BB60"/>
  <c r="AG61"/>
  <c r="AH61"/>
  <c r="AK61"/>
  <c r="AL61"/>
  <c r="AR61"/>
  <c r="AU61"/>
  <c r="AV61"/>
  <c r="AW61"/>
  <c r="AX61"/>
  <c r="AY61"/>
  <c r="BB61"/>
  <c r="AE62"/>
  <c r="AF62"/>
  <c r="AI62"/>
  <c r="AJ62"/>
  <c r="AK62"/>
  <c r="AM62"/>
  <c r="AN62"/>
  <c r="AP62"/>
  <c r="AQ62"/>
  <c r="AS62"/>
  <c r="AT62"/>
  <c r="AV62"/>
  <c r="AZ62"/>
  <c r="BB62"/>
  <c r="AE63"/>
  <c r="AF63"/>
  <c r="AG63"/>
  <c r="AH63"/>
  <c r="AJ63"/>
  <c r="AK63"/>
  <c r="AM63"/>
  <c r="AO63"/>
  <c r="AP63"/>
  <c r="AR63"/>
  <c r="AS63"/>
  <c r="AU63"/>
  <c r="AX63"/>
  <c r="AY63"/>
  <c r="AZ63"/>
  <c r="BB63"/>
  <c r="AE64"/>
  <c r="AG64"/>
  <c r="AH64"/>
  <c r="AI64"/>
  <c r="AK64"/>
  <c r="AL64"/>
  <c r="AM64"/>
  <c r="AN64"/>
  <c r="AO64"/>
  <c r="AP64"/>
  <c r="AS64"/>
  <c r="AT64"/>
  <c r="AU64"/>
  <c r="AV64"/>
  <c r="AW64"/>
  <c r="AX64"/>
  <c r="AY64"/>
  <c r="BB64"/>
  <c r="AF65"/>
  <c r="AH65"/>
  <c r="AI65"/>
  <c r="AJ65"/>
  <c r="AK65"/>
  <c r="AL65"/>
  <c r="AM65"/>
  <c r="AN65"/>
  <c r="AO65"/>
  <c r="AP65"/>
  <c r="AQ65"/>
  <c r="AR65"/>
  <c r="AS65"/>
  <c r="AV65"/>
  <c r="AX65"/>
  <c r="AY65"/>
  <c r="AZ65"/>
  <c r="BB65"/>
  <c r="AE66"/>
  <c r="AG66"/>
  <c r="AH66"/>
  <c r="AJ66"/>
  <c r="AK66"/>
  <c r="AM66"/>
  <c r="AO66"/>
  <c r="AQ66"/>
  <c r="AR66"/>
  <c r="AS66"/>
  <c r="AU66"/>
  <c r="AW66"/>
  <c r="AX66"/>
  <c r="AZ66"/>
  <c r="BB66"/>
  <c r="AE67"/>
  <c r="AF67"/>
  <c r="AG67"/>
  <c r="AH67"/>
  <c r="AI67"/>
  <c r="AM67"/>
  <c r="AO67"/>
  <c r="AP67"/>
  <c r="AQ67"/>
  <c r="AS67"/>
  <c r="AU67"/>
  <c r="AW67"/>
  <c r="AY67"/>
  <c r="BB67"/>
  <c r="AE68"/>
  <c r="AF68"/>
  <c r="AH68"/>
  <c r="AI68"/>
  <c r="AK68"/>
  <c r="AL68"/>
  <c r="AM68"/>
  <c r="AO68"/>
  <c r="AP68"/>
  <c r="AQ68"/>
  <c r="AR68"/>
  <c r="AS68"/>
  <c r="AU68"/>
  <c r="AV68"/>
  <c r="AW68"/>
  <c r="AZ68"/>
  <c r="BB68"/>
  <c r="AJ69"/>
  <c r="AK69"/>
  <c r="AN69"/>
  <c r="AR69"/>
  <c r="AS69"/>
  <c r="AT69"/>
  <c r="AV69"/>
  <c r="AY69"/>
  <c r="AZ69"/>
  <c r="BB69"/>
  <c r="AE70"/>
  <c r="AF70"/>
  <c r="AI70"/>
  <c r="AK70"/>
  <c r="AL70"/>
  <c r="AN70"/>
  <c r="AO70"/>
  <c r="AP70"/>
  <c r="AR70"/>
  <c r="AS70"/>
  <c r="AT70"/>
  <c r="AV70"/>
  <c r="AW70"/>
  <c r="AZ70"/>
  <c r="BB70"/>
  <c r="AF71"/>
  <c r="AH71"/>
  <c r="AI71"/>
  <c r="AM71"/>
  <c r="AN71"/>
  <c r="AO71"/>
  <c r="AQ71"/>
  <c r="AS71"/>
  <c r="AT71"/>
  <c r="AU71"/>
  <c r="AV71"/>
  <c r="AX71"/>
  <c r="AY71"/>
  <c r="BB71"/>
  <c r="AE72"/>
  <c r="AF72"/>
  <c r="AG72"/>
  <c r="AI72"/>
  <c r="AJ72"/>
  <c r="AK72"/>
  <c r="AM72"/>
  <c r="AN72"/>
  <c r="AO72"/>
  <c r="AQ72"/>
  <c r="AR72"/>
  <c r="AS72"/>
  <c r="AT72"/>
  <c r="AU72"/>
  <c r="AV72"/>
  <c r="AW72"/>
  <c r="AX72"/>
  <c r="AY72"/>
  <c r="AZ72"/>
  <c r="BB72"/>
  <c r="AG73"/>
  <c r="AI73"/>
  <c r="AJ73"/>
  <c r="AK73"/>
  <c r="AM73"/>
  <c r="AP73"/>
  <c r="AQ73"/>
  <c r="AS73"/>
  <c r="AT73"/>
  <c r="AX73"/>
  <c r="AZ73"/>
  <c r="BB73"/>
  <c r="AG74"/>
  <c r="AH74"/>
  <c r="AK74"/>
  <c r="AL74"/>
  <c r="AM74"/>
  <c r="AN74"/>
  <c r="AP74"/>
  <c r="AS74"/>
  <c r="AT74"/>
  <c r="AV74"/>
  <c r="AX74"/>
  <c r="AY74"/>
  <c r="BB74"/>
  <c r="AG75"/>
  <c r="BB75"/>
  <c r="BB76"/>
  <c r="BB77"/>
  <c r="BB78"/>
  <c r="BB79"/>
  <c r="BB80"/>
  <c r="BB81"/>
  <c r="BB82"/>
  <c r="BB83"/>
  <c r="BB84"/>
  <c r="BB85"/>
  <c r="A12"/>
  <c r="E12"/>
  <c r="F12"/>
  <c r="A13"/>
  <c r="E13"/>
  <c r="F13"/>
  <c r="A14"/>
  <c r="E14"/>
  <c r="F14"/>
  <c r="A15"/>
  <c r="E15"/>
  <c r="F15"/>
  <c r="A16"/>
  <c r="E16"/>
  <c r="F16"/>
  <c r="A17"/>
  <c r="E17"/>
  <c r="F17"/>
  <c r="A18"/>
  <c r="E18"/>
  <c r="F18"/>
  <c r="A19"/>
  <c r="E19"/>
  <c r="F19"/>
  <c r="A20"/>
  <c r="E20"/>
  <c r="F20"/>
  <c r="A21"/>
  <c r="E21"/>
  <c r="F21"/>
  <c r="A22"/>
  <c r="E22"/>
  <c r="F22"/>
  <c r="A23"/>
  <c r="E23"/>
  <c r="F23"/>
  <c r="A24"/>
  <c r="E24"/>
  <c r="F24"/>
  <c r="A25"/>
  <c r="E25"/>
  <c r="F25"/>
  <c r="A26"/>
  <c r="E26"/>
  <c r="F26"/>
  <c r="A27"/>
  <c r="E27"/>
  <c r="F27"/>
  <c r="A28"/>
  <c r="E28"/>
  <c r="F28"/>
  <c r="A29"/>
  <c r="E29"/>
  <c r="F29"/>
  <c r="A30"/>
  <c r="E30"/>
  <c r="F30"/>
  <c r="A31"/>
  <c r="E31"/>
  <c r="F31"/>
  <c r="A32"/>
  <c r="E32"/>
  <c r="F32"/>
  <c r="A33"/>
  <c r="E33"/>
  <c r="F33"/>
  <c r="A34"/>
  <c r="E34"/>
  <c r="F34"/>
  <c r="A35"/>
  <c r="E35"/>
  <c r="F35"/>
  <c r="A36"/>
  <c r="E36"/>
  <c r="F36"/>
  <c r="A37"/>
  <c r="E37"/>
  <c r="F37"/>
  <c r="A38"/>
  <c r="E38"/>
  <c r="F38"/>
  <c r="A39"/>
  <c r="E39"/>
  <c r="F39"/>
  <c r="A40"/>
  <c r="E40"/>
  <c r="F40"/>
  <c r="A41"/>
  <c r="E41"/>
  <c r="F41"/>
  <c r="A42"/>
  <c r="E42"/>
  <c r="F42"/>
  <c r="A43"/>
  <c r="E43"/>
  <c r="F43"/>
  <c r="A44"/>
  <c r="E44"/>
  <c r="F44"/>
  <c r="A45"/>
  <c r="E45"/>
  <c r="F45"/>
  <c r="A46"/>
  <c r="E46"/>
  <c r="F46"/>
  <c r="A47"/>
  <c r="E47"/>
  <c r="F47"/>
  <c r="A48"/>
  <c r="E48"/>
  <c r="F48"/>
  <c r="A49"/>
  <c r="E49"/>
  <c r="F49"/>
  <c r="A50"/>
  <c r="E50"/>
  <c r="F50"/>
  <c r="A51"/>
  <c r="E51"/>
  <c r="F51"/>
  <c r="A52"/>
  <c r="E52"/>
  <c r="F52"/>
  <c r="A53"/>
  <c r="E53"/>
  <c r="F53"/>
  <c r="A54"/>
  <c r="E54"/>
  <c r="F54"/>
  <c r="A55"/>
  <c r="E55"/>
  <c r="F55"/>
  <c r="A56"/>
  <c r="E56"/>
  <c r="F56"/>
  <c r="A57"/>
  <c r="E57"/>
  <c r="F57"/>
  <c r="A58"/>
  <c r="E58"/>
  <c r="F58"/>
  <c r="A59"/>
  <c r="E59"/>
  <c r="F59"/>
  <c r="A60"/>
  <c r="E60"/>
  <c r="F60"/>
  <c r="A61"/>
  <c r="E61"/>
  <c r="F61"/>
  <c r="A62"/>
  <c r="E62"/>
  <c r="F62"/>
  <c r="A63"/>
  <c r="E63"/>
  <c r="F63"/>
  <c r="A64"/>
  <c r="E64"/>
  <c r="F64"/>
  <c r="A65"/>
  <c r="E65"/>
  <c r="F65"/>
  <c r="A66"/>
  <c r="E66"/>
  <c r="F66"/>
  <c r="A67"/>
  <c r="E67"/>
  <c r="F67"/>
  <c r="A68"/>
  <c r="E68"/>
  <c r="F68"/>
  <c r="A69"/>
  <c r="E69"/>
  <c r="F69"/>
  <c r="A70"/>
  <c r="E70"/>
  <c r="F70"/>
  <c r="A71"/>
  <c r="E71"/>
  <c r="F71"/>
  <c r="A72"/>
  <c r="E72"/>
  <c r="F72"/>
  <c r="A73"/>
  <c r="E73"/>
  <c r="F73"/>
  <c r="A74"/>
  <c r="E74"/>
  <c r="F74"/>
  <c r="A75"/>
  <c r="E75"/>
  <c r="F75"/>
  <c r="A76"/>
  <c r="E76"/>
  <c r="F76"/>
  <c r="A77"/>
  <c r="E77"/>
  <c r="F77"/>
  <c r="A78"/>
  <c r="E78"/>
  <c r="F78"/>
  <c r="A79"/>
  <c r="E79"/>
  <c r="F79"/>
  <c r="A80"/>
  <c r="E80"/>
  <c r="F80"/>
  <c r="A81"/>
  <c r="E81"/>
  <c r="F81"/>
  <c r="A82"/>
  <c r="E82"/>
  <c r="F82"/>
  <c r="A83"/>
  <c r="E83"/>
  <c r="F83"/>
  <c r="A84"/>
  <c r="E84"/>
  <c r="F84"/>
  <c r="A85"/>
  <c r="E85"/>
  <c r="F85"/>
  <c r="F11"/>
  <c r="E11"/>
  <c r="A11"/>
  <c r="AX85"/>
  <c r="AV85"/>
  <c r="AP85"/>
  <c r="AL85"/>
  <c r="AH85"/>
  <c r="AD85"/>
  <c r="AG84"/>
  <c r="AD84"/>
  <c r="AZ83"/>
  <c r="AQ83"/>
  <c r="AD83"/>
  <c r="AS82"/>
  <c r="AP82"/>
  <c r="AM82"/>
  <c r="AD82"/>
  <c r="AR81"/>
  <c r="AO81"/>
  <c r="AG81"/>
  <c r="AD81"/>
  <c r="AY80"/>
  <c r="AU80"/>
  <c r="AS80"/>
  <c r="AQ80"/>
  <c r="AK80"/>
  <c r="AD80"/>
  <c r="AJ79"/>
  <c r="AH79"/>
  <c r="AD79"/>
  <c r="AW78"/>
  <c r="AS78"/>
  <c r="AQ78"/>
  <c r="AO78"/>
  <c r="AM78"/>
  <c r="AI78"/>
  <c r="AG78"/>
  <c r="AD78"/>
  <c r="AX77"/>
  <c r="AV77"/>
  <c r="AN77"/>
  <c r="AD77"/>
  <c r="AU76"/>
  <c r="AG76"/>
  <c r="AD76"/>
  <c r="AZ75"/>
  <c r="AV75"/>
  <c r="AD75"/>
  <c r="AD74"/>
  <c r="AD73"/>
  <c r="AD72"/>
  <c r="AD71"/>
  <c r="AD70"/>
  <c r="AD69"/>
  <c r="AD68"/>
  <c r="AD67"/>
  <c r="AD66"/>
  <c r="AD65"/>
  <c r="AD64"/>
  <c r="AD63"/>
  <c r="AD62"/>
  <c r="AD61"/>
  <c r="AD60"/>
  <c r="AD59"/>
  <c r="AA7"/>
  <c r="AD58"/>
  <c r="AD57"/>
  <c r="AD56"/>
  <c r="AD55"/>
  <c r="AD54"/>
  <c r="AD53"/>
  <c r="AZ52"/>
  <c r="AV52"/>
  <c r="AR52"/>
  <c r="AJ52"/>
  <c r="AZ51"/>
  <c r="AS51"/>
  <c r="AX50"/>
  <c r="AW50"/>
  <c r="AU50"/>
  <c r="AS50"/>
  <c r="AM50"/>
  <c r="AH50"/>
  <c r="AT49"/>
  <c r="AR49"/>
  <c r="AQ49"/>
  <c r="AM49"/>
  <c r="AK49"/>
  <c r="AH49"/>
  <c r="AE49"/>
  <c r="AT48"/>
  <c r="AQ48"/>
  <c r="AL48"/>
  <c r="AY47"/>
  <c r="AW47"/>
  <c r="AS47"/>
  <c r="AK47"/>
  <c r="AI47"/>
  <c r="AE47"/>
  <c r="AY46"/>
  <c r="AS46"/>
  <c r="AO46"/>
  <c r="AL46"/>
  <c r="AG46"/>
  <c r="AZ45"/>
  <c r="AX45"/>
  <c r="AR45"/>
  <c r="AN45"/>
  <c r="AJ45"/>
  <c r="AH45"/>
  <c r="AW44"/>
  <c r="AT44"/>
  <c r="AS44"/>
  <c r="AQ44"/>
  <c r="AL44"/>
  <c r="AK44"/>
  <c r="AZ43"/>
  <c r="AW43"/>
  <c r="AU43"/>
  <c r="AS43"/>
  <c r="AQ43"/>
  <c r="AN43"/>
  <c r="AM43"/>
  <c r="AK43"/>
  <c r="AJ43"/>
  <c r="AE43"/>
  <c r="AW42"/>
  <c r="AS42"/>
  <c r="AQ42"/>
  <c r="AP42"/>
  <c r="AK42"/>
  <c r="AG42"/>
  <c r="AW41"/>
  <c r="AV41"/>
  <c r="AU41"/>
  <c r="AQ41"/>
  <c r="AO41"/>
  <c r="AN41"/>
  <c r="AF41"/>
  <c r="AX40"/>
  <c r="AW40"/>
  <c r="AV40"/>
  <c r="AR40"/>
  <c r="AO40"/>
  <c r="AN40"/>
  <c r="AL40"/>
  <c r="AH40"/>
  <c r="AG40"/>
  <c r="AF40"/>
  <c r="AZ39"/>
  <c r="AX39"/>
  <c r="AU39"/>
  <c r="AT39"/>
  <c r="AQ39"/>
  <c r="AN39"/>
  <c r="AM39"/>
  <c r="AL39"/>
  <c r="AH39"/>
  <c r="AZ38"/>
  <c r="AS38"/>
  <c r="AR38"/>
  <c r="AP38"/>
  <c r="AN38"/>
  <c r="AL38"/>
  <c r="AK38"/>
  <c r="AJ38"/>
  <c r="AZ37"/>
  <c r="AY37"/>
  <c r="AX37"/>
  <c r="AT37"/>
  <c r="AQ37"/>
  <c r="AP37"/>
  <c r="AN37"/>
  <c r="AM37"/>
  <c r="AL37"/>
  <c r="AI37"/>
  <c r="AH37"/>
  <c r="AF37"/>
  <c r="AZ36"/>
  <c r="AW36"/>
  <c r="AV36"/>
  <c r="AS36"/>
  <c r="AP36"/>
  <c r="AO36"/>
  <c r="AN36"/>
  <c r="AJ36"/>
  <c r="AG36"/>
  <c r="AF36"/>
  <c r="AZ35"/>
  <c r="AV35"/>
  <c r="AP35"/>
  <c r="AF35"/>
  <c r="AT34"/>
  <c r="AR34"/>
  <c r="AP34"/>
  <c r="AO34"/>
  <c r="AL34"/>
  <c r="AJ34"/>
  <c r="AH34"/>
  <c r="AF34"/>
  <c r="AZ33"/>
  <c r="AY33"/>
  <c r="AV33"/>
  <c r="AR33"/>
  <c r="AN33"/>
  <c r="AJ33"/>
  <c r="AH33"/>
  <c r="AF33"/>
  <c r="AE33"/>
  <c r="AX32"/>
  <c r="AV32"/>
  <c r="AR32"/>
  <c r="AP32"/>
  <c r="AO32"/>
  <c r="AL32"/>
  <c r="AJ32"/>
  <c r="AH32"/>
  <c r="AG32"/>
  <c r="AZ31"/>
  <c r="AY31"/>
  <c r="AX31"/>
  <c r="AV31"/>
  <c r="AU31"/>
  <c r="AP31"/>
  <c r="AL31"/>
  <c r="AH31"/>
  <c r="AE31"/>
  <c r="AW30"/>
  <c r="AV30"/>
  <c r="AR30"/>
  <c r="AP30"/>
  <c r="AN30"/>
  <c r="AK30"/>
  <c r="AJ30"/>
  <c r="AG30"/>
  <c r="AZ29"/>
  <c r="AY29"/>
  <c r="AX29"/>
  <c r="AV29"/>
  <c r="AU29"/>
  <c r="AM29"/>
  <c r="AL29"/>
  <c r="AJ29"/>
  <c r="AH29"/>
  <c r="AW28"/>
  <c r="AL28"/>
  <c r="AE28"/>
  <c r="AZ27"/>
  <c r="AX27"/>
  <c r="AS27"/>
  <c r="AL27"/>
  <c r="AK27"/>
  <c r="AH27"/>
  <c r="AG27"/>
  <c r="AF27"/>
  <c r="AZ26"/>
  <c r="AY26"/>
  <c r="AT26"/>
  <c r="AR26"/>
  <c r="AP26"/>
  <c r="AM26"/>
  <c r="AL26"/>
  <c r="AI26"/>
  <c r="AH26"/>
  <c r="AE26"/>
  <c r="AZ25"/>
  <c r="AX25"/>
  <c r="AV25"/>
  <c r="AR25"/>
  <c r="AP25"/>
  <c r="AO25"/>
  <c r="AN25"/>
  <c r="AK25"/>
  <c r="AJ25"/>
  <c r="AH25"/>
  <c r="AG25"/>
  <c r="AF25"/>
  <c r="AZ24"/>
  <c r="AY24"/>
  <c r="AV24"/>
  <c r="AU24"/>
  <c r="AL24"/>
  <c r="AE24"/>
  <c r="AV23"/>
  <c r="AT23"/>
  <c r="AO23"/>
  <c r="AL23"/>
  <c r="AK23"/>
  <c r="AJ23"/>
  <c r="AG23"/>
  <c r="AF23"/>
  <c r="AZ22"/>
  <c r="AY22"/>
  <c r="AU22"/>
  <c r="AR22"/>
  <c r="AQ22"/>
  <c r="AP22"/>
  <c r="AL22"/>
  <c r="AJ22"/>
  <c r="AI22"/>
  <c r="AH22"/>
  <c r="AF22"/>
  <c r="AW21"/>
  <c r="AV21"/>
  <c r="AR21"/>
  <c r="AP21"/>
  <c r="AO21"/>
  <c r="AL21"/>
  <c r="AK21"/>
  <c r="AG21"/>
  <c r="AY20"/>
  <c r="AU20"/>
  <c r="AT20"/>
  <c r="AR20"/>
  <c r="AP20"/>
  <c r="AO20"/>
  <c r="AJ20"/>
  <c r="AH20"/>
  <c r="AG20"/>
  <c r="AZ19"/>
  <c r="AV19"/>
  <c r="AU19"/>
  <c r="AS19"/>
  <c r="AR19"/>
  <c r="AO19"/>
  <c r="AN19"/>
  <c r="AM19"/>
  <c r="AK19"/>
  <c r="AJ19"/>
  <c r="AF19"/>
  <c r="AE19"/>
  <c r="AZ18"/>
  <c r="AX18"/>
  <c r="AV18"/>
  <c r="AS18"/>
  <c r="AQ18"/>
  <c r="AP18"/>
  <c r="AO18"/>
  <c r="AL18"/>
  <c r="AK18"/>
  <c r="AH18"/>
  <c r="AG18"/>
  <c r="AZ17"/>
  <c r="AY17"/>
  <c r="AW17"/>
  <c r="AU17"/>
  <c r="AT17"/>
  <c r="AQ17"/>
  <c r="AP17"/>
  <c r="AL17"/>
  <c r="AI17"/>
  <c r="AZ16"/>
  <c r="AW16"/>
  <c r="AV16"/>
  <c r="AU16"/>
  <c r="AS16"/>
  <c r="AR16"/>
  <c r="AP16"/>
  <c r="AN16"/>
  <c r="AM16"/>
  <c r="AL16"/>
  <c r="AJ16"/>
  <c r="AH16"/>
  <c r="AF16"/>
  <c r="AZ15"/>
  <c r="AX15"/>
  <c r="AV15"/>
  <c r="AU15"/>
  <c r="AS15"/>
  <c r="AR15"/>
  <c r="AQ15"/>
  <c r="AM15"/>
  <c r="AK15"/>
  <c r="AI15"/>
  <c r="AG15"/>
  <c r="AY14"/>
  <c r="AX14"/>
  <c r="AW14"/>
  <c r="AV14"/>
  <c r="AT14"/>
  <c r="AS14"/>
  <c r="AR14"/>
  <c r="AP14"/>
  <c r="AN14"/>
  <c r="AL14"/>
  <c r="AI14"/>
  <c r="AH14"/>
  <c r="AZ13"/>
  <c r="AV13"/>
  <c r="AT13"/>
  <c r="AJ13"/>
  <c r="AF13"/>
  <c r="AZ12"/>
  <c r="AY12"/>
  <c r="AX12"/>
  <c r="AW12"/>
  <c r="AT12"/>
  <c r="AS12"/>
  <c r="AQ12"/>
  <c r="AP12"/>
  <c r="AM12"/>
  <c r="AL12"/>
  <c r="AJ12"/>
  <c r="AI12"/>
  <c r="AH12"/>
  <c r="AF12"/>
  <c r="AZ11"/>
  <c r="AW11"/>
  <c r="AU11"/>
  <c r="AR11"/>
  <c r="AO11"/>
  <c r="AN11"/>
  <c r="AE7"/>
  <c r="AF7"/>
  <c r="AG7"/>
  <c r="AH7"/>
  <c r="AI7"/>
  <c r="AJ7"/>
  <c r="AK7"/>
  <c r="AL7"/>
  <c r="AM7"/>
  <c r="AN7"/>
  <c r="AO7"/>
  <c r="AP7"/>
  <c r="AQ7"/>
  <c r="AR7"/>
  <c r="AS7"/>
  <c r="AT7"/>
  <c r="AU7"/>
  <c r="AV7"/>
  <c r="AW7"/>
  <c r="AX7"/>
  <c r="AY7"/>
  <c r="AZ7"/>
  <c r="BA7"/>
  <c r="BA6"/>
  <c r="AZ6"/>
  <c r="AY6"/>
  <c r="AX6"/>
  <c r="AW6"/>
  <c r="AV6"/>
  <c r="AU6"/>
  <c r="AT6"/>
  <c r="AS6"/>
  <c r="AR6"/>
  <c r="AQ6"/>
  <c r="AP6"/>
  <c r="AO6"/>
  <c r="AN6"/>
  <c r="AM6"/>
  <c r="AL6"/>
  <c r="AK6"/>
  <c r="AJ6"/>
  <c r="AI6"/>
  <c r="AH6"/>
  <c r="AG6"/>
  <c r="AF6"/>
  <c r="AE6"/>
  <c r="AB6"/>
  <c r="AA6"/>
  <c r="Z6"/>
  <c r="Y6"/>
  <c r="X6"/>
  <c r="W6"/>
  <c r="V6"/>
  <c r="U6"/>
  <c r="T6"/>
  <c r="S6"/>
  <c r="R6"/>
  <c r="Q6"/>
  <c r="P6"/>
  <c r="O6"/>
  <c r="N6"/>
  <c r="M6"/>
  <c r="L6"/>
  <c r="K6"/>
  <c r="J6"/>
  <c r="I6"/>
  <c r="H6"/>
  <c r="G6"/>
  <c r="Q35" i="43"/>
  <c r="Q35" i="55"/>
  <c r="Q46" i="37"/>
  <c r="Q46" i="38"/>
  <c r="Q55" i="43"/>
  <c r="Q54"/>
  <c r="Q53"/>
  <c r="Q52"/>
  <c r="Q51"/>
  <c r="Q50"/>
  <c r="Q49"/>
  <c r="Q48"/>
  <c r="Q47"/>
  <c r="Q46"/>
  <c r="Q45"/>
  <c r="Q44"/>
  <c r="Q43"/>
  <c r="Q42"/>
  <c r="Q41"/>
  <c r="Q40"/>
  <c r="Q39"/>
  <c r="Q38"/>
  <c r="Q37"/>
  <c r="Q36"/>
  <c r="Q34"/>
  <c r="Q33"/>
  <c r="Q32"/>
  <c r="Q31"/>
  <c r="Q30"/>
  <c r="Q29"/>
  <c r="Q28"/>
  <c r="Q27"/>
  <c r="Q26"/>
  <c r="Q25"/>
  <c r="Q24"/>
  <c r="Q23"/>
  <c r="Q22"/>
  <c r="Q21"/>
  <c r="Q20"/>
  <c r="Q19"/>
  <c r="Q18"/>
  <c r="Q17"/>
  <c r="Q16"/>
  <c r="Q15"/>
  <c r="Q14"/>
  <c r="Q13"/>
  <c r="Q12"/>
  <c r="Q11"/>
  <c r="Q43" i="36"/>
  <c r="Q44"/>
  <c r="Q45"/>
  <c r="Q46"/>
  <c r="Q47"/>
  <c r="Q48"/>
  <c r="Q49"/>
  <c r="Q50"/>
  <c r="Q51"/>
  <c r="Q52"/>
  <c r="Q53"/>
  <c r="Q54"/>
  <c r="Q55"/>
  <c r="B83"/>
  <c r="B82"/>
  <c r="B81"/>
  <c r="B80"/>
  <c r="B79"/>
  <c r="B78"/>
  <c r="B83" i="37"/>
  <c r="B82"/>
  <c r="B81"/>
  <c r="B80"/>
  <c r="B79"/>
  <c r="B78"/>
  <c r="Q43"/>
  <c r="Q44"/>
  <c r="Q45"/>
  <c r="Q47"/>
  <c r="Q48"/>
  <c r="Q49"/>
  <c r="Q50"/>
  <c r="Q51"/>
  <c r="Q52"/>
  <c r="Q53"/>
  <c r="Q54"/>
  <c r="Q55"/>
  <c r="B83" i="38"/>
  <c r="B82"/>
  <c r="B81"/>
  <c r="B80"/>
  <c r="B79"/>
  <c r="B78"/>
  <c r="Q43"/>
  <c r="Q44"/>
  <c r="Q45"/>
  <c r="Q47"/>
  <c r="Q48"/>
  <c r="Q49"/>
  <c r="Q50"/>
  <c r="Q51"/>
  <c r="Q52"/>
  <c r="Q53"/>
  <c r="Q54"/>
  <c r="Q55"/>
  <c r="B83" i="39"/>
  <c r="B82"/>
  <c r="B81"/>
  <c r="B80"/>
  <c r="B79"/>
  <c r="B78"/>
  <c r="Q43"/>
  <c r="Q44"/>
  <c r="Q45"/>
  <c r="Q46"/>
  <c r="Q47"/>
  <c r="Q48"/>
  <c r="Q49"/>
  <c r="Q50"/>
  <c r="Q51"/>
  <c r="Q52"/>
  <c r="Q53"/>
  <c r="Q54"/>
  <c r="Q55"/>
  <c r="B83" i="40"/>
  <c r="B82"/>
  <c r="B81"/>
  <c r="B80"/>
  <c r="B79"/>
  <c r="B78"/>
  <c r="Q49"/>
  <c r="Q50"/>
  <c r="Q51"/>
  <c r="Q52"/>
  <c r="Q53"/>
  <c r="Q54"/>
  <c r="Q55"/>
  <c r="B83" i="41"/>
  <c r="B82"/>
  <c r="B81"/>
  <c r="B80"/>
  <c r="B79"/>
  <c r="B78"/>
  <c r="Q43"/>
  <c r="Q44"/>
  <c r="Q45"/>
  <c r="Q46"/>
  <c r="Q47"/>
  <c r="Q48"/>
  <c r="Q49"/>
  <c r="Q50"/>
  <c r="Q51"/>
  <c r="Q52"/>
  <c r="Q53"/>
  <c r="Q54"/>
  <c r="Q55"/>
  <c r="B83" i="42"/>
  <c r="B82"/>
  <c r="B81"/>
  <c r="B80"/>
  <c r="B79"/>
  <c r="B78"/>
  <c r="Q12"/>
  <c r="Q13"/>
  <c r="Q14"/>
  <c r="Q15"/>
  <c r="Q16"/>
  <c r="Q17"/>
  <c r="Q18"/>
  <c r="Q19"/>
  <c r="Q20"/>
  <c r="Q21"/>
  <c r="Q22"/>
  <c r="Q23"/>
  <c r="Q24"/>
  <c r="Q25"/>
  <c r="Q26"/>
  <c r="Q27"/>
  <c r="Q28"/>
  <c r="Q29"/>
  <c r="Q30"/>
  <c r="Q31"/>
  <c r="Q32"/>
  <c r="Q33"/>
  <c r="Q34"/>
  <c r="Q35"/>
  <c r="Q36"/>
  <c r="Q37"/>
  <c r="Q38"/>
  <c r="Q39"/>
  <c r="Q40"/>
  <c r="Q41"/>
  <c r="Q42"/>
  <c r="Q43"/>
  <c r="Q44"/>
  <c r="Q45"/>
  <c r="Q46"/>
  <c r="Q47"/>
  <c r="Q48"/>
  <c r="Q49"/>
  <c r="Q50"/>
  <c r="Q51"/>
  <c r="Q52"/>
  <c r="Q53"/>
  <c r="Q54"/>
  <c r="Q55"/>
  <c r="Q11"/>
  <c r="B81" i="43"/>
  <c r="B82"/>
  <c r="Q56"/>
  <c r="Q57"/>
  <c r="Q58"/>
  <c r="Q59"/>
  <c r="Q60"/>
  <c r="Q61"/>
  <c r="Q62"/>
  <c r="Q63"/>
  <c r="Q64"/>
  <c r="Q65"/>
  <c r="Q66"/>
  <c r="Q67"/>
  <c r="Q68"/>
  <c r="Q69"/>
  <c r="Q70"/>
  <c r="Q71"/>
  <c r="Q72"/>
  <c r="Q73"/>
  <c r="Q74"/>
  <c r="Q75"/>
  <c r="Q12" i="55"/>
  <c r="Q13"/>
  <c r="Q14"/>
  <c r="Q15"/>
  <c r="Q16"/>
  <c r="Q17"/>
  <c r="Q18"/>
  <c r="Q19"/>
  <c r="Q20"/>
  <c r="Q21"/>
  <c r="Q22"/>
  <c r="Q23"/>
  <c r="Q24"/>
  <c r="Q25"/>
  <c r="Q26"/>
  <c r="Q27"/>
  <c r="Q28"/>
  <c r="Q29"/>
  <c r="Q30"/>
  <c r="Q31"/>
  <c r="Q32"/>
  <c r="Q33"/>
  <c r="Q34"/>
  <c r="Q36"/>
  <c r="Q37"/>
  <c r="Q39"/>
  <c r="Q40"/>
  <c r="Q41"/>
  <c r="Q42"/>
  <c r="Q43"/>
  <c r="Q44"/>
  <c r="Q45"/>
  <c r="Q46"/>
  <c r="Q47"/>
  <c r="Q48"/>
  <c r="Q49"/>
  <c r="Q50"/>
  <c r="Q51"/>
  <c r="Q52"/>
  <c r="Q53"/>
  <c r="Q54"/>
  <c r="Q55"/>
  <c r="B81"/>
  <c r="B82"/>
  <c r="Q11"/>
  <c r="B81" i="53"/>
  <c r="B82"/>
  <c r="B81" i="54"/>
  <c r="B82"/>
  <c r="A12" i="1"/>
  <c r="A13"/>
  <c r="A14"/>
  <c r="A15"/>
  <c r="A16"/>
  <c r="A17"/>
  <c r="A18"/>
  <c r="A19"/>
  <c r="A20"/>
  <c r="A21"/>
  <c r="A22"/>
  <c r="A23"/>
  <c r="A24"/>
  <c r="A25"/>
  <c r="A26"/>
  <c r="A27"/>
  <c r="A28"/>
  <c r="A29"/>
  <c r="A30"/>
  <c r="A31"/>
  <c r="A32"/>
  <c r="A33"/>
  <c r="A34"/>
  <c r="A35"/>
  <c r="A36"/>
  <c r="A37"/>
  <c r="A38"/>
  <c r="A39"/>
  <c r="A40"/>
  <c r="A41"/>
  <c r="A42"/>
  <c r="A43"/>
  <c r="A44"/>
  <c r="A45"/>
  <c r="A46"/>
  <c r="A47"/>
  <c r="A48"/>
  <c r="A49"/>
  <c r="A50"/>
  <c r="A51"/>
  <c r="A52"/>
  <c r="A53"/>
  <c r="A54"/>
  <c r="A55"/>
  <c r="A56"/>
  <c r="A57"/>
  <c r="A58"/>
  <c r="A59"/>
  <c r="A60"/>
  <c r="A61"/>
  <c r="A62"/>
  <c r="A63"/>
  <c r="A64"/>
  <c r="A65"/>
  <c r="A66"/>
  <c r="A67"/>
  <c r="A68"/>
  <c r="A69"/>
  <c r="A70"/>
  <c r="A71"/>
  <c r="A72"/>
  <c r="A73"/>
  <c r="A74"/>
  <c r="A75"/>
  <c r="D84"/>
  <c r="D83"/>
  <c r="Q56" i="55"/>
  <c r="Q57"/>
  <c r="Q58"/>
  <c r="Q59"/>
  <c r="Q60"/>
  <c r="Q61"/>
  <c r="Q62"/>
  <c r="Q63"/>
  <c r="Q64"/>
  <c r="Q65"/>
  <c r="Q66"/>
  <c r="Q67"/>
  <c r="Q68"/>
  <c r="Q69"/>
  <c r="Q70"/>
  <c r="Q71"/>
  <c r="Q72"/>
  <c r="Q73"/>
  <c r="Q74"/>
  <c r="Q75"/>
  <c r="B77"/>
  <c r="B78"/>
  <c r="B79"/>
  <c r="B80"/>
  <c r="B83"/>
  <c r="B77" i="54"/>
  <c r="B78"/>
  <c r="B79"/>
  <c r="B80"/>
  <c r="B83"/>
  <c r="F87" i="50"/>
  <c r="F88"/>
  <c r="K55" i="49" s="1"/>
  <c r="F89" i="50"/>
  <c r="F90"/>
  <c r="F91"/>
  <c r="N55" i="49" s="1"/>
  <c r="F74" i="50"/>
  <c r="F75"/>
  <c r="I51" i="49" s="1"/>
  <c r="F76" i="50"/>
  <c r="F77"/>
  <c r="K51" i="49" s="1"/>
  <c r="F78" i="50"/>
  <c r="L47" i="49"/>
  <c r="F79" i="50"/>
  <c r="F80"/>
  <c r="N47" i="49" s="1"/>
  <c r="F63" i="50"/>
  <c r="F64"/>
  <c r="I45" i="49" s="1"/>
  <c r="F65" i="50"/>
  <c r="J45" i="49" s="1"/>
  <c r="F66" i="50"/>
  <c r="K45" i="49"/>
  <c r="F67" i="50"/>
  <c r="F68"/>
  <c r="M45" i="49" s="1"/>
  <c r="F69" i="50"/>
  <c r="N45" i="49" s="1"/>
  <c r="F41" i="50"/>
  <c r="H37" i="49" s="1"/>
  <c r="F42" i="50"/>
  <c r="F43"/>
  <c r="J33" i="49" s="1"/>
  <c r="F44" i="50"/>
  <c r="K31" i="49" s="1"/>
  <c r="F45" i="50"/>
  <c r="L33" i="49" s="1"/>
  <c r="F46" i="50"/>
  <c r="M31" i="49" s="1"/>
  <c r="F47" i="50"/>
  <c r="N33" i="49" s="1"/>
  <c r="F30" i="50"/>
  <c r="F31"/>
  <c r="I29" i="49"/>
  <c r="F32" i="50"/>
  <c r="J27" i="49" s="1"/>
  <c r="F33" i="50"/>
  <c r="K29" i="49" s="1"/>
  <c r="F34" i="50"/>
  <c r="L21" i="49" s="1"/>
  <c r="F35" i="50"/>
  <c r="F36"/>
  <c r="N19" i="49" s="1"/>
  <c r="F53" i="50"/>
  <c r="I43" i="49"/>
  <c r="F54" i="50"/>
  <c r="J43" i="49" s="1"/>
  <c r="F55" i="50"/>
  <c r="K43" i="49" s="1"/>
  <c r="F56" i="50"/>
  <c r="L41" i="49" s="1"/>
  <c r="F57" i="50"/>
  <c r="M43" i="49"/>
  <c r="F58" i="50"/>
  <c r="L2" i="49"/>
  <c r="F12" i="50"/>
  <c r="L3" i="49"/>
  <c r="L4"/>
  <c r="L5"/>
  <c r="L6"/>
  <c r="L7"/>
  <c r="L8"/>
  <c r="L9"/>
  <c r="L10"/>
  <c r="F23" i="50"/>
  <c r="L11" i="49" s="1"/>
  <c r="L12"/>
  <c r="L14"/>
  <c r="L16"/>
  <c r="L18"/>
  <c r="L19"/>
  <c r="L20"/>
  <c r="L22"/>
  <c r="L23"/>
  <c r="L24"/>
  <c r="L26"/>
  <c r="L27"/>
  <c r="L28"/>
  <c r="L30"/>
  <c r="L32"/>
  <c r="L34"/>
  <c r="L36"/>
  <c r="L38"/>
  <c r="L40"/>
  <c r="L42"/>
  <c r="L44"/>
  <c r="L45"/>
  <c r="L46"/>
  <c r="L48"/>
  <c r="L50"/>
  <c r="L52"/>
  <c r="L53"/>
  <c r="L54"/>
  <c r="L55"/>
  <c r="F22" i="50"/>
  <c r="F24"/>
  <c r="F25"/>
  <c r="F13"/>
  <c r="M5" i="49" s="1"/>
  <c r="F10" i="50"/>
  <c r="F11"/>
  <c r="N2" i="49"/>
  <c r="F14" i="50"/>
  <c r="N3" i="49" s="1"/>
  <c r="N4"/>
  <c r="N6"/>
  <c r="N8"/>
  <c r="N10"/>
  <c r="N11"/>
  <c r="N12"/>
  <c r="N13"/>
  <c r="N14"/>
  <c r="N15"/>
  <c r="N16"/>
  <c r="N17"/>
  <c r="N18"/>
  <c r="N20"/>
  <c r="N22"/>
  <c r="N24"/>
  <c r="N26"/>
  <c r="N28"/>
  <c r="N30"/>
  <c r="N31"/>
  <c r="N32"/>
  <c r="N34"/>
  <c r="N35"/>
  <c r="N36"/>
  <c r="N38"/>
  <c r="N39"/>
  <c r="N40"/>
  <c r="N41"/>
  <c r="N42"/>
  <c r="N43"/>
  <c r="N44"/>
  <c r="N46"/>
  <c r="N48"/>
  <c r="N50"/>
  <c r="N52"/>
  <c r="N54"/>
  <c r="D42"/>
  <c r="F48" i="50"/>
  <c r="D43" i="49"/>
  <c r="E42"/>
  <c r="F49" i="50"/>
  <c r="E43" i="49" s="1"/>
  <c r="F42"/>
  <c r="F50" i="50"/>
  <c r="F43" i="49"/>
  <c r="G42"/>
  <c r="F51" i="50"/>
  <c r="G43" i="49" s="1"/>
  <c r="H42"/>
  <c r="F52" i="50"/>
  <c r="H43" i="49"/>
  <c r="I42"/>
  <c r="J42"/>
  <c r="K42"/>
  <c r="M42"/>
  <c r="Q56" i="36"/>
  <c r="Q57"/>
  <c r="Q58"/>
  <c r="Q59"/>
  <c r="Q60"/>
  <c r="Q61"/>
  <c r="Q62"/>
  <c r="Q63"/>
  <c r="Q64"/>
  <c r="Q65"/>
  <c r="Q66"/>
  <c r="Q67"/>
  <c r="Q68"/>
  <c r="Q69"/>
  <c r="Q70"/>
  <c r="Q71"/>
  <c r="Q72"/>
  <c r="Q73"/>
  <c r="Q74"/>
  <c r="Q75"/>
  <c r="Q56" i="37"/>
  <c r="Q57"/>
  <c r="Q58"/>
  <c r="Q59"/>
  <c r="Q61"/>
  <c r="Q62"/>
  <c r="Q63"/>
  <c r="Q64"/>
  <c r="Q65"/>
  <c r="Q66"/>
  <c r="Q67"/>
  <c r="Q68"/>
  <c r="Q69"/>
  <c r="Q70"/>
  <c r="Q71"/>
  <c r="Q72"/>
  <c r="Q73"/>
  <c r="Q74"/>
  <c r="Q75"/>
  <c r="Q56" i="38"/>
  <c r="Q57"/>
  <c r="Q58"/>
  <c r="Q59"/>
  <c r="Q60"/>
  <c r="Q61"/>
  <c r="Q62"/>
  <c r="Q63"/>
  <c r="Q64"/>
  <c r="Q65"/>
  <c r="Q66"/>
  <c r="Q67"/>
  <c r="Q68"/>
  <c r="Q69"/>
  <c r="Q70"/>
  <c r="Q71"/>
  <c r="Q72"/>
  <c r="Q73"/>
  <c r="Q74"/>
  <c r="Q75"/>
  <c r="Q56" i="39"/>
  <c r="Q57"/>
  <c r="Q58"/>
  <c r="Q59"/>
  <c r="Q60"/>
  <c r="Q61"/>
  <c r="Q62"/>
  <c r="Q63"/>
  <c r="Q64"/>
  <c r="Q65"/>
  <c r="Q66"/>
  <c r="Q67"/>
  <c r="Q68"/>
  <c r="Q69"/>
  <c r="Q70"/>
  <c r="Q71"/>
  <c r="Q72"/>
  <c r="Q73"/>
  <c r="Q74"/>
  <c r="Q75"/>
  <c r="Q56" i="40"/>
  <c r="Q57"/>
  <c r="Q58"/>
  <c r="Q59"/>
  <c r="Q60"/>
  <c r="Q61"/>
  <c r="Q62"/>
  <c r="Q63"/>
  <c r="Q64"/>
  <c r="Q65"/>
  <c r="Q66"/>
  <c r="Q67"/>
  <c r="Q68"/>
  <c r="Q69"/>
  <c r="Q70"/>
  <c r="Q71"/>
  <c r="Q72"/>
  <c r="Q73"/>
  <c r="Q74"/>
  <c r="Q75"/>
  <c r="Q56" i="41"/>
  <c r="Q57"/>
  <c r="Q58"/>
  <c r="Q59"/>
  <c r="Q60"/>
  <c r="Q61"/>
  <c r="Q62"/>
  <c r="Q63"/>
  <c r="Q64"/>
  <c r="Q65"/>
  <c r="Q66"/>
  <c r="Q67"/>
  <c r="Q68"/>
  <c r="Q69"/>
  <c r="Q70"/>
  <c r="Q71"/>
  <c r="Q72"/>
  <c r="Q73"/>
  <c r="Q74"/>
  <c r="Q75"/>
  <c r="Q56" i="42"/>
  <c r="Q57"/>
  <c r="Q58"/>
  <c r="Q59"/>
  <c r="Q60"/>
  <c r="Q61"/>
  <c r="Q62"/>
  <c r="Q63"/>
  <c r="Q64"/>
  <c r="Q65"/>
  <c r="Q66"/>
  <c r="Q67"/>
  <c r="Q68"/>
  <c r="Q69"/>
  <c r="Q70"/>
  <c r="Q71"/>
  <c r="Q72"/>
  <c r="Q73"/>
  <c r="Q74"/>
  <c r="Q75"/>
  <c r="D82" i="1"/>
  <c r="D81"/>
  <c r="D80"/>
  <c r="D79"/>
  <c r="A79"/>
  <c r="A80"/>
  <c r="A81"/>
  <c r="A82"/>
  <c r="A83"/>
  <c r="A84"/>
  <c r="D30" i="49"/>
  <c r="F37" i="50"/>
  <c r="D31" i="49" s="1"/>
  <c r="K30"/>
  <c r="M30"/>
  <c r="F30"/>
  <c r="G30"/>
  <c r="H30"/>
  <c r="I30"/>
  <c r="J30"/>
  <c r="M52"/>
  <c r="M53"/>
  <c r="M54"/>
  <c r="M55"/>
  <c r="J55"/>
  <c r="F86" i="50"/>
  <c r="I55" i="49" s="1"/>
  <c r="F85" i="50"/>
  <c r="H55" i="49" s="1"/>
  <c r="F84" i="50"/>
  <c r="G55" i="49" s="1"/>
  <c r="F83" i="50"/>
  <c r="F55" i="49" s="1"/>
  <c r="F82" i="50"/>
  <c r="E55" i="49" s="1"/>
  <c r="F81" i="50"/>
  <c r="D55" i="49" s="1"/>
  <c r="K54"/>
  <c r="J54"/>
  <c r="I54"/>
  <c r="H54"/>
  <c r="G54"/>
  <c r="F54"/>
  <c r="E54"/>
  <c r="D54"/>
  <c r="J53"/>
  <c r="H53"/>
  <c r="F53"/>
  <c r="D53"/>
  <c r="K52"/>
  <c r="J52"/>
  <c r="I52"/>
  <c r="H52"/>
  <c r="G52"/>
  <c r="F52"/>
  <c r="E52"/>
  <c r="D52"/>
  <c r="M46"/>
  <c r="M47"/>
  <c r="M48"/>
  <c r="M49"/>
  <c r="M50"/>
  <c r="M51"/>
  <c r="J51"/>
  <c r="H51"/>
  <c r="F73" i="50"/>
  <c r="G51" i="49"/>
  <c r="F72" i="50"/>
  <c r="F51" i="49"/>
  <c r="F71" i="50"/>
  <c r="E49" i="49" s="1"/>
  <c r="E51"/>
  <c r="F70" i="50"/>
  <c r="D51" i="49"/>
  <c r="K50"/>
  <c r="J50"/>
  <c r="I50"/>
  <c r="H50"/>
  <c r="G50"/>
  <c r="F50"/>
  <c r="E50"/>
  <c r="D50"/>
  <c r="J49"/>
  <c r="H49"/>
  <c r="G49"/>
  <c r="F49"/>
  <c r="D49"/>
  <c r="K48"/>
  <c r="J48"/>
  <c r="I48"/>
  <c r="H48"/>
  <c r="G48"/>
  <c r="F48"/>
  <c r="E48"/>
  <c r="D48"/>
  <c r="J47"/>
  <c r="H47"/>
  <c r="G47"/>
  <c r="F47"/>
  <c r="D47"/>
  <c r="K46"/>
  <c r="J46"/>
  <c r="I46"/>
  <c r="H46"/>
  <c r="G46"/>
  <c r="F46"/>
  <c r="E46"/>
  <c r="D46"/>
  <c r="M44"/>
  <c r="H45"/>
  <c r="F62" i="50"/>
  <c r="G45" i="49"/>
  <c r="F61" i="50"/>
  <c r="F45" i="49"/>
  <c r="F60" i="50"/>
  <c r="E45" i="49"/>
  <c r="F59" i="50"/>
  <c r="D45" i="49"/>
  <c r="K44"/>
  <c r="J44"/>
  <c r="I44"/>
  <c r="H44"/>
  <c r="G44"/>
  <c r="F44"/>
  <c r="E44"/>
  <c r="D44"/>
  <c r="M40"/>
  <c r="M41"/>
  <c r="H41"/>
  <c r="F41"/>
  <c r="D41"/>
  <c r="K40"/>
  <c r="J40"/>
  <c r="I40"/>
  <c r="H40"/>
  <c r="G40"/>
  <c r="F40"/>
  <c r="E40"/>
  <c r="D40"/>
  <c r="M32"/>
  <c r="M34"/>
  <c r="M35"/>
  <c r="M36"/>
  <c r="M38"/>
  <c r="M39"/>
  <c r="M18"/>
  <c r="M19"/>
  <c r="M20"/>
  <c r="M21"/>
  <c r="M22"/>
  <c r="M23"/>
  <c r="M24"/>
  <c r="M25"/>
  <c r="M26"/>
  <c r="M27"/>
  <c r="M28"/>
  <c r="M29"/>
  <c r="J29"/>
  <c r="H29"/>
  <c r="F29" i="50"/>
  <c r="G29" i="49"/>
  <c r="F28" i="50"/>
  <c r="F29" i="49"/>
  <c r="F27" i="50"/>
  <c r="E29" i="49"/>
  <c r="F26" i="50"/>
  <c r="D19" i="49" s="1"/>
  <c r="D29"/>
  <c r="K28"/>
  <c r="J28"/>
  <c r="I28"/>
  <c r="H28"/>
  <c r="G28"/>
  <c r="F28"/>
  <c r="E28"/>
  <c r="D28"/>
  <c r="H27"/>
  <c r="G27"/>
  <c r="F27"/>
  <c r="E27"/>
  <c r="D27"/>
  <c r="K26"/>
  <c r="J26"/>
  <c r="I26"/>
  <c r="H26"/>
  <c r="G26"/>
  <c r="F26"/>
  <c r="E26"/>
  <c r="D26"/>
  <c r="J25"/>
  <c r="H25"/>
  <c r="G25"/>
  <c r="F25"/>
  <c r="E25"/>
  <c r="D25"/>
  <c r="K24"/>
  <c r="J24"/>
  <c r="I24"/>
  <c r="H24"/>
  <c r="G24"/>
  <c r="F24"/>
  <c r="E24"/>
  <c r="D24"/>
  <c r="H23"/>
  <c r="G23"/>
  <c r="F23"/>
  <c r="E23"/>
  <c r="D23"/>
  <c r="K22"/>
  <c r="J22"/>
  <c r="I22"/>
  <c r="H22"/>
  <c r="G22"/>
  <c r="F22"/>
  <c r="E22"/>
  <c r="D22"/>
  <c r="J21"/>
  <c r="H21"/>
  <c r="G21"/>
  <c r="F21"/>
  <c r="E21"/>
  <c r="D21"/>
  <c r="K20"/>
  <c r="J20"/>
  <c r="I20"/>
  <c r="H20"/>
  <c r="G20"/>
  <c r="F20"/>
  <c r="E20"/>
  <c r="D20"/>
  <c r="H19"/>
  <c r="G19"/>
  <c r="F19"/>
  <c r="E19"/>
  <c r="K18"/>
  <c r="J18"/>
  <c r="I18"/>
  <c r="H18"/>
  <c r="G18"/>
  <c r="F18"/>
  <c r="E18"/>
  <c r="D18"/>
  <c r="M10"/>
  <c r="M11"/>
  <c r="M12"/>
  <c r="M13"/>
  <c r="M14"/>
  <c r="M15"/>
  <c r="M16"/>
  <c r="M17"/>
  <c r="M4"/>
  <c r="M6"/>
  <c r="M7"/>
  <c r="M8"/>
  <c r="M2"/>
  <c r="M3"/>
  <c r="D2"/>
  <c r="B77" i="53"/>
  <c r="B78"/>
  <c r="B79"/>
  <c r="B80"/>
  <c r="B83"/>
  <c r="E30" i="49"/>
  <c r="F38" i="50"/>
  <c r="E31" i="49" s="1"/>
  <c r="F39" i="50"/>
  <c r="F37" i="49" s="1"/>
  <c r="F40" i="50"/>
  <c r="G31" i="49" s="1"/>
  <c r="H31"/>
  <c r="I31"/>
  <c r="J31"/>
  <c r="C73" i="1"/>
  <c r="D75"/>
  <c r="D72" i="51"/>
  <c r="C75" i="1"/>
  <c r="C72" i="51"/>
  <c r="B72"/>
  <c r="A72" s="1"/>
  <c r="D74" i="1"/>
  <c r="D71" i="51"/>
  <c r="C74" i="1"/>
  <c r="C71" i="51"/>
  <c r="B71"/>
  <c r="A71" s="1"/>
  <c r="D73" i="1"/>
  <c r="D70" i="51"/>
  <c r="C70"/>
  <c r="B70"/>
  <c r="A70" s="1"/>
  <c r="D72" i="1"/>
  <c r="D69" i="51"/>
  <c r="C72" i="1"/>
  <c r="C69" i="51"/>
  <c r="B69"/>
  <c r="D71" i="1"/>
  <c r="D68" i="51"/>
  <c r="C71" i="1"/>
  <c r="C68" i="51"/>
  <c r="B68"/>
  <c r="A68" s="1"/>
  <c r="D70" i="1"/>
  <c r="D67" i="51"/>
  <c r="C70" i="1"/>
  <c r="C67" i="51"/>
  <c r="B67"/>
  <c r="A67" s="1"/>
  <c r="D69" i="1"/>
  <c r="D66" i="51"/>
  <c r="C69" i="1"/>
  <c r="C66" i="51"/>
  <c r="B66"/>
  <c r="A66" s="1"/>
  <c r="D68" i="1"/>
  <c r="D65" i="51"/>
  <c r="C68" i="1"/>
  <c r="C65" i="51"/>
  <c r="B65"/>
  <c r="A65" s="1"/>
  <c r="D67" i="1"/>
  <c r="D64" i="51"/>
  <c r="C67" i="1"/>
  <c r="C64" i="51"/>
  <c r="B64"/>
  <c r="A64" s="1"/>
  <c r="D66" i="1"/>
  <c r="D63" i="51"/>
  <c r="C66" i="1"/>
  <c r="C63" i="51"/>
  <c r="B63"/>
  <c r="D65" i="1"/>
  <c r="D62" i="51"/>
  <c r="C65" i="1"/>
  <c r="C62" i="51"/>
  <c r="B62"/>
  <c r="A62" s="1"/>
  <c r="D64" i="1"/>
  <c r="D61" i="51"/>
  <c r="C64" i="1"/>
  <c r="C61" i="51"/>
  <c r="B61"/>
  <c r="A61" s="1"/>
  <c r="D63" i="1"/>
  <c r="D60" i="51"/>
  <c r="C63" i="1"/>
  <c r="C60" i="51"/>
  <c r="B60"/>
  <c r="A60" s="1"/>
  <c r="D62" i="1"/>
  <c r="D59" i="51"/>
  <c r="C62" i="1"/>
  <c r="C59" i="51"/>
  <c r="B59"/>
  <c r="A59" s="1"/>
  <c r="D61" i="1"/>
  <c r="D58" i="51"/>
  <c r="C61" i="1"/>
  <c r="C58" i="51"/>
  <c r="B58"/>
  <c r="A58" s="1"/>
  <c r="D60" i="1"/>
  <c r="D57" i="51"/>
  <c r="C60" i="1"/>
  <c r="C57" i="51"/>
  <c r="B57"/>
  <c r="D59" i="1"/>
  <c r="D56" i="51"/>
  <c r="C59" i="1"/>
  <c r="C56" i="51"/>
  <c r="B56"/>
  <c r="A56" s="1"/>
  <c r="D58" i="1"/>
  <c r="D55" i="51"/>
  <c r="C58" i="1"/>
  <c r="C55" i="51"/>
  <c r="B55"/>
  <c r="A55" s="1"/>
  <c r="D57" i="1"/>
  <c r="D54" i="51"/>
  <c r="C57" i="1"/>
  <c r="C54" i="51"/>
  <c r="B54"/>
  <c r="A54" s="1"/>
  <c r="D56" i="1"/>
  <c r="D53" i="51"/>
  <c r="C56" i="1"/>
  <c r="C53" i="51"/>
  <c r="B53"/>
  <c r="D55" i="1"/>
  <c r="D52" i="51"/>
  <c r="C55" i="1"/>
  <c r="C52" i="51"/>
  <c r="B52"/>
  <c r="A52" s="1"/>
  <c r="D54" i="1"/>
  <c r="D51" i="51"/>
  <c r="C54" i="1"/>
  <c r="C51" i="51"/>
  <c r="B51"/>
  <c r="A51" s="1"/>
  <c r="D53" i="1"/>
  <c r="D50" i="51"/>
  <c r="C53" i="1"/>
  <c r="C50" i="51"/>
  <c r="B50"/>
  <c r="A50" s="1"/>
  <c r="D52" i="1"/>
  <c r="D49" i="51"/>
  <c r="C52" i="1"/>
  <c r="C49" i="51"/>
  <c r="B49"/>
  <c r="A49" s="1"/>
  <c r="D51" i="1"/>
  <c r="D48" i="51"/>
  <c r="C51" i="1"/>
  <c r="C48" i="51"/>
  <c r="B48"/>
  <c r="A48" s="1"/>
  <c r="D50" i="1"/>
  <c r="D47" i="51"/>
  <c r="C50" i="1"/>
  <c r="C47" i="51"/>
  <c r="B47"/>
  <c r="D49" i="1"/>
  <c r="D46" i="51"/>
  <c r="C49" i="1"/>
  <c r="C46" i="51"/>
  <c r="B46"/>
  <c r="A46" s="1"/>
  <c r="D48" i="1"/>
  <c r="D45" i="51"/>
  <c r="C48" i="1"/>
  <c r="C45" i="51"/>
  <c r="B45"/>
  <c r="A45" s="1"/>
  <c r="D47" i="1"/>
  <c r="D44" i="51"/>
  <c r="C47" i="1"/>
  <c r="C44" i="51"/>
  <c r="B44"/>
  <c r="A44" s="1"/>
  <c r="D46" i="1"/>
  <c r="D43" i="51"/>
  <c r="C46" i="1"/>
  <c r="C43" i="51"/>
  <c r="B43"/>
  <c r="A43" s="1"/>
  <c r="D45" i="1"/>
  <c r="D42" i="51" s="1"/>
  <c r="C45" i="1"/>
  <c r="C42" i="51" s="1"/>
  <c r="B42"/>
  <c r="D44" i="1"/>
  <c r="D41" i="51" s="1"/>
  <c r="C44" i="1"/>
  <c r="C41" i="51" s="1"/>
  <c r="B41"/>
  <c r="D43" i="1"/>
  <c r="D40" i="51" s="1"/>
  <c r="C43" i="1"/>
  <c r="C40" i="51" s="1"/>
  <c r="B40"/>
  <c r="D42" i="1"/>
  <c r="D39" i="51" s="1"/>
  <c r="C42" i="1"/>
  <c r="C39" i="51" s="1"/>
  <c r="B39"/>
  <c r="D41" i="1"/>
  <c r="D38" i="51" s="1"/>
  <c r="C41" i="1"/>
  <c r="C38" i="51" s="1"/>
  <c r="B38"/>
  <c r="D40" i="1"/>
  <c r="D37" i="51" s="1"/>
  <c r="C40" i="1"/>
  <c r="C37" i="51" s="1"/>
  <c r="B37"/>
  <c r="D39" i="1"/>
  <c r="D36" i="51" s="1"/>
  <c r="C39" i="1"/>
  <c r="C36" i="51" s="1"/>
  <c r="B36"/>
  <c r="D38" i="1"/>
  <c r="D35" i="51" s="1"/>
  <c r="C38" i="1"/>
  <c r="C35" i="51" s="1"/>
  <c r="B35"/>
  <c r="D37" i="1"/>
  <c r="D34" i="51" s="1"/>
  <c r="C37" i="1"/>
  <c r="C34" i="51" s="1"/>
  <c r="B34"/>
  <c r="D36" i="1"/>
  <c r="D33" i="51" s="1"/>
  <c r="C36" i="1"/>
  <c r="C33" i="51" s="1"/>
  <c r="B33"/>
  <c r="D35" i="1"/>
  <c r="D32" i="51" s="1"/>
  <c r="C35" i="1"/>
  <c r="C32" i="51" s="1"/>
  <c r="B32"/>
  <c r="D34" i="1"/>
  <c r="D31" i="51" s="1"/>
  <c r="C34" i="1"/>
  <c r="C31" i="51" s="1"/>
  <c r="B31"/>
  <c r="D33" i="1"/>
  <c r="D30" i="51" s="1"/>
  <c r="C33" i="1"/>
  <c r="C30" i="51" s="1"/>
  <c r="B30"/>
  <c r="D32" i="1"/>
  <c r="D29" i="51" s="1"/>
  <c r="C32" i="1"/>
  <c r="C29" i="51" s="1"/>
  <c r="B29"/>
  <c r="D31" i="1"/>
  <c r="D28" i="51" s="1"/>
  <c r="C31" i="1"/>
  <c r="C28" i="51" s="1"/>
  <c r="B28"/>
  <c r="D30" i="1"/>
  <c r="D27" i="51" s="1"/>
  <c r="C30" i="1"/>
  <c r="C27" i="51" s="1"/>
  <c r="B27"/>
  <c r="D29" i="1"/>
  <c r="D26" i="51" s="1"/>
  <c r="C29" i="1"/>
  <c r="C26" i="51" s="1"/>
  <c r="B26"/>
  <c r="D28" i="1"/>
  <c r="D25" i="51" s="1"/>
  <c r="C28" i="1"/>
  <c r="C25" i="51" s="1"/>
  <c r="B25"/>
  <c r="D27" i="1"/>
  <c r="D24" i="51" s="1"/>
  <c r="C27" i="1"/>
  <c r="C24" i="51" s="1"/>
  <c r="B24"/>
  <c r="D26" i="1"/>
  <c r="D23" i="51" s="1"/>
  <c r="C26" i="1"/>
  <c r="C23" i="51" s="1"/>
  <c r="B23"/>
  <c r="D25" i="1"/>
  <c r="D22" i="51" s="1"/>
  <c r="C25" i="1"/>
  <c r="C22" i="51" s="1"/>
  <c r="B22"/>
  <c r="D24" i="1"/>
  <c r="D21" i="51" s="1"/>
  <c r="C24" i="1"/>
  <c r="C21" i="51" s="1"/>
  <c r="B21"/>
  <c r="D23" i="1"/>
  <c r="D20" i="51" s="1"/>
  <c r="C23" i="1"/>
  <c r="C20" i="51" s="1"/>
  <c r="B20"/>
  <c r="D22" i="1"/>
  <c r="D19" i="51" s="1"/>
  <c r="C22" i="1"/>
  <c r="C19" i="51" s="1"/>
  <c r="B19"/>
  <c r="D21" i="1"/>
  <c r="D18" i="51" s="1"/>
  <c r="C21" i="1"/>
  <c r="C18" i="51" s="1"/>
  <c r="B18"/>
  <c r="D20" i="1"/>
  <c r="D17" i="51" s="1"/>
  <c r="C20" i="1"/>
  <c r="C17" i="51" s="1"/>
  <c r="B17"/>
  <c r="D19" i="1"/>
  <c r="D16" i="51" s="1"/>
  <c r="C19" i="1"/>
  <c r="C16" i="51" s="1"/>
  <c r="B16"/>
  <c r="D18" i="1"/>
  <c r="D15" i="51" s="1"/>
  <c r="C18" i="1"/>
  <c r="C15" i="51" s="1"/>
  <c r="B15"/>
  <c r="D17" i="1"/>
  <c r="D14" i="51" s="1"/>
  <c r="C17" i="1"/>
  <c r="C14" i="51" s="1"/>
  <c r="B14"/>
  <c r="D16" i="1"/>
  <c r="D13" i="51" s="1"/>
  <c r="C16" i="1"/>
  <c r="C13" i="51" s="1"/>
  <c r="B13"/>
  <c r="D15" i="1"/>
  <c r="D12" i="51" s="1"/>
  <c r="C15" i="1"/>
  <c r="C12" i="51" s="1"/>
  <c r="B12"/>
  <c r="A12" s="1"/>
  <c r="D14" i="1"/>
  <c r="D11" i="51" s="1"/>
  <c r="C14" i="1"/>
  <c r="C11" i="51" s="1"/>
  <c r="B11"/>
  <c r="D13" i="1"/>
  <c r="D10" i="51" s="1"/>
  <c r="C13" i="1"/>
  <c r="C10" i="51" s="1"/>
  <c r="B10"/>
  <c r="D12" i="1"/>
  <c r="D9" i="51" s="1"/>
  <c r="C12" i="1"/>
  <c r="C9" i="51" s="1"/>
  <c r="B9"/>
  <c r="D11" i="1"/>
  <c r="D8" i="51" s="1"/>
  <c r="C11" i="1"/>
  <c r="C8" i="51" s="1"/>
  <c r="B8"/>
  <c r="C3" s="1"/>
  <c r="A47"/>
  <c r="A53"/>
  <c r="A57"/>
  <c r="A63"/>
  <c r="A69"/>
  <c r="B83" i="43"/>
  <c r="B80"/>
  <c r="B79"/>
  <c r="B78"/>
  <c r="B77"/>
  <c r="B77" i="42"/>
  <c r="B77" i="41"/>
  <c r="B77" i="40"/>
  <c r="B77" i="39"/>
  <c r="B77" i="38"/>
  <c r="B77" i="37"/>
  <c r="K39" i="49"/>
  <c r="J39"/>
  <c r="I39"/>
  <c r="H39"/>
  <c r="E39"/>
  <c r="K38"/>
  <c r="J38"/>
  <c r="I38"/>
  <c r="H38"/>
  <c r="G38"/>
  <c r="F38"/>
  <c r="E38"/>
  <c r="D38"/>
  <c r="K37"/>
  <c r="I37"/>
  <c r="G37"/>
  <c r="D37"/>
  <c r="K36"/>
  <c r="J36"/>
  <c r="I36"/>
  <c r="H36"/>
  <c r="G36"/>
  <c r="F36"/>
  <c r="E36"/>
  <c r="D36"/>
  <c r="K35"/>
  <c r="J35"/>
  <c r="I35"/>
  <c r="H35"/>
  <c r="E35"/>
  <c r="K34"/>
  <c r="J34"/>
  <c r="I34"/>
  <c r="H34"/>
  <c r="G34"/>
  <c r="F34"/>
  <c r="E34"/>
  <c r="D34"/>
  <c r="K33"/>
  <c r="I33"/>
  <c r="G33"/>
  <c r="D33"/>
  <c r="K32"/>
  <c r="J32"/>
  <c r="I32"/>
  <c r="H32"/>
  <c r="G32"/>
  <c r="F32"/>
  <c r="E32"/>
  <c r="D32"/>
  <c r="K17"/>
  <c r="F21" i="50"/>
  <c r="J17" i="49" s="1"/>
  <c r="F20" i="50"/>
  <c r="I17" i="49" s="1"/>
  <c r="F19" i="50"/>
  <c r="H17" i="49" s="1"/>
  <c r="F18" i="50"/>
  <c r="G17" i="49" s="1"/>
  <c r="F17" i="50"/>
  <c r="F17" i="49" s="1"/>
  <c r="F16" i="50"/>
  <c r="E17" i="49" s="1"/>
  <c r="F15" i="50"/>
  <c r="D17" i="49" s="1"/>
  <c r="K16"/>
  <c r="J16"/>
  <c r="I16"/>
  <c r="H16"/>
  <c r="G16"/>
  <c r="F16"/>
  <c r="E16"/>
  <c r="D16"/>
  <c r="K15"/>
  <c r="I15"/>
  <c r="G15"/>
  <c r="E15"/>
  <c r="K14"/>
  <c r="J14"/>
  <c r="I14"/>
  <c r="H14"/>
  <c r="G14"/>
  <c r="F14"/>
  <c r="E14"/>
  <c r="D14"/>
  <c r="K13"/>
  <c r="I13"/>
  <c r="G13"/>
  <c r="E13"/>
  <c r="K12"/>
  <c r="J12"/>
  <c r="I12"/>
  <c r="H12"/>
  <c r="G12"/>
  <c r="F12"/>
  <c r="E12"/>
  <c r="D12"/>
  <c r="E11"/>
  <c r="G11"/>
  <c r="I11"/>
  <c r="K11"/>
  <c r="E10"/>
  <c r="F10"/>
  <c r="G10"/>
  <c r="H10"/>
  <c r="I10"/>
  <c r="J10"/>
  <c r="K10"/>
  <c r="D10"/>
  <c r="K9"/>
  <c r="J9"/>
  <c r="F9" i="50"/>
  <c r="I9" i="49" s="1"/>
  <c r="F8" i="50"/>
  <c r="H9" i="49" s="1"/>
  <c r="F7" i="50"/>
  <c r="G9" i="49" s="1"/>
  <c r="F6" i="50"/>
  <c r="F7" i="49" s="1"/>
  <c r="F5" i="50"/>
  <c r="E9" i="49" s="1"/>
  <c r="F4" i="50"/>
  <c r="D9" i="49" s="1"/>
  <c r="K8"/>
  <c r="J8"/>
  <c r="I8"/>
  <c r="H8"/>
  <c r="G8"/>
  <c r="F8"/>
  <c r="E8"/>
  <c r="D8"/>
  <c r="K7"/>
  <c r="J7"/>
  <c r="G7"/>
  <c r="K6"/>
  <c r="J6"/>
  <c r="I6"/>
  <c r="H6"/>
  <c r="G6"/>
  <c r="F6"/>
  <c r="E6"/>
  <c r="D6"/>
  <c r="K5"/>
  <c r="J5"/>
  <c r="G5"/>
  <c r="K4"/>
  <c r="J4"/>
  <c r="I4"/>
  <c r="H4"/>
  <c r="G4"/>
  <c r="F4"/>
  <c r="E4"/>
  <c r="D4"/>
  <c r="E3"/>
  <c r="I3"/>
  <c r="J3"/>
  <c r="K3"/>
  <c r="E2"/>
  <c r="F2"/>
  <c r="G2"/>
  <c r="H2"/>
  <c r="I2"/>
  <c r="J2"/>
  <c r="K2"/>
  <c r="B77" i="36"/>
  <c r="AD27" i="57"/>
  <c r="BB57"/>
  <c r="BB56"/>
  <c r="BB55"/>
  <c r="BB54"/>
  <c r="BB53"/>
  <c r="BB58"/>
  <c r="BN46" i="1"/>
  <c r="BN47"/>
  <c r="BN49"/>
  <c r="BN51"/>
  <c r="BN55"/>
  <c r="BN59"/>
  <c r="F35" i="49"/>
  <c r="F39"/>
  <c r="I19"/>
  <c r="K19"/>
  <c r="I21"/>
  <c r="K21"/>
  <c r="I23"/>
  <c r="K23"/>
  <c r="I25"/>
  <c r="K25"/>
  <c r="I27"/>
  <c r="K27"/>
  <c r="I41"/>
  <c r="K41"/>
  <c r="L51"/>
  <c r="L49"/>
  <c r="L39"/>
  <c r="L35"/>
  <c r="L17"/>
  <c r="L13"/>
  <c r="AP15" i="57" l="1"/>
  <c r="AE16"/>
  <c r="AQ16"/>
  <c r="AF17"/>
  <c r="AV17"/>
  <c r="AT18"/>
  <c r="AX19"/>
  <c r="AI20"/>
  <c r="AM22"/>
  <c r="AT22"/>
  <c r="AP24"/>
  <c r="AW25"/>
  <c r="AO28"/>
  <c r="AT32"/>
  <c r="AQ33"/>
  <c r="AF38"/>
  <c r="AV38"/>
  <c r="AJ40"/>
  <c r="AZ40"/>
  <c r="AO42"/>
  <c r="AU42"/>
  <c r="AI43"/>
  <c r="AI44"/>
  <c r="AQ46"/>
  <c r="AF47"/>
  <c r="AJ49"/>
  <c r="AQ51"/>
  <c r="AG52"/>
  <c r="AN75"/>
  <c r="AW76"/>
  <c r="AE82"/>
  <c r="AV83"/>
  <c r="AU84"/>
  <c r="AN85"/>
  <c r="AQ74"/>
  <c r="AU73"/>
  <c r="AK71"/>
  <c r="AQ70"/>
  <c r="AQ69"/>
  <c r="AN68"/>
  <c r="AV67"/>
  <c r="AK67"/>
  <c r="AE65"/>
  <c r="AW63"/>
  <c r="AL63"/>
  <c r="AL62"/>
  <c r="AM60"/>
  <c r="AT59"/>
  <c r="AL58"/>
  <c r="AQ57"/>
  <c r="AU55"/>
  <c r="BA71"/>
  <c r="BA66"/>
  <c r="BA25"/>
  <c r="BO82"/>
  <c r="BV79"/>
  <c r="BR75"/>
  <c r="BW51"/>
  <c r="D13"/>
  <c r="FC83" i="1"/>
  <c r="DM62"/>
  <c r="AD35" i="57"/>
  <c r="AD43"/>
  <c r="AD11"/>
  <c r="AE50"/>
  <c r="AM51"/>
  <c r="AL75"/>
  <c r="AL81"/>
  <c r="AU57"/>
  <c r="AD15"/>
  <c r="BP50" i="1"/>
  <c r="BQ73"/>
  <c r="D41" i="57"/>
  <c r="EZ72" i="1"/>
  <c r="AD51" i="57"/>
  <c r="AD19"/>
  <c r="AJ11"/>
  <c r="AG12"/>
  <c r="AR12"/>
  <c r="AG14"/>
  <c r="AL15"/>
  <c r="AX16"/>
  <c r="AJ17"/>
  <c r="AH19"/>
  <c r="AJ21"/>
  <c r="AX21"/>
  <c r="AX22"/>
  <c r="AI24"/>
  <c r="AS25"/>
  <c r="AN27"/>
  <c r="AQ29"/>
  <c r="AT33"/>
  <c r="AX34"/>
  <c r="AR36"/>
  <c r="AX36"/>
  <c r="AP39"/>
  <c r="AV39"/>
  <c r="AI41"/>
  <c r="AH42"/>
  <c r="AX42"/>
  <c r="AR43"/>
  <c r="AY43"/>
  <c r="AG48"/>
  <c r="AY49"/>
  <c r="AK51"/>
  <c r="AO52"/>
  <c r="AI75"/>
  <c r="AY75"/>
  <c r="AH77"/>
  <c r="AY78"/>
  <c r="AV79"/>
  <c r="AZ81"/>
  <c r="AN83"/>
  <c r="AR85"/>
  <c r="AY73"/>
  <c r="AF73"/>
  <c r="AP72"/>
  <c r="AL72"/>
  <c r="AX70"/>
  <c r="AX68"/>
  <c r="AT68"/>
  <c r="AG68"/>
  <c r="AN67"/>
  <c r="AP66"/>
  <c r="AF64"/>
  <c r="AT63"/>
  <c r="AU60"/>
  <c r="AE60"/>
  <c r="AX59"/>
  <c r="AE58"/>
  <c r="AZ56"/>
  <c r="AF56"/>
  <c r="AM55"/>
  <c r="AL54"/>
  <c r="BU57"/>
  <c r="BY55"/>
  <c r="D70"/>
  <c r="CT76" i="1"/>
  <c r="EW61"/>
  <c r="AD47" i="57"/>
  <c r="AD26"/>
  <c r="G3" i="49"/>
  <c r="E5"/>
  <c r="I5"/>
  <c r="E7"/>
  <c r="I7"/>
  <c r="A28" i="51"/>
  <c r="M9" i="49"/>
  <c r="M37"/>
  <c r="M33"/>
  <c r="L29"/>
  <c r="L25"/>
  <c r="D11" i="57"/>
  <c r="C49"/>
  <c r="AD16"/>
  <c r="D49"/>
  <c r="L15" i="49"/>
  <c r="L37"/>
  <c r="K53"/>
  <c r="F33"/>
  <c r="AD39" i="57"/>
  <c r="AD23"/>
  <c r="D3" i="49"/>
  <c r="H3"/>
  <c r="D5"/>
  <c r="H5"/>
  <c r="D7"/>
  <c r="H7"/>
  <c r="F9"/>
  <c r="J11"/>
  <c r="F11"/>
  <c r="F13"/>
  <c r="J13"/>
  <c r="F15"/>
  <c r="J15"/>
  <c r="H33"/>
  <c r="D35"/>
  <c r="E37"/>
  <c r="J37"/>
  <c r="G39"/>
  <c r="F31"/>
  <c r="J19"/>
  <c r="J23"/>
  <c r="E41"/>
  <c r="J41"/>
  <c r="E47"/>
  <c r="I47"/>
  <c r="I49"/>
  <c r="G53"/>
  <c r="N53"/>
  <c r="N49"/>
  <c r="N37"/>
  <c r="N29"/>
  <c r="N25"/>
  <c r="N21"/>
  <c r="N9"/>
  <c r="N5"/>
  <c r="L43"/>
  <c r="L31"/>
  <c r="AQ11" i="57"/>
  <c r="AY11"/>
  <c r="AL13"/>
  <c r="AE14"/>
  <c r="AN21"/>
  <c r="AR23"/>
  <c r="AF24"/>
  <c r="AM24"/>
  <c r="AJ26"/>
  <c r="AE27"/>
  <c r="AJ27"/>
  <c r="AR27"/>
  <c r="AM28"/>
  <c r="AF29"/>
  <c r="AT29"/>
  <c r="AT30"/>
  <c r="AF31"/>
  <c r="AN31"/>
  <c r="AF32"/>
  <c r="AK32"/>
  <c r="AW32"/>
  <c r="AL33"/>
  <c r="AX33"/>
  <c r="AN34"/>
  <c r="AS34"/>
  <c r="AZ34"/>
  <c r="AR35"/>
  <c r="AL36"/>
  <c r="AR37"/>
  <c r="AH38"/>
  <c r="AT38"/>
  <c r="AF39"/>
  <c r="AR39"/>
  <c r="AT40"/>
  <c r="AI42"/>
  <c r="AG43"/>
  <c r="AK46"/>
  <c r="AJ47"/>
  <c r="AU47"/>
  <c r="AK48"/>
  <c r="AS48"/>
  <c r="AF49"/>
  <c r="AL49"/>
  <c r="AZ49"/>
  <c r="AJ50"/>
  <c r="AT50"/>
  <c r="AI51"/>
  <c r="AR51"/>
  <c r="AP52"/>
  <c r="AH75"/>
  <c r="AO76"/>
  <c r="AF77"/>
  <c r="AP77"/>
  <c r="AX78"/>
  <c r="AI79"/>
  <c r="AO80"/>
  <c r="AV80"/>
  <c r="AJ81"/>
  <c r="AW81"/>
  <c r="AU82"/>
  <c r="AP83"/>
  <c r="AY83"/>
  <c r="AO84"/>
  <c r="AF85"/>
  <c r="AP58"/>
  <c r="AF58"/>
  <c r="AV56"/>
  <c r="AH56"/>
  <c r="AV54"/>
  <c r="AF54"/>
  <c r="AS53"/>
  <c r="AE53"/>
  <c r="BA48"/>
  <c r="BA41"/>
  <c r="BQ84"/>
  <c r="BG80"/>
  <c r="BC55"/>
  <c r="BP54"/>
  <c r="D21"/>
  <c r="BE47"/>
  <c r="BM43"/>
  <c r="BK42"/>
  <c r="CY39" i="1" s="1"/>
  <c r="BH39" i="57"/>
  <c r="BV38"/>
  <c r="FN35" i="1" s="1"/>
  <c r="BT37" i="57"/>
  <c r="BR36"/>
  <c r="BN33"/>
  <c r="BL32"/>
  <c r="FD30" i="1" s="1"/>
  <c r="C51" i="57"/>
  <c r="C39"/>
  <c r="C31"/>
  <c r="C27"/>
  <c r="D19"/>
  <c r="EU11" i="1"/>
  <c r="AD21" i="57"/>
  <c r="BR19"/>
  <c r="FJ18" i="1" s="1"/>
  <c r="C40" i="57"/>
  <c r="C32"/>
  <c r="D12"/>
  <c r="AD31"/>
  <c r="F3" i="49"/>
  <c r="F5"/>
  <c r="D11"/>
  <c r="H11"/>
  <c r="D13"/>
  <c r="H13"/>
  <c r="D15"/>
  <c r="H15"/>
  <c r="E33"/>
  <c r="G35"/>
  <c r="D39"/>
  <c r="G41"/>
  <c r="K47"/>
  <c r="K49"/>
  <c r="E53"/>
  <c r="I53"/>
  <c r="N51"/>
  <c r="N27"/>
  <c r="N23"/>
  <c r="N7"/>
  <c r="I3" i="1"/>
  <c r="AN23" i="57"/>
  <c r="AJ24"/>
  <c r="AT24"/>
  <c r="AW27"/>
  <c r="AI28"/>
  <c r="AU28"/>
  <c r="AI29"/>
  <c r="AP29"/>
  <c r="AI31"/>
  <c r="AQ31"/>
  <c r="AZ32"/>
  <c r="AI33"/>
  <c r="AU33"/>
  <c r="AK34"/>
  <c r="AV34"/>
  <c r="AH35"/>
  <c r="AH36"/>
  <c r="AJ37"/>
  <c r="AE38"/>
  <c r="AE40"/>
  <c r="AP40"/>
  <c r="AG41"/>
  <c r="AY42"/>
  <c r="AG44"/>
  <c r="AX44"/>
  <c r="AP45"/>
  <c r="AE46"/>
  <c r="AM46"/>
  <c r="AU46"/>
  <c r="AQ47"/>
  <c r="AM48"/>
  <c r="AW48"/>
  <c r="AP49"/>
  <c r="AU49"/>
  <c r="AG50"/>
  <c r="AP50"/>
  <c r="AL52"/>
  <c r="AI76"/>
  <c r="AJ77"/>
  <c r="AW77"/>
  <c r="AR79"/>
  <c r="AF83"/>
  <c r="AT83"/>
  <c r="AW84"/>
  <c r="AU58"/>
  <c r="AJ58"/>
  <c r="AY57"/>
  <c r="AR56"/>
  <c r="AN54"/>
  <c r="AY53"/>
  <c r="AO53"/>
  <c r="BA56"/>
  <c r="BA43"/>
  <c r="D51"/>
  <c r="BI76"/>
  <c r="D25"/>
  <c r="AD48"/>
  <c r="AD44"/>
  <c r="C33"/>
  <c r="AD24"/>
  <c r="BC45"/>
  <c r="D45"/>
  <c r="BC25"/>
  <c r="EU24" i="1" s="1"/>
  <c r="C25" i="57"/>
  <c r="BC37"/>
  <c r="CQ34" i="1" s="1"/>
  <c r="C37" i="57"/>
  <c r="D37"/>
  <c r="AF43"/>
  <c r="BD43"/>
  <c r="EV40" i="1" s="1"/>
  <c r="AI34" i="57"/>
  <c r="BG34"/>
  <c r="EY32" i="1" s="1"/>
  <c r="AW33" i="57"/>
  <c r="BU33"/>
  <c r="DI31" i="1" s="1"/>
  <c r="BY20" i="57"/>
  <c r="BA20"/>
  <c r="BY69"/>
  <c r="BA69"/>
  <c r="BY61"/>
  <c r="BA61"/>
  <c r="D55"/>
  <c r="C55"/>
  <c r="C43"/>
  <c r="D43"/>
  <c r="AR75"/>
  <c r="BP75"/>
  <c r="BE57"/>
  <c r="AG57"/>
  <c r="AT43"/>
  <c r="BR43"/>
  <c r="FJ40" i="1" s="1"/>
  <c r="AL43" i="57"/>
  <c r="BJ43"/>
  <c r="FB40" i="1" s="1"/>
  <c r="AZ42" i="57"/>
  <c r="BX42"/>
  <c r="FP39" i="1" s="1"/>
  <c r="AR42" i="57"/>
  <c r="BP42"/>
  <c r="FH39" i="1" s="1"/>
  <c r="AY40" i="57"/>
  <c r="BW40"/>
  <c r="DK37" i="1" s="1"/>
  <c r="AM38" i="57"/>
  <c r="BK38"/>
  <c r="CY35" i="1" s="1"/>
  <c r="BA37" i="57"/>
  <c r="BY37"/>
  <c r="FQ34" i="1" s="1"/>
  <c r="AS37" i="57"/>
  <c r="BQ37"/>
  <c r="FI34" i="1" s="1"/>
  <c r="AK37" i="57"/>
  <c r="BI37"/>
  <c r="CW34" i="1" s="1"/>
  <c r="AY36" i="57"/>
  <c r="BW36"/>
  <c r="AQ36"/>
  <c r="BO36"/>
  <c r="AI36"/>
  <c r="BG36"/>
  <c r="BA32"/>
  <c r="BY32"/>
  <c r="DM30" i="1" s="1"/>
  <c r="BE17" i="57"/>
  <c r="D17"/>
  <c r="D84"/>
  <c r="C84"/>
  <c r="D52"/>
  <c r="C52"/>
  <c r="BS53"/>
  <c r="AU53"/>
  <c r="BK53"/>
  <c r="AM53"/>
  <c r="BD41"/>
  <c r="C41"/>
  <c r="BA38"/>
  <c r="BY38"/>
  <c r="FQ35" i="1" s="1"/>
  <c r="AU34" i="57"/>
  <c r="BS34"/>
  <c r="DG32" i="1" s="1"/>
  <c r="AM34" i="57"/>
  <c r="BK34"/>
  <c r="CY32" i="1" s="1"/>
  <c r="AS33" i="57"/>
  <c r="BQ33"/>
  <c r="DE31" i="1" s="1"/>
  <c r="AK33" i="57"/>
  <c r="BI33"/>
  <c r="CW31" i="1" s="1"/>
  <c r="AY32" i="57"/>
  <c r="BW32"/>
  <c r="FO30" i="1" s="1"/>
  <c r="AQ32" i="57"/>
  <c r="BO32"/>
  <c r="DC30" i="1" s="1"/>
  <c r="AI32" i="57"/>
  <c r="BG32"/>
  <c r="CU30" i="1" s="1"/>
  <c r="AN20" i="57"/>
  <c r="BL20"/>
  <c r="FD19" i="1" s="1"/>
  <c r="BY15" i="57"/>
  <c r="BA15"/>
  <c r="BY64"/>
  <c r="BA64"/>
  <c r="D23"/>
  <c r="C15"/>
  <c r="AD40"/>
  <c r="AD28"/>
  <c r="AD20"/>
  <c r="AD12"/>
  <c r="AI11"/>
  <c r="AS11"/>
  <c r="AN24"/>
  <c r="AT28"/>
  <c r="AO30"/>
  <c r="AJ31"/>
  <c r="AO38"/>
  <c r="AE42"/>
  <c r="AR50"/>
  <c r="AE84"/>
  <c r="AH73"/>
  <c r="AE69"/>
  <c r="AT61"/>
  <c r="AM61"/>
  <c r="BN79"/>
  <c r="BD79"/>
  <c r="D28"/>
  <c r="D31"/>
  <c r="D40"/>
  <c r="BQ61" i="1"/>
  <c r="CV78"/>
  <c r="BG48" i="57"/>
  <c r="EY42" i="1" s="1"/>
  <c r="EX51"/>
  <c r="EY79"/>
  <c r="BI44" i="57"/>
  <c r="BD18"/>
  <c r="CR17" i="1" s="1"/>
  <c r="FD22"/>
  <c r="BD75" i="57"/>
  <c r="BD74"/>
  <c r="BG69"/>
  <c r="BG66"/>
  <c r="D48"/>
  <c r="C28"/>
  <c r="C20"/>
  <c r="D16"/>
  <c r="AD49"/>
  <c r="AD45"/>
  <c r="AD41"/>
  <c r="AD37"/>
  <c r="AD33"/>
  <c r="AD29"/>
  <c r="AD25"/>
  <c r="AD17"/>
  <c r="AD13"/>
  <c r="AF11"/>
  <c r="AM11"/>
  <c r="AF14"/>
  <c r="AK14"/>
  <c r="AQ14"/>
  <c r="AF15"/>
  <c r="AK16"/>
  <c r="AO16"/>
  <c r="AO17"/>
  <c r="AX17"/>
  <c r="AJ18"/>
  <c r="AM20"/>
  <c r="AS20"/>
  <c r="AX20"/>
  <c r="AI21"/>
  <c r="AS21"/>
  <c r="AZ21"/>
  <c r="AV22"/>
  <c r="AW23"/>
  <c r="AH24"/>
  <c r="AT25"/>
  <c r="AU26"/>
  <c r="AO27"/>
  <c r="AG28"/>
  <c r="AR29"/>
  <c r="AS30"/>
  <c r="AZ30"/>
  <c r="AJ35"/>
  <c r="AK36"/>
  <c r="AE37"/>
  <c r="AU37"/>
  <c r="AI39"/>
  <c r="AY39"/>
  <c r="AY41"/>
  <c r="AH44"/>
  <c r="AO44"/>
  <c r="AU44"/>
  <c r="AI46"/>
  <c r="AG51"/>
  <c r="AN80"/>
  <c r="AH82"/>
  <c r="AY82"/>
  <c r="AL83"/>
  <c r="AM84"/>
  <c r="AW74"/>
  <c r="AR74"/>
  <c r="AI74"/>
  <c r="AV73"/>
  <c r="AR73"/>
  <c r="AN73"/>
  <c r="AE73"/>
  <c r="AH72"/>
  <c r="AE71"/>
  <c r="AL69"/>
  <c r="AF69"/>
  <c r="AY68"/>
  <c r="AF66"/>
  <c r="AG65"/>
  <c r="AQ63"/>
  <c r="AI63"/>
  <c r="AR62"/>
  <c r="AN61"/>
  <c r="AJ61"/>
  <c r="AE61"/>
  <c r="AK60"/>
  <c r="AU59"/>
  <c r="AL59"/>
  <c r="AI55"/>
  <c r="D83"/>
  <c r="BA63"/>
  <c r="BA18"/>
  <c r="BN56"/>
  <c r="BU51"/>
  <c r="D14"/>
  <c r="D15"/>
  <c r="C16"/>
  <c r="D27"/>
  <c r="C29"/>
  <c r="D63"/>
  <c r="D39"/>
  <c r="D71"/>
  <c r="DB84" i="1"/>
  <c r="DL78"/>
  <c r="BL13" i="57"/>
  <c r="FD13" i="1" s="1"/>
  <c r="BW48" i="57"/>
  <c r="EZ49" i="1"/>
  <c r="FJ66"/>
  <c r="FM77"/>
  <c r="BM47" i="57"/>
  <c r="BD30"/>
  <c r="CR28" i="1" s="1"/>
  <c r="BF26" i="57"/>
  <c r="BY73"/>
  <c r="BK70"/>
  <c r="BN60"/>
  <c r="BF60"/>
  <c r="BI53"/>
  <c r="AK53"/>
  <c r="BY28"/>
  <c r="DM27" i="1" s="1"/>
  <c r="BA28" i="57"/>
  <c r="AV43"/>
  <c r="BT43"/>
  <c r="AL42"/>
  <c r="BJ42"/>
  <c r="BY40"/>
  <c r="FQ37" i="1" s="1"/>
  <c r="BA40" i="57"/>
  <c r="AY34"/>
  <c r="BW34"/>
  <c r="AQ34"/>
  <c r="BO34"/>
  <c r="AO33"/>
  <c r="BM33"/>
  <c r="AG33"/>
  <c r="BE33"/>
  <c r="AU32"/>
  <c r="BS32"/>
  <c r="AM32"/>
  <c r="BK32"/>
  <c r="BG59"/>
  <c r="AI59"/>
  <c r="CS12" i="1"/>
  <c r="FK54"/>
  <c r="FE40"/>
  <c r="FH80"/>
  <c r="EU75"/>
  <c r="FE69"/>
  <c r="FO63"/>
  <c r="EW55"/>
  <c r="FC46"/>
  <c r="DC77"/>
  <c r="CX80"/>
  <c r="CS83"/>
  <c r="DK85"/>
  <c r="BQ65"/>
  <c r="DF57"/>
  <c r="EX57"/>
  <c r="FN31"/>
  <c r="FQ81"/>
  <c r="FD76"/>
  <c r="FN70"/>
  <c r="FA65"/>
  <c r="EU59"/>
  <c r="FB47"/>
  <c r="DJ76"/>
  <c r="DE79"/>
  <c r="CZ82"/>
  <c r="CU85"/>
  <c r="BQ69"/>
  <c r="BP57"/>
  <c r="C11" i="57"/>
  <c r="BX58"/>
  <c r="AZ58"/>
  <c r="BY46"/>
  <c r="FQ41" i="1" s="1"/>
  <c r="BA46" i="57"/>
  <c r="AJ42"/>
  <c r="BH42"/>
  <c r="AQ40"/>
  <c r="BO40"/>
  <c r="AI40"/>
  <c r="BG40"/>
  <c r="AW39"/>
  <c r="BU39"/>
  <c r="AO39"/>
  <c r="BM39"/>
  <c r="AG39"/>
  <c r="BE39"/>
  <c r="AU38"/>
  <c r="BS38"/>
  <c r="BD21"/>
  <c r="EV20" i="1" s="1"/>
  <c r="C21" i="57"/>
  <c r="BY65"/>
  <c r="BA65"/>
  <c r="C36"/>
  <c r="D36"/>
  <c r="AH81"/>
  <c r="BF81"/>
  <c r="BY80"/>
  <c r="BA80"/>
  <c r="BV58"/>
  <c r="AX58"/>
  <c r="BK58"/>
  <c r="AM58"/>
  <c r="BG57"/>
  <c r="AI57"/>
  <c r="BL56"/>
  <c r="AN56"/>
  <c r="BM55"/>
  <c r="AO55"/>
  <c r="BC13"/>
  <c r="CQ13" i="1" s="1"/>
  <c r="C13" i="57"/>
  <c r="AX43"/>
  <c r="BV43"/>
  <c r="AP43"/>
  <c r="BN43"/>
  <c r="AH43"/>
  <c r="BF43"/>
  <c r="AV42"/>
  <c r="BT42"/>
  <c r="AN42"/>
  <c r="BL42"/>
  <c r="AF42"/>
  <c r="BD42"/>
  <c r="AU40"/>
  <c r="BS40"/>
  <c r="AM40"/>
  <c r="BK40"/>
  <c r="BA39"/>
  <c r="BY39"/>
  <c r="AS39"/>
  <c r="BQ39"/>
  <c r="AK39"/>
  <c r="BI39"/>
  <c r="AY38"/>
  <c r="BW38"/>
  <c r="AQ38"/>
  <c r="BO38"/>
  <c r="AI38"/>
  <c r="BG38"/>
  <c r="AW37"/>
  <c r="BU37"/>
  <c r="AO37"/>
  <c r="BM37"/>
  <c r="AG37"/>
  <c r="BE37"/>
  <c r="AU36"/>
  <c r="BS36"/>
  <c r="AM36"/>
  <c r="BK36"/>
  <c r="BA34"/>
  <c r="BY34"/>
  <c r="BY14"/>
  <c r="BA14"/>
  <c r="D47"/>
  <c r="D35"/>
  <c r="C19"/>
  <c r="AD52"/>
  <c r="AD36"/>
  <c r="AD32"/>
  <c r="AP19"/>
  <c r="AS23"/>
  <c r="AZ23"/>
  <c r="AQ26"/>
  <c r="AX26"/>
  <c r="AN35"/>
  <c r="AS40"/>
  <c r="AW52"/>
  <c r="AE76"/>
  <c r="AF80"/>
  <c r="AT81"/>
  <c r="AK82"/>
  <c r="AW85"/>
  <c r="AY66"/>
  <c r="AU62"/>
  <c r="AP59"/>
  <c r="BV81"/>
  <c r="BY53"/>
  <c r="C59"/>
  <c r="D29"/>
  <c r="D32"/>
  <c r="C35"/>
  <c r="C47"/>
  <c r="C75"/>
  <c r="DI83" i="1"/>
  <c r="EV68"/>
  <c r="BP17" i="57"/>
  <c r="FH16" i="1" s="1"/>
  <c r="CS74"/>
  <c r="BM74" i="57"/>
  <c r="D44"/>
  <c r="D24"/>
  <c r="C12"/>
  <c r="AD50"/>
  <c r="AD46"/>
  <c r="AD42"/>
  <c r="AD38"/>
  <c r="AD34"/>
  <c r="AD30"/>
  <c r="AD22"/>
  <c r="AD18"/>
  <c r="AD14"/>
  <c r="AL11"/>
  <c r="AV11"/>
  <c r="AV12"/>
  <c r="AJ15"/>
  <c r="AN15"/>
  <c r="AG17"/>
  <c r="AN17"/>
  <c r="AE18"/>
  <c r="AI18"/>
  <c r="AN18"/>
  <c r="AI19"/>
  <c r="AW20"/>
  <c r="AP23"/>
  <c r="AQ24"/>
  <c r="AX24"/>
  <c r="AN26"/>
  <c r="AV27"/>
  <c r="AL30"/>
  <c r="AM31"/>
  <c r="AT31"/>
  <c r="AS32"/>
  <c r="AM33"/>
  <c r="AG34"/>
  <c r="AW34"/>
  <c r="AE36"/>
  <c r="AG38"/>
  <c r="AW38"/>
  <c r="AK40"/>
  <c r="AT42"/>
  <c r="AV47"/>
  <c r="AO50"/>
  <c r="AZ50"/>
  <c r="AT52"/>
  <c r="AQ75"/>
  <c r="AZ79"/>
  <c r="AG82"/>
  <c r="AX82"/>
  <c r="AI83"/>
  <c r="AI84"/>
  <c r="AV84"/>
  <c r="AO73"/>
  <c r="AL71"/>
  <c r="AY70"/>
  <c r="AU70"/>
  <c r="AH70"/>
  <c r="AM69"/>
  <c r="AJ68"/>
  <c r="AX67"/>
  <c r="AU65"/>
  <c r="AV63"/>
  <c r="AN63"/>
  <c r="AY62"/>
  <c r="AQ61"/>
  <c r="AF61"/>
  <c r="AY60"/>
  <c r="AY56"/>
  <c r="AL55"/>
  <c r="BA36"/>
  <c r="C17"/>
  <c r="D20"/>
  <c r="C23"/>
  <c r="C64"/>
  <c r="C44"/>
  <c r="C48"/>
  <c r="C67"/>
  <c r="C72"/>
  <c r="CQ81" i="1"/>
  <c r="D33" i="57"/>
  <c r="FF62" i="1"/>
  <c r="FI73"/>
  <c r="FL84"/>
  <c r="DF34"/>
  <c r="BH83" i="57"/>
  <c r="BR77"/>
  <c r="BT58"/>
  <c r="BG53"/>
  <c r="BL50"/>
  <c r="FD44" i="1" s="1"/>
  <c r="D50" i="57"/>
  <c r="D46"/>
  <c r="D42"/>
  <c r="C34"/>
  <c r="D30"/>
  <c r="D26"/>
  <c r="C22"/>
  <c r="C18"/>
  <c r="AZ85"/>
  <c r="BX85"/>
  <c r="AX83"/>
  <c r="BV83"/>
  <c r="BT81"/>
  <c r="AV81"/>
  <c r="BK80"/>
  <c r="AM80"/>
  <c r="BY78"/>
  <c r="BA78"/>
  <c r="BI57"/>
  <c r="AK57"/>
  <c r="AJ56"/>
  <c r="BH56"/>
  <c r="BU53"/>
  <c r="AW53"/>
  <c r="BL52"/>
  <c r="CZ45" i="1" s="1"/>
  <c r="AN52" i="57"/>
  <c r="AT35"/>
  <c r="BR35"/>
  <c r="DF33" i="1" s="1"/>
  <c r="AK28" i="57"/>
  <c r="BI28"/>
  <c r="CW27" i="1" s="1"/>
  <c r="BC48" i="57"/>
  <c r="EU42" i="1" s="1"/>
  <c r="AE48" i="57"/>
  <c r="AU48"/>
  <c r="BS48"/>
  <c r="FK42" i="1" s="1"/>
  <c r="BL49" i="57"/>
  <c r="CZ43" i="1" s="1"/>
  <c r="AN49" i="57"/>
  <c r="BJ73"/>
  <c r="AL73"/>
  <c r="D38"/>
  <c r="C38"/>
  <c r="DJ13" i="1"/>
  <c r="DE16"/>
  <c r="FA24"/>
  <c r="CX31"/>
  <c r="CW33"/>
  <c r="DF36"/>
  <c r="DA37"/>
  <c r="CV40"/>
  <c r="CS42"/>
  <c r="DD43"/>
  <c r="DM45"/>
  <c r="CY47"/>
  <c r="FK48"/>
  <c r="CU51"/>
  <c r="CX52"/>
  <c r="EZ52"/>
  <c r="CV53"/>
  <c r="DL53"/>
  <c r="EY53"/>
  <c r="EW54"/>
  <c r="CR55"/>
  <c r="DM55"/>
  <c r="EX56"/>
  <c r="DC57"/>
  <c r="EV57"/>
  <c r="FQ57"/>
  <c r="DF58"/>
  <c r="EV58"/>
  <c r="FQ58"/>
  <c r="DK59"/>
  <c r="DG60"/>
  <c r="FA60"/>
  <c r="FQ60"/>
  <c r="DF61"/>
  <c r="CY62"/>
  <c r="CR63"/>
  <c r="DH63"/>
  <c r="DA64"/>
  <c r="CT65"/>
  <c r="DJ65"/>
  <c r="DC66"/>
  <c r="CV67"/>
  <c r="DL67"/>
  <c r="DE68"/>
  <c r="CX69"/>
  <c r="CQ70"/>
  <c r="DG70"/>
  <c r="CZ71"/>
  <c r="CS72"/>
  <c r="DI72"/>
  <c r="DB73"/>
  <c r="CU74"/>
  <c r="DK74"/>
  <c r="DD75"/>
  <c r="CW11"/>
  <c r="DM11"/>
  <c r="FJ12"/>
  <c r="FF13"/>
  <c r="EY14"/>
  <c r="FO14"/>
  <c r="FH15"/>
  <c r="FA16"/>
  <c r="FQ16"/>
  <c r="FJ17"/>
  <c r="FC18"/>
  <c r="FJ19"/>
  <c r="FI20"/>
  <c r="EV21"/>
  <c r="FG21"/>
  <c r="EU22"/>
  <c r="FE22"/>
  <c r="FP22"/>
  <c r="FD23"/>
  <c r="FN23"/>
  <c r="FB25"/>
  <c r="EZ26"/>
  <c r="EY27"/>
  <c r="FH29"/>
  <c r="EU30"/>
  <c r="FF30"/>
  <c r="FD31"/>
  <c r="FO31"/>
  <c r="FC33"/>
  <c r="FM33"/>
  <c r="FA36"/>
  <c r="FL36"/>
  <c r="FQ36"/>
  <c r="EY38"/>
  <c r="FE38"/>
  <c r="FO38"/>
  <c r="EX39"/>
  <c r="FC39"/>
  <c r="FN39"/>
  <c r="FA40"/>
  <c r="FG40"/>
  <c r="DA12"/>
  <c r="CV15"/>
  <c r="CQ18"/>
  <c r="DI20"/>
  <c r="DF25"/>
  <c r="DH28"/>
  <c r="CY30"/>
  <c r="FC32"/>
  <c r="FC34"/>
  <c r="CQ35"/>
  <c r="DG35"/>
  <c r="FL35"/>
  <c r="FE37"/>
  <c r="CX39"/>
  <c r="CT41"/>
  <c r="FD43"/>
  <c r="CW45"/>
  <c r="DF46"/>
  <c r="EU48"/>
  <c r="CZ49"/>
  <c r="FF50"/>
  <c r="DK51"/>
  <c r="DF52"/>
  <c r="FK52"/>
  <c r="CR53"/>
  <c r="DC53"/>
  <c r="DH53"/>
  <c r="FI53"/>
  <c r="FH54"/>
  <c r="DB55"/>
  <c r="DJ56"/>
  <c r="FI56"/>
  <c r="CT57"/>
  <c r="CY57"/>
  <c r="DJ57"/>
  <c r="FF57"/>
  <c r="FF58"/>
  <c r="DA59"/>
  <c r="CY60"/>
  <c r="FI60"/>
  <c r="CX61"/>
  <c r="CQ62"/>
  <c r="DG62"/>
  <c r="CZ63"/>
  <c r="CS64"/>
  <c r="DI64"/>
  <c r="DB65"/>
  <c r="CU66"/>
  <c r="DK66"/>
  <c r="DD67"/>
  <c r="CW68"/>
  <c r="DM68"/>
  <c r="DF69"/>
  <c r="CY70"/>
  <c r="CR71"/>
  <c r="DH71"/>
  <c r="DA72"/>
  <c r="CT73"/>
  <c r="DJ73"/>
  <c r="DC74"/>
  <c r="CV75"/>
  <c r="DL75"/>
  <c r="DE11"/>
  <c r="FB12"/>
  <c r="EX13"/>
  <c r="FN13"/>
  <c r="FG14"/>
  <c r="EZ15"/>
  <c r="FP15"/>
  <c r="FI16"/>
  <c r="FB17"/>
  <c r="EU18"/>
  <c r="FK18"/>
  <c r="FP19"/>
  <c r="FN20"/>
  <c r="FB21"/>
  <c r="FL21"/>
  <c r="EZ22"/>
  <c r="EX23"/>
  <c r="FG25"/>
  <c r="EU26"/>
  <c r="FP26"/>
  <c r="FO27"/>
  <c r="FB29"/>
  <c r="FA30"/>
  <c r="FK30"/>
  <c r="EY31"/>
  <c r="FJ31"/>
  <c r="EW33"/>
  <c r="FH33"/>
  <c r="EV36"/>
  <c r="FF36"/>
  <c r="FN36"/>
  <c r="EW38"/>
  <c r="FG38"/>
  <c r="FM38"/>
  <c r="EU39"/>
  <c r="EZ39"/>
  <c r="FF39"/>
  <c r="FK39"/>
  <c r="EY40"/>
  <c r="FD40"/>
  <c r="FI40"/>
  <c r="FO40"/>
  <c r="EW41"/>
  <c r="FB41"/>
  <c r="FM41"/>
  <c r="FA42"/>
  <c r="FQ42"/>
  <c r="EY11"/>
  <c r="FD11"/>
  <c r="FO11"/>
  <c r="CW16"/>
  <c r="DJ21"/>
  <c r="DC31"/>
  <c r="CR33"/>
  <c r="CQ40"/>
  <c r="FK44"/>
  <c r="DB46"/>
  <c r="DD49"/>
  <c r="CY51"/>
  <c r="FH52"/>
  <c r="EZ54"/>
  <c r="EV56"/>
  <c r="CY58"/>
  <c r="FI58"/>
  <c r="DE60"/>
  <c r="FG60"/>
  <c r="DL61"/>
  <c r="CX63"/>
  <c r="DG64"/>
  <c r="CS66"/>
  <c r="DB67"/>
  <c r="DK68"/>
  <c r="CW70"/>
  <c r="DF71"/>
  <c r="CR73"/>
  <c r="DA74"/>
  <c r="DJ75"/>
  <c r="EZ12"/>
  <c r="FL13"/>
  <c r="EX15"/>
  <c r="FG16"/>
  <c r="FP17"/>
  <c r="FB19"/>
  <c r="FB20"/>
  <c r="EZ21"/>
  <c r="EU25"/>
  <c r="FM27"/>
  <c r="FL29"/>
  <c r="FJ30"/>
  <c r="FH31"/>
  <c r="FG33"/>
  <c r="FE36"/>
  <c r="FQ38"/>
  <c r="FD39"/>
  <c r="FO39"/>
  <c r="FC40"/>
  <c r="FL40"/>
  <c r="FJ41"/>
  <c r="FB42"/>
  <c r="FI42"/>
  <c r="FO42"/>
  <c r="EZ11"/>
  <c r="FG11"/>
  <c r="FN11"/>
  <c r="FP85"/>
  <c r="FL85"/>
  <c r="FH85"/>
  <c r="FD85"/>
  <c r="EZ85"/>
  <c r="EV85"/>
  <c r="FO84"/>
  <c r="FK84"/>
  <c r="FG84"/>
  <c r="FC84"/>
  <c r="EY84"/>
  <c r="EU84"/>
  <c r="FN83"/>
  <c r="FJ83"/>
  <c r="FF83"/>
  <c r="FB83"/>
  <c r="EX83"/>
  <c r="FQ82"/>
  <c r="FM82"/>
  <c r="FI82"/>
  <c r="FE82"/>
  <c r="FA82"/>
  <c r="EW82"/>
  <c r="FP81"/>
  <c r="FL81"/>
  <c r="FH81"/>
  <c r="FD81"/>
  <c r="EZ81"/>
  <c r="EV81"/>
  <c r="FO80"/>
  <c r="FK80"/>
  <c r="FG80"/>
  <c r="FC80"/>
  <c r="EY80"/>
  <c r="EU80"/>
  <c r="FN79"/>
  <c r="FJ79"/>
  <c r="FF79"/>
  <c r="FB79"/>
  <c r="EX79"/>
  <c r="FQ78"/>
  <c r="FM78"/>
  <c r="FI78"/>
  <c r="FE78"/>
  <c r="FA78"/>
  <c r="EW78"/>
  <c r="FP77"/>
  <c r="FL77"/>
  <c r="FH77"/>
  <c r="FD77"/>
  <c r="EZ77"/>
  <c r="EV77"/>
  <c r="FO76"/>
  <c r="FK76"/>
  <c r="FG76"/>
  <c r="FC76"/>
  <c r="EY76"/>
  <c r="EU76"/>
  <c r="FN75"/>
  <c r="FJ75"/>
  <c r="FF75"/>
  <c r="FB75"/>
  <c r="EX75"/>
  <c r="FQ74"/>
  <c r="FM74"/>
  <c r="FI74"/>
  <c r="FE74"/>
  <c r="FA74"/>
  <c r="EW74"/>
  <c r="FP73"/>
  <c r="FL73"/>
  <c r="FH73"/>
  <c r="FD73"/>
  <c r="EZ73"/>
  <c r="EV73"/>
  <c r="FO72"/>
  <c r="FK72"/>
  <c r="FG72"/>
  <c r="FC72"/>
  <c r="EY72"/>
  <c r="EU72"/>
  <c r="FN71"/>
  <c r="FJ71"/>
  <c r="FF71"/>
  <c r="FB71"/>
  <c r="EX71"/>
  <c r="FQ70"/>
  <c r="FM70"/>
  <c r="FI70"/>
  <c r="FE70"/>
  <c r="FA70"/>
  <c r="EW70"/>
  <c r="FP69"/>
  <c r="FL69"/>
  <c r="FH69"/>
  <c r="FD69"/>
  <c r="EZ69"/>
  <c r="EV69"/>
  <c r="FO68"/>
  <c r="FK68"/>
  <c r="FG68"/>
  <c r="FC68"/>
  <c r="EY68"/>
  <c r="EU68"/>
  <c r="FN67"/>
  <c r="FJ67"/>
  <c r="FF67"/>
  <c r="FB67"/>
  <c r="EX67"/>
  <c r="FQ66"/>
  <c r="FM66"/>
  <c r="FI66"/>
  <c r="FE66"/>
  <c r="FA66"/>
  <c r="EW66"/>
  <c r="FP65"/>
  <c r="FL65"/>
  <c r="FH65"/>
  <c r="FD65"/>
  <c r="EZ65"/>
  <c r="EV65"/>
  <c r="FO64"/>
  <c r="FK64"/>
  <c r="FG64"/>
  <c r="FC64"/>
  <c r="EY64"/>
  <c r="EU64"/>
  <c r="FN63"/>
  <c r="FJ63"/>
  <c r="FF63"/>
  <c r="FB63"/>
  <c r="EX63"/>
  <c r="FQ62"/>
  <c r="FM62"/>
  <c r="FI62"/>
  <c r="FE62"/>
  <c r="FA62"/>
  <c r="EW62"/>
  <c r="FP61"/>
  <c r="FL61"/>
  <c r="FH61"/>
  <c r="FD61"/>
  <c r="EZ61"/>
  <c r="EV61"/>
  <c r="FO59"/>
  <c r="FK59"/>
  <c r="DB13"/>
  <c r="DF29"/>
  <c r="FH34"/>
  <c r="DJ41"/>
  <c r="FP43"/>
  <c r="CS45"/>
  <c r="DK47"/>
  <c r="EY48"/>
  <c r="CQ50"/>
  <c r="CS50"/>
  <c r="CU50"/>
  <c r="CW50"/>
  <c r="CY50"/>
  <c r="DA50"/>
  <c r="DC50"/>
  <c r="DE50"/>
  <c r="DG50"/>
  <c r="DI50"/>
  <c r="DK50"/>
  <c r="DM50"/>
  <c r="FG53"/>
  <c r="CT55"/>
  <c r="CT56"/>
  <c r="FQ56"/>
  <c r="FI57"/>
  <c r="DC58"/>
  <c r="DC59"/>
  <c r="CV61"/>
  <c r="DE62"/>
  <c r="CQ64"/>
  <c r="CZ65"/>
  <c r="DI66"/>
  <c r="CU68"/>
  <c r="DD69"/>
  <c r="DM70"/>
  <c r="CY72"/>
  <c r="DH73"/>
  <c r="CT75"/>
  <c r="DC11"/>
  <c r="FP12"/>
  <c r="EV13"/>
  <c r="FE14"/>
  <c r="FN15"/>
  <c r="EZ17"/>
  <c r="FI18"/>
  <c r="FN19"/>
  <c r="FM20"/>
  <c r="FK21"/>
  <c r="FI22"/>
  <c r="FF25"/>
  <c r="FD26"/>
  <c r="FC27"/>
  <c r="EX31"/>
  <c r="EV33"/>
  <c r="FM36"/>
  <c r="FK38"/>
  <c r="EY39"/>
  <c r="FJ39"/>
  <c r="EW40"/>
  <c r="FH40"/>
  <c r="FP40"/>
  <c r="FN41"/>
  <c r="EX42"/>
  <c r="FM42"/>
  <c r="EV11"/>
  <c r="FC11"/>
  <c r="FK11"/>
  <c r="FN85"/>
  <c r="FJ85"/>
  <c r="FF85"/>
  <c r="FB85"/>
  <c r="EX85"/>
  <c r="FQ84"/>
  <c r="FM84"/>
  <c r="FI84"/>
  <c r="FE84"/>
  <c r="FA84"/>
  <c r="EW84"/>
  <c r="FP83"/>
  <c r="FL83"/>
  <c r="FH83"/>
  <c r="FD83"/>
  <c r="EZ83"/>
  <c r="EV83"/>
  <c r="FO82"/>
  <c r="FK82"/>
  <c r="FG82"/>
  <c r="FC82"/>
  <c r="EY82"/>
  <c r="EU82"/>
  <c r="FN81"/>
  <c r="FJ81"/>
  <c r="FF81"/>
  <c r="FB81"/>
  <c r="EX81"/>
  <c r="FQ80"/>
  <c r="FM80"/>
  <c r="FI80"/>
  <c r="FE80"/>
  <c r="FA80"/>
  <c r="EW80"/>
  <c r="FP79"/>
  <c r="FL79"/>
  <c r="FH79"/>
  <c r="FD79"/>
  <c r="EZ79"/>
  <c r="EV79"/>
  <c r="FO78"/>
  <c r="FK78"/>
  <c r="FG78"/>
  <c r="FC78"/>
  <c r="EY78"/>
  <c r="EU78"/>
  <c r="FN77"/>
  <c r="FJ77"/>
  <c r="FF77"/>
  <c r="FB77"/>
  <c r="EX77"/>
  <c r="FQ76"/>
  <c r="FM76"/>
  <c r="FI76"/>
  <c r="FE76"/>
  <c r="FA76"/>
  <c r="EW76"/>
  <c r="FP75"/>
  <c r="FL75"/>
  <c r="FH75"/>
  <c r="FD75"/>
  <c r="EZ75"/>
  <c r="EV75"/>
  <c r="FO74"/>
  <c r="FK74"/>
  <c r="FG74"/>
  <c r="FC74"/>
  <c r="EY74"/>
  <c r="EU74"/>
  <c r="FN73"/>
  <c r="FJ73"/>
  <c r="FF73"/>
  <c r="FB73"/>
  <c r="EX73"/>
  <c r="FQ72"/>
  <c r="FM72"/>
  <c r="FI72"/>
  <c r="FE72"/>
  <c r="FA72"/>
  <c r="EW72"/>
  <c r="FP71"/>
  <c r="FL71"/>
  <c r="FH71"/>
  <c r="FD71"/>
  <c r="EZ71"/>
  <c r="EV71"/>
  <c r="FO70"/>
  <c r="FK70"/>
  <c r="FG70"/>
  <c r="FC70"/>
  <c r="EY70"/>
  <c r="EU70"/>
  <c r="FN69"/>
  <c r="FJ69"/>
  <c r="FF69"/>
  <c r="FB69"/>
  <c r="EX69"/>
  <c r="FQ68"/>
  <c r="FM68"/>
  <c r="FI68"/>
  <c r="FE68"/>
  <c r="FA68"/>
  <c r="EW68"/>
  <c r="FP67"/>
  <c r="FL67"/>
  <c r="FH67"/>
  <c r="FD67"/>
  <c r="EZ67"/>
  <c r="EV67"/>
  <c r="FO66"/>
  <c r="FK66"/>
  <c r="FG66"/>
  <c r="FC66"/>
  <c r="EY66"/>
  <c r="EU66"/>
  <c r="FN65"/>
  <c r="FJ65"/>
  <c r="FF65"/>
  <c r="FB65"/>
  <c r="EX65"/>
  <c r="FQ64"/>
  <c r="FM64"/>
  <c r="FI64"/>
  <c r="FE64"/>
  <c r="FA64"/>
  <c r="EW64"/>
  <c r="FP63"/>
  <c r="FL63"/>
  <c r="FH63"/>
  <c r="FD63"/>
  <c r="EZ63"/>
  <c r="EV63"/>
  <c r="FO62"/>
  <c r="FK62"/>
  <c r="FG62"/>
  <c r="FC62"/>
  <c r="EY62"/>
  <c r="EU62"/>
  <c r="FN61"/>
  <c r="FJ61"/>
  <c r="FF61"/>
  <c r="FB61"/>
  <c r="EX61"/>
  <c r="FQ59"/>
  <c r="FM59"/>
  <c r="FI59"/>
  <c r="FE59"/>
  <c r="FA59"/>
  <c r="EW59"/>
  <c r="FP55"/>
  <c r="FL55"/>
  <c r="FH55"/>
  <c r="FD55"/>
  <c r="EZ55"/>
  <c r="EV55"/>
  <c r="FO51"/>
  <c r="FK51"/>
  <c r="FG51"/>
  <c r="FC51"/>
  <c r="EY51"/>
  <c r="EU51"/>
  <c r="FN49"/>
  <c r="FJ49"/>
  <c r="FF49"/>
  <c r="FB49"/>
  <c r="EX49"/>
  <c r="FQ47"/>
  <c r="FM47"/>
  <c r="FI47"/>
  <c r="FE47"/>
  <c r="FA47"/>
  <c r="EW47"/>
  <c r="FP46"/>
  <c r="FL46"/>
  <c r="FH46"/>
  <c r="FD46"/>
  <c r="EZ46"/>
  <c r="EV46"/>
  <c r="DA20"/>
  <c r="FL28"/>
  <c r="EX32"/>
  <c r="EV35"/>
  <c r="CR39"/>
  <c r="EZ43"/>
  <c r="CU47"/>
  <c r="FO48"/>
  <c r="FQ53"/>
  <c r="DF54"/>
  <c r="CT58"/>
  <c r="DJ58"/>
  <c r="EX58"/>
  <c r="CW62"/>
  <c r="CR65"/>
  <c r="DJ67"/>
  <c r="DE70"/>
  <c r="CZ73"/>
  <c r="CU11"/>
  <c r="FM14"/>
  <c r="EW20"/>
  <c r="FP21"/>
  <c r="FJ26"/>
  <c r="FF29"/>
  <c r="FC31"/>
  <c r="EZ36"/>
  <c r="FB39"/>
  <c r="EZ40"/>
  <c r="FQ40"/>
  <c r="FI41"/>
  <c r="FN42"/>
  <c r="FF11"/>
  <c r="FO85"/>
  <c r="FG85"/>
  <c r="EY85"/>
  <c r="FN84"/>
  <c r="FF84"/>
  <c r="EX84"/>
  <c r="FM83"/>
  <c r="FE83"/>
  <c r="EW83"/>
  <c r="FL82"/>
  <c r="FD82"/>
  <c r="EV82"/>
  <c r="FK81"/>
  <c r="FC81"/>
  <c r="EU81"/>
  <c r="FJ80"/>
  <c r="FB80"/>
  <c r="FQ79"/>
  <c r="FI79"/>
  <c r="FA79"/>
  <c r="FP78"/>
  <c r="FH78"/>
  <c r="EZ78"/>
  <c r="FO77"/>
  <c r="FG77"/>
  <c r="EY77"/>
  <c r="FN76"/>
  <c r="FF76"/>
  <c r="EX76"/>
  <c r="FM75"/>
  <c r="FE75"/>
  <c r="EW75"/>
  <c r="FL74"/>
  <c r="FD74"/>
  <c r="EV74"/>
  <c r="FK73"/>
  <c r="FC73"/>
  <c r="EU73"/>
  <c r="FJ72"/>
  <c r="FB72"/>
  <c r="FQ71"/>
  <c r="FI71"/>
  <c r="FA71"/>
  <c r="FP70"/>
  <c r="FH70"/>
  <c r="EZ70"/>
  <c r="FO69"/>
  <c r="FG69"/>
  <c r="EY69"/>
  <c r="FN68"/>
  <c r="FF68"/>
  <c r="EX68"/>
  <c r="FM67"/>
  <c r="FE67"/>
  <c r="EW67"/>
  <c r="FL66"/>
  <c r="FD66"/>
  <c r="EV66"/>
  <c r="FK65"/>
  <c r="FC65"/>
  <c r="EU65"/>
  <c r="FJ64"/>
  <c r="FB64"/>
  <c r="FQ63"/>
  <c r="FI63"/>
  <c r="FA63"/>
  <c r="FP62"/>
  <c r="FH62"/>
  <c r="EZ62"/>
  <c r="FO61"/>
  <c r="FG61"/>
  <c r="EY61"/>
  <c r="FN59"/>
  <c r="FG59"/>
  <c r="FB59"/>
  <c r="EV59"/>
  <c r="FN55"/>
  <c r="FI55"/>
  <c r="FC55"/>
  <c r="EX55"/>
  <c r="FP51"/>
  <c r="FJ51"/>
  <c r="FE51"/>
  <c r="EZ51"/>
  <c r="FQ49"/>
  <c r="FL49"/>
  <c r="FG49"/>
  <c r="FA49"/>
  <c r="EV49"/>
  <c r="FN47"/>
  <c r="FH47"/>
  <c r="FC47"/>
  <c r="EX47"/>
  <c r="FO46"/>
  <c r="FJ46"/>
  <c r="FE46"/>
  <c r="EY46"/>
  <c r="FQ45"/>
  <c r="FL45"/>
  <c r="FH45"/>
  <c r="FD45"/>
  <c r="EZ45"/>
  <c r="CS76"/>
  <c r="CW76"/>
  <c r="DA76"/>
  <c r="DE76"/>
  <c r="DI76"/>
  <c r="DM76"/>
  <c r="CT77"/>
  <c r="CX77"/>
  <c r="DB77"/>
  <c r="DF77"/>
  <c r="DJ77"/>
  <c r="CQ78"/>
  <c r="CU78"/>
  <c r="CY78"/>
  <c r="DC78"/>
  <c r="DG78"/>
  <c r="DK78"/>
  <c r="CR79"/>
  <c r="CV79"/>
  <c r="CZ79"/>
  <c r="DD79"/>
  <c r="DH79"/>
  <c r="DL79"/>
  <c r="CS80"/>
  <c r="CW80"/>
  <c r="DA80"/>
  <c r="DE80"/>
  <c r="DI80"/>
  <c r="DM80"/>
  <c r="CT81"/>
  <c r="CX81"/>
  <c r="DB81"/>
  <c r="DF81"/>
  <c r="DJ81"/>
  <c r="CQ82"/>
  <c r="CU82"/>
  <c r="CY82"/>
  <c r="DC82"/>
  <c r="DG82"/>
  <c r="DK82"/>
  <c r="CR83"/>
  <c r="CV83"/>
  <c r="CZ83"/>
  <c r="DD83"/>
  <c r="DH83"/>
  <c r="DL83"/>
  <c r="CS84"/>
  <c r="CW84"/>
  <c r="DA84"/>
  <c r="DE84"/>
  <c r="DI84"/>
  <c r="DM84"/>
  <c r="CT85"/>
  <c r="CX85"/>
  <c r="DB85"/>
  <c r="DF85"/>
  <c r="DJ85"/>
  <c r="BQ59"/>
  <c r="BQ58"/>
  <c r="BQ56"/>
  <c r="BP54"/>
  <c r="BP52"/>
  <c r="BP51"/>
  <c r="BP47"/>
  <c r="C14" i="57"/>
  <c r="DI42" i="1"/>
  <c r="EW52"/>
  <c r="CX54"/>
  <c r="DE55"/>
  <c r="FF56"/>
  <c r="FO60"/>
  <c r="DF63"/>
  <c r="CV69"/>
  <c r="DI74"/>
  <c r="FH12"/>
  <c r="EY16"/>
  <c r="EU21"/>
  <c r="FA33"/>
  <c r="FL39"/>
  <c r="FA41"/>
  <c r="FG42"/>
  <c r="FL11"/>
  <c r="FK85"/>
  <c r="EU85"/>
  <c r="FB84"/>
  <c r="FI83"/>
  <c r="FP82"/>
  <c r="EZ82"/>
  <c r="FG81"/>
  <c r="FN80"/>
  <c r="EX80"/>
  <c r="FE79"/>
  <c r="FL78"/>
  <c r="EV78"/>
  <c r="FC77"/>
  <c r="FJ76"/>
  <c r="FQ75"/>
  <c r="FA75"/>
  <c r="FH74"/>
  <c r="FO73"/>
  <c r="EY73"/>
  <c r="FF72"/>
  <c r="FM71"/>
  <c r="EW71"/>
  <c r="FD70"/>
  <c r="FK69"/>
  <c r="EU69"/>
  <c r="FB68"/>
  <c r="FI67"/>
  <c r="FP66"/>
  <c r="EZ66"/>
  <c r="FO65"/>
  <c r="EY65"/>
  <c r="FF64"/>
  <c r="FM63"/>
  <c r="EW63"/>
  <c r="FD62"/>
  <c r="FK61"/>
  <c r="EU61"/>
  <c r="FD59"/>
  <c r="FQ55"/>
  <c r="FF55"/>
  <c r="EU55"/>
  <c r="FH51"/>
  <c r="EW51"/>
  <c r="FI49"/>
  <c r="EY49"/>
  <c r="FK47"/>
  <c r="EZ47"/>
  <c r="FM46"/>
  <c r="FB46"/>
  <c r="FF45"/>
  <c r="CQ76"/>
  <c r="CY76"/>
  <c r="DC76"/>
  <c r="DK76"/>
  <c r="CV77"/>
  <c r="DD77"/>
  <c r="DL77"/>
  <c r="CW78"/>
  <c r="DE78"/>
  <c r="DM78"/>
  <c r="CX79"/>
  <c r="DF79"/>
  <c r="CQ80"/>
  <c r="CY80"/>
  <c r="DG80"/>
  <c r="CR81"/>
  <c r="CZ81"/>
  <c r="DH81"/>
  <c r="CS82"/>
  <c r="DA82"/>
  <c r="DI82"/>
  <c r="CT83"/>
  <c r="DB83"/>
  <c r="DJ83"/>
  <c r="CU84"/>
  <c r="DC84"/>
  <c r="DK84"/>
  <c r="CV85"/>
  <c r="DD85"/>
  <c r="DL85"/>
  <c r="BP74"/>
  <c r="BP72"/>
  <c r="BP70"/>
  <c r="BP68"/>
  <c r="BP66"/>
  <c r="BP64"/>
  <c r="BP62"/>
  <c r="BP59"/>
  <c r="DF17"/>
  <c r="CX25"/>
  <c r="CX34"/>
  <c r="EZ37"/>
  <c r="DI45"/>
  <c r="FJ50"/>
  <c r="CY53"/>
  <c r="EV53"/>
  <c r="CY56"/>
  <c r="DF56"/>
  <c r="DM60"/>
  <c r="DD61"/>
  <c r="CY64"/>
  <c r="CT67"/>
  <c r="DL69"/>
  <c r="DG72"/>
  <c r="DB75"/>
  <c r="EW14"/>
  <c r="FO16"/>
  <c r="FI19"/>
  <c r="FF21"/>
  <c r="FB23"/>
  <c r="EV29"/>
  <c r="FL33"/>
  <c r="EV39"/>
  <c r="EU40"/>
  <c r="FM40"/>
  <c r="FE41"/>
  <c r="EW42"/>
  <c r="FJ42"/>
  <c r="FB11"/>
  <c r="FP11"/>
  <c r="FQ85"/>
  <c r="FI85"/>
  <c r="FA85"/>
  <c r="FP84"/>
  <c r="FH84"/>
  <c r="EZ84"/>
  <c r="FO83"/>
  <c r="FG83"/>
  <c r="EY83"/>
  <c r="FN82"/>
  <c r="FF82"/>
  <c r="EX82"/>
  <c r="FM81"/>
  <c r="FE81"/>
  <c r="EW81"/>
  <c r="FL80"/>
  <c r="FD80"/>
  <c r="EV80"/>
  <c r="FK79"/>
  <c r="FC79"/>
  <c r="EU79"/>
  <c r="FJ78"/>
  <c r="FB78"/>
  <c r="FQ77"/>
  <c r="FI77"/>
  <c r="FA77"/>
  <c r="FP76"/>
  <c r="FH76"/>
  <c r="EZ76"/>
  <c r="FO75"/>
  <c r="FG75"/>
  <c r="EY75"/>
  <c r="FN74"/>
  <c r="FF74"/>
  <c r="EX74"/>
  <c r="FM73"/>
  <c r="FE73"/>
  <c r="EW73"/>
  <c r="FL72"/>
  <c r="FD72"/>
  <c r="EV72"/>
  <c r="FK71"/>
  <c r="FC71"/>
  <c r="EU71"/>
  <c r="FJ70"/>
  <c r="FB70"/>
  <c r="FQ69"/>
  <c r="FI69"/>
  <c r="FA69"/>
  <c r="FP68"/>
  <c r="FH68"/>
  <c r="EZ68"/>
  <c r="FO67"/>
  <c r="FG67"/>
  <c r="EY67"/>
  <c r="FN66"/>
  <c r="FF66"/>
  <c r="EX66"/>
  <c r="FM65"/>
  <c r="FE65"/>
  <c r="EW65"/>
  <c r="FL64"/>
  <c r="FD64"/>
  <c r="EV64"/>
  <c r="FK63"/>
  <c r="FC63"/>
  <c r="EU63"/>
  <c r="FJ62"/>
  <c r="FB62"/>
  <c r="FQ61"/>
  <c r="FI61"/>
  <c r="FA61"/>
  <c r="FP59"/>
  <c r="FH59"/>
  <c r="FC59"/>
  <c r="EX59"/>
  <c r="FO55"/>
  <c r="FJ55"/>
  <c r="FE55"/>
  <c r="EY55"/>
  <c r="FQ51"/>
  <c r="FL51"/>
  <c r="FF51"/>
  <c r="FA51"/>
  <c r="EV51"/>
  <c r="FM49"/>
  <c r="FH49"/>
  <c r="FC49"/>
  <c r="EW49"/>
  <c r="FO47"/>
  <c r="FJ47"/>
  <c r="FD47"/>
  <c r="EY47"/>
  <c r="FQ46"/>
  <c r="FK46"/>
  <c r="FF46"/>
  <c r="FA46"/>
  <c r="EU46"/>
  <c r="FM45"/>
  <c r="FI45"/>
  <c r="FE45"/>
  <c r="FA45"/>
  <c r="EW45"/>
  <c r="CR76"/>
  <c r="CV76"/>
  <c r="CZ76"/>
  <c r="DD76"/>
  <c r="DH76"/>
  <c r="DL76"/>
  <c r="CS77"/>
  <c r="CW77"/>
  <c r="DA77"/>
  <c r="DE77"/>
  <c r="DI77"/>
  <c r="DM77"/>
  <c r="CT78"/>
  <c r="CX78"/>
  <c r="DB78"/>
  <c r="DF78"/>
  <c r="DJ78"/>
  <c r="CQ79"/>
  <c r="CU79"/>
  <c r="CY79"/>
  <c r="DC79"/>
  <c r="DG79"/>
  <c r="DK79"/>
  <c r="CR80"/>
  <c r="CV80"/>
  <c r="CZ80"/>
  <c r="DD80"/>
  <c r="DH80"/>
  <c r="DL80"/>
  <c r="CS81"/>
  <c r="CW81"/>
  <c r="DA81"/>
  <c r="DE81"/>
  <c r="DI81"/>
  <c r="DM81"/>
  <c r="CT82"/>
  <c r="CX82"/>
  <c r="DB82"/>
  <c r="DF82"/>
  <c r="DJ82"/>
  <c r="CQ83"/>
  <c r="CU83"/>
  <c r="CY83"/>
  <c r="DC83"/>
  <c r="DG83"/>
  <c r="DK83"/>
  <c r="CR84"/>
  <c r="CV84"/>
  <c r="CZ84"/>
  <c r="DD84"/>
  <c r="DH84"/>
  <c r="DL84"/>
  <c r="CS85"/>
  <c r="CW85"/>
  <c r="DA85"/>
  <c r="DE85"/>
  <c r="DI85"/>
  <c r="DM85"/>
  <c r="BQ60"/>
  <c r="BP58"/>
  <c r="BP56"/>
  <c r="BP55"/>
  <c r="BQ53"/>
  <c r="BQ49"/>
  <c r="BQ48"/>
  <c r="BP46"/>
  <c r="DK14"/>
  <c r="CZ28"/>
  <c r="CV43"/>
  <c r="CW60"/>
  <c r="DA66"/>
  <c r="CQ72"/>
  <c r="FQ18"/>
  <c r="FK25"/>
  <c r="FE30"/>
  <c r="FP36"/>
  <c r="FK40"/>
  <c r="EX11"/>
  <c r="FC85"/>
  <c r="FJ84"/>
  <c r="FQ83"/>
  <c r="FA83"/>
  <c r="FH82"/>
  <c r="FO81"/>
  <c r="EY81"/>
  <c r="FF80"/>
  <c r="FM79"/>
  <c r="EW79"/>
  <c r="FD78"/>
  <c r="FK77"/>
  <c r="EU77"/>
  <c r="FB76"/>
  <c r="FI75"/>
  <c r="FP74"/>
  <c r="EZ74"/>
  <c r="FG73"/>
  <c r="FN72"/>
  <c r="EX72"/>
  <c r="FE71"/>
  <c r="FL70"/>
  <c r="EV70"/>
  <c r="FC69"/>
  <c r="FJ68"/>
  <c r="FQ67"/>
  <c r="FA67"/>
  <c r="FH66"/>
  <c r="FG65"/>
  <c r="FN64"/>
  <c r="EX64"/>
  <c r="FE63"/>
  <c r="FL62"/>
  <c r="EV62"/>
  <c r="FC61"/>
  <c r="FJ59"/>
  <c r="EY59"/>
  <c r="FK55"/>
  <c r="FA55"/>
  <c r="FM51"/>
  <c r="FB51"/>
  <c r="FO49"/>
  <c r="FD49"/>
  <c r="FP47"/>
  <c r="FF47"/>
  <c r="EU47"/>
  <c r="FG46"/>
  <c r="EW46"/>
  <c r="FJ45"/>
  <c r="FB45"/>
  <c r="CU76"/>
  <c r="DG76"/>
  <c r="CR77"/>
  <c r="CZ77"/>
  <c r="DH77"/>
  <c r="CS78"/>
  <c r="DA78"/>
  <c r="DI78"/>
  <c r="CT79"/>
  <c r="DB79"/>
  <c r="DJ79"/>
  <c r="CU80"/>
  <c r="DC80"/>
  <c r="DK80"/>
  <c r="CV81"/>
  <c r="DD81"/>
  <c r="DL81"/>
  <c r="CW82"/>
  <c r="DE82"/>
  <c r="DM82"/>
  <c r="CX83"/>
  <c r="DF83"/>
  <c r="CQ84"/>
  <c r="CY84"/>
  <c r="DG84"/>
  <c r="CR85"/>
  <c r="CZ85"/>
  <c r="DH85"/>
  <c r="BP75"/>
  <c r="BP73"/>
  <c r="BP71"/>
  <c r="BP69"/>
  <c r="BP67"/>
  <c r="BP65"/>
  <c r="BP63"/>
  <c r="BP61"/>
  <c r="BP60"/>
  <c r="BE85" i="57"/>
  <c r="AG85"/>
  <c r="BO79"/>
  <c r="AQ79"/>
  <c r="BF78"/>
  <c r="AH78"/>
  <c r="BM77"/>
  <c r="AO77"/>
  <c r="BD76"/>
  <c r="AF76"/>
  <c r="BV57"/>
  <c r="AX57"/>
  <c r="AY55"/>
  <c r="BW55"/>
  <c r="BK54"/>
  <c r="AM54"/>
  <c r="BW50"/>
  <c r="FO44" i="1" s="1"/>
  <c r="AY50" i="57"/>
  <c r="BG50"/>
  <c r="EY44" i="1" s="1"/>
  <c r="AI50" i="57"/>
  <c r="BC15"/>
  <c r="EU14" i="1" s="1"/>
  <c r="AE15" i="57"/>
  <c r="BF62"/>
  <c r="AH62"/>
  <c r="BW84"/>
  <c r="AY84"/>
  <c r="BU82"/>
  <c r="AW82"/>
  <c r="AN81"/>
  <c r="BL81"/>
  <c r="AE80"/>
  <c r="BC80"/>
  <c r="BJ79"/>
  <c r="AL79"/>
  <c r="AZ77"/>
  <c r="BX77"/>
  <c r="AQ76"/>
  <c r="BO76"/>
  <c r="AX75"/>
  <c r="BV75"/>
  <c r="AS57"/>
  <c r="BQ57"/>
  <c r="BO56"/>
  <c r="AQ56"/>
  <c r="BO55"/>
  <c r="AQ55"/>
  <c r="AH54"/>
  <c r="BF54"/>
  <c r="AF52"/>
  <c r="BD52"/>
  <c r="EV45" i="1" s="1"/>
  <c r="AE41" i="57"/>
  <c r="BC41"/>
  <c r="EU38" i="1" s="1"/>
  <c r="AL35" i="57"/>
  <c r="BJ35"/>
  <c r="AS28"/>
  <c r="BQ28"/>
  <c r="FI27" i="1" s="1"/>
  <c r="AE20" i="57"/>
  <c r="BC20"/>
  <c r="AV49"/>
  <c r="BT49"/>
  <c r="AF45"/>
  <c r="AP75"/>
  <c r="AL77"/>
  <c r="AE78"/>
  <c r="AG80"/>
  <c r="AH83"/>
  <c r="AW73"/>
  <c r="AP54"/>
  <c r="C78"/>
  <c r="BR85"/>
  <c r="BY84"/>
  <c r="BI84"/>
  <c r="BP83"/>
  <c r="BG82"/>
  <c r="BN81"/>
  <c r="BU80"/>
  <c r="BL79"/>
  <c r="BS78"/>
  <c r="BQ76"/>
  <c r="BH75"/>
  <c r="BL58"/>
  <c r="BC57"/>
  <c r="BQ55"/>
  <c r="BX54"/>
  <c r="BH54"/>
  <c r="BO53"/>
  <c r="BV52"/>
  <c r="FN45" i="1" s="1"/>
  <c r="BF52" i="57"/>
  <c r="EX45" i="1" s="1"/>
  <c r="BM51" i="57"/>
  <c r="BT50"/>
  <c r="BD50"/>
  <c r="EV44" i="1" s="1"/>
  <c r="D18" i="57"/>
  <c r="C30"/>
  <c r="D34"/>
  <c r="C46"/>
  <c r="BQ46" i="1"/>
  <c r="BQ50"/>
  <c r="BQ54"/>
  <c r="BQ57"/>
  <c r="C74" i="57"/>
  <c r="BQ62" i="1"/>
  <c r="BQ66"/>
  <c r="BQ70"/>
  <c r="BQ74"/>
  <c r="CY85"/>
  <c r="DF84"/>
  <c r="DM83"/>
  <c r="CW83"/>
  <c r="DD82"/>
  <c r="DK81"/>
  <c r="CU81"/>
  <c r="DB80"/>
  <c r="DI79"/>
  <c r="CS79"/>
  <c r="CZ78"/>
  <c r="DG77"/>
  <c r="CQ77"/>
  <c r="CX76"/>
  <c r="EX46"/>
  <c r="EV47"/>
  <c r="EU49"/>
  <c r="FP49"/>
  <c r="FN51"/>
  <c r="FM55"/>
  <c r="FL59"/>
  <c r="EX62"/>
  <c r="FG63"/>
  <c r="FP64"/>
  <c r="FB66"/>
  <c r="FK67"/>
  <c r="EW69"/>
  <c r="FF70"/>
  <c r="FO71"/>
  <c r="FA73"/>
  <c r="FJ74"/>
  <c r="EV76"/>
  <c r="FE77"/>
  <c r="FN78"/>
  <c r="EZ80"/>
  <c r="FI81"/>
  <c r="EU83"/>
  <c r="FD84"/>
  <c r="FM85"/>
  <c r="FH11"/>
  <c r="EX41"/>
  <c r="FJ36"/>
  <c r="FF15"/>
  <c r="DK11"/>
  <c r="DH65"/>
  <c r="CS59"/>
  <c r="DL40"/>
  <c r="CV23"/>
  <c r="AR13" i="57"/>
  <c r="AX48"/>
  <c r="AK50"/>
  <c r="AE51"/>
  <c r="AN76"/>
  <c r="AR77"/>
  <c r="AK78"/>
  <c r="AF81"/>
  <c r="AN84"/>
  <c r="AJ85"/>
  <c r="AJ70"/>
  <c r="AX62"/>
  <c r="AP57"/>
  <c r="AG53"/>
  <c r="BA81"/>
  <c r="D58"/>
  <c r="C50"/>
  <c r="C54"/>
  <c r="D22"/>
  <c r="D62"/>
  <c r="BQ51" i="1"/>
  <c r="BQ52"/>
  <c r="BQ55"/>
  <c r="BQ63"/>
  <c r="BQ67"/>
  <c r="BQ71"/>
  <c r="BQ75"/>
  <c r="DC85"/>
  <c r="DJ84"/>
  <c r="CT84"/>
  <c r="DA83"/>
  <c r="DH82"/>
  <c r="CR82"/>
  <c r="CY81"/>
  <c r="DF80"/>
  <c r="DM79"/>
  <c r="CW79"/>
  <c r="DD78"/>
  <c r="DK77"/>
  <c r="CU77"/>
  <c r="DB76"/>
  <c r="FP45"/>
  <c r="FN46"/>
  <c r="FL47"/>
  <c r="FK49"/>
  <c r="FI51"/>
  <c r="FG55"/>
  <c r="FF59"/>
  <c r="FM61"/>
  <c r="EY63"/>
  <c r="FH64"/>
  <c r="FQ65"/>
  <c r="FC67"/>
  <c r="FL68"/>
  <c r="EX70"/>
  <c r="FG71"/>
  <c r="FP72"/>
  <c r="FB74"/>
  <c r="FK75"/>
  <c r="EW77"/>
  <c r="FF78"/>
  <c r="FO79"/>
  <c r="FA81"/>
  <c r="FJ82"/>
  <c r="EV84"/>
  <c r="FE85"/>
  <c r="FI38"/>
  <c r="EW27"/>
  <c r="FA18"/>
  <c r="DC68"/>
  <c r="DC56"/>
  <c r="EU44"/>
  <c r="DE30"/>
  <c r="AQ84" i="57"/>
  <c r="BO84"/>
  <c r="AO82"/>
  <c r="BM82"/>
  <c r="BW76"/>
  <c r="AY76"/>
  <c r="AU51"/>
  <c r="BS51"/>
  <c r="BK41"/>
  <c r="CY38" i="1" s="1"/>
  <c r="AM41" i="57"/>
  <c r="BM85"/>
  <c r="AO85"/>
  <c r="BD84"/>
  <c r="AF84"/>
  <c r="BW79"/>
  <c r="AY79"/>
  <c r="BN78"/>
  <c r="AP78"/>
  <c r="BE77"/>
  <c r="AG77"/>
  <c r="BG56"/>
  <c r="AI56"/>
  <c r="BS54"/>
  <c r="AU54"/>
  <c r="BH51"/>
  <c r="AJ51"/>
  <c r="BO50"/>
  <c r="FG44" i="1" s="1"/>
  <c r="AQ50" i="57"/>
  <c r="BN48"/>
  <c r="FF42" i="1" s="1"/>
  <c r="AP48" i="57"/>
  <c r="BG49"/>
  <c r="CU43" i="1" s="1"/>
  <c r="AI49" i="57"/>
  <c r="BR11"/>
  <c r="FJ11" i="1" s="1"/>
  <c r="AT11" i="57"/>
  <c r="BE11"/>
  <c r="CS11" i="1" s="1"/>
  <c r="AG11" i="57"/>
  <c r="BX47"/>
  <c r="AZ47"/>
  <c r="BK47"/>
  <c r="AM47"/>
  <c r="BN46"/>
  <c r="FF41" i="1" s="1"/>
  <c r="AP46" i="57"/>
  <c r="BW44"/>
  <c r="AY44"/>
  <c r="BA31"/>
  <c r="BY31"/>
  <c r="FQ29" i="1" s="1"/>
  <c r="AK31" i="57"/>
  <c r="BI31"/>
  <c r="FA29" i="1" s="1"/>
  <c r="AQ30" i="57"/>
  <c r="BO30"/>
  <c r="FG28" i="1" s="1"/>
  <c r="AW29" i="57"/>
  <c r="BU29"/>
  <c r="AG29"/>
  <c r="BE29"/>
  <c r="BN27"/>
  <c r="FF26" i="1" s="1"/>
  <c r="AP27" i="57"/>
  <c r="AM27"/>
  <c r="BK27"/>
  <c r="FC26" i="1" s="1"/>
  <c r="BT26" i="57"/>
  <c r="DH25" i="1" s="1"/>
  <c r="AV26" i="57"/>
  <c r="AS26"/>
  <c r="BQ26"/>
  <c r="BD26"/>
  <c r="CR25" i="1" s="1"/>
  <c r="AF26" i="57"/>
  <c r="AY25"/>
  <c r="BW25"/>
  <c r="BJ25"/>
  <c r="CX24" i="1" s="1"/>
  <c r="AL25" i="57"/>
  <c r="AI25"/>
  <c r="BG25"/>
  <c r="BP24"/>
  <c r="DD23" i="1" s="1"/>
  <c r="AR24" i="57"/>
  <c r="AO24"/>
  <c r="BM24"/>
  <c r="FE23" i="1" s="1"/>
  <c r="BV23" i="57"/>
  <c r="FN22" i="1" s="1"/>
  <c r="AX23" i="57"/>
  <c r="AU23"/>
  <c r="BS23"/>
  <c r="FK22" i="1" s="1"/>
  <c r="BF23" i="57"/>
  <c r="EX22" i="1" s="1"/>
  <c r="AH23" i="57"/>
  <c r="BA22"/>
  <c r="BY22"/>
  <c r="FQ21" i="1" s="1"/>
  <c r="BL22" i="57"/>
  <c r="FD21" i="1" s="1"/>
  <c r="AN22" i="57"/>
  <c r="AK22"/>
  <c r="BI22"/>
  <c r="FA21" i="1" s="1"/>
  <c r="BR21" i="57"/>
  <c r="DF20" i="1" s="1"/>
  <c r="AT21" i="57"/>
  <c r="AQ21"/>
  <c r="BO21"/>
  <c r="BI20"/>
  <c r="CW19" i="1" s="1"/>
  <c r="AK20" i="57"/>
  <c r="BW18"/>
  <c r="DK17" i="1" s="1"/>
  <c r="AY18" i="57"/>
  <c r="BR16"/>
  <c r="DF15" i="1" s="1"/>
  <c r="AT16" i="57"/>
  <c r="BO64"/>
  <c r="AQ64"/>
  <c r="BB7"/>
  <c r="AE29"/>
  <c r="AL50"/>
  <c r="AE11"/>
  <c r="AV45"/>
  <c r="AH48"/>
  <c r="AV76"/>
  <c r="AT79"/>
  <c r="AG70"/>
  <c r="AT58"/>
  <c r="AH57"/>
  <c r="BA57"/>
  <c r="C26"/>
  <c r="C42"/>
  <c r="BQ47" i="1"/>
  <c r="BP48"/>
  <c r="BP49"/>
  <c r="BP53"/>
  <c r="BQ64"/>
  <c r="BQ68"/>
  <c r="BQ72"/>
  <c r="DG85"/>
  <c r="CQ85"/>
  <c r="CX84"/>
  <c r="DE83"/>
  <c r="DL82"/>
  <c r="CV82"/>
  <c r="DC81"/>
  <c r="DJ80"/>
  <c r="CT80"/>
  <c r="DA79"/>
  <c r="DH78"/>
  <c r="CR78"/>
  <c r="CY77"/>
  <c r="DF76"/>
  <c r="FI46"/>
  <c r="FG47"/>
  <c r="FE49"/>
  <c r="FD51"/>
  <c r="FB55"/>
  <c r="EZ59"/>
  <c r="FE61"/>
  <c r="FN62"/>
  <c r="EZ64"/>
  <c r="FI65"/>
  <c r="EU67"/>
  <c r="FD68"/>
  <c r="FM69"/>
  <c r="EY71"/>
  <c r="FH72"/>
  <c r="FQ73"/>
  <c r="FC75"/>
  <c r="FL76"/>
  <c r="EX78"/>
  <c r="FG79"/>
  <c r="FP80"/>
  <c r="FB82"/>
  <c r="FK83"/>
  <c r="EW85"/>
  <c r="FC42"/>
  <c r="FG39"/>
  <c r="FG20"/>
  <c r="CX71"/>
  <c r="EY60"/>
  <c r="DI37"/>
  <c r="CS37"/>
  <c r="DL36"/>
  <c r="AU30" i="57"/>
  <c r="BS30"/>
  <c r="BA29"/>
  <c r="BY29"/>
  <c r="AK29"/>
  <c r="BI29"/>
  <c r="AQ27"/>
  <c r="BO27"/>
  <c r="AW26"/>
  <c r="BU26"/>
  <c r="FM25" i="1" s="1"/>
  <c r="AG26" i="57"/>
  <c r="BE26"/>
  <c r="EW25" i="1" s="1"/>
  <c r="AM25" i="57"/>
  <c r="BK25"/>
  <c r="AS24"/>
  <c r="BQ24"/>
  <c r="FI23" i="1" s="1"/>
  <c r="AY23" i="57"/>
  <c r="BW23"/>
  <c r="FO22" i="1" s="1"/>
  <c r="AI23" i="57"/>
  <c r="BG23"/>
  <c r="EY22" i="1" s="1"/>
  <c r="AO22" i="57"/>
  <c r="BM22"/>
  <c r="AU21"/>
  <c r="BS21"/>
  <c r="AS31"/>
  <c r="BQ31"/>
  <c r="AY30"/>
  <c r="BW30"/>
  <c r="AI30"/>
  <c r="BG30"/>
  <c r="AO29"/>
  <c r="BM29"/>
  <c r="AU27"/>
  <c r="BS27"/>
  <c r="DG26" i="1" s="1"/>
  <c r="BA26" i="57"/>
  <c r="BY26"/>
  <c r="FQ25" i="1" s="1"/>
  <c r="AK26" i="57"/>
  <c r="BI26"/>
  <c r="FA25" i="1" s="1"/>
  <c r="AQ25" i="57"/>
  <c r="BO25"/>
  <c r="AW24"/>
  <c r="BU24"/>
  <c r="FM23" i="1" s="1"/>
  <c r="AG24" i="57"/>
  <c r="BE24"/>
  <c r="EW23" i="1" s="1"/>
  <c r="AM23" i="57"/>
  <c r="BK23"/>
  <c r="AS22"/>
  <c r="BQ22"/>
  <c r="AY21"/>
  <c r="BW21"/>
  <c r="A24" i="51"/>
  <c r="A40"/>
  <c r="AO12" i="57"/>
  <c r="AH13"/>
  <c r="AP13"/>
  <c r="AX13"/>
  <c r="AG16"/>
  <c r="AW19"/>
  <c r="AE22"/>
  <c r="AY28"/>
  <c r="AN29"/>
  <c r="AH30"/>
  <c r="AX30"/>
  <c r="AR31"/>
  <c r="AS41"/>
  <c r="AM44"/>
  <c r="AL45"/>
  <c r="AT45"/>
  <c r="AS49"/>
  <c r="AX49"/>
  <c r="AU74"/>
  <c r="AE74"/>
  <c r="AU69"/>
  <c r="AP61"/>
  <c r="AQ60"/>
  <c r="BA17"/>
  <c r="BA12"/>
  <c r="BI41"/>
  <c r="FA38" i="1" s="1"/>
  <c r="BO28" i="57"/>
  <c r="FG27" i="1" s="1"/>
  <c r="BM48" i="57"/>
  <c r="FE42" i="1" s="1"/>
  <c r="AO31" i="57"/>
  <c r="BM31"/>
  <c r="DA29" i="1" s="1"/>
  <c r="AW31" i="57"/>
  <c r="BU31"/>
  <c r="FM29" i="1" s="1"/>
  <c r="AG31" i="57"/>
  <c r="BE31"/>
  <c r="EW29" i="1" s="1"/>
  <c r="AM30" i="57"/>
  <c r="BK30"/>
  <c r="AS29"/>
  <c r="BQ29"/>
  <c r="AY27"/>
  <c r="BW27"/>
  <c r="FO26" i="1" s="1"/>
  <c r="AI27" i="57"/>
  <c r="BG27"/>
  <c r="EY26" i="1" s="1"/>
  <c r="AO26" i="57"/>
  <c r="BM26"/>
  <c r="AU25"/>
  <c r="BS25"/>
  <c r="AK24"/>
  <c r="BI24"/>
  <c r="AQ23"/>
  <c r="BO23"/>
  <c r="AW22"/>
  <c r="BU22"/>
  <c r="AG22"/>
  <c r="BE22"/>
  <c r="AM21"/>
  <c r="BK21"/>
  <c r="FC20" i="1" s="1"/>
  <c r="A8" i="51"/>
  <c r="A9"/>
  <c r="A20"/>
  <c r="AK11" i="57"/>
  <c r="AZ14"/>
  <c r="AH15"/>
  <c r="AQ19"/>
  <c r="AZ20"/>
  <c r="AT27"/>
  <c r="AW46"/>
  <c r="AZ74"/>
  <c r="AJ74"/>
  <c r="AP71"/>
  <c r="AT65"/>
  <c r="AZ61"/>
  <c r="BA11"/>
  <c r="AD7"/>
  <c r="BA30"/>
  <c r="BY30"/>
  <c r="DM28" i="1" s="1"/>
  <c r="BA21" i="57"/>
  <c r="BY21"/>
  <c r="FQ20" i="1" s="1"/>
  <c r="AH21" i="57"/>
  <c r="BF21"/>
  <c r="CT20" i="1" s="1"/>
  <c r="BA27" i="57"/>
  <c r="BY27"/>
  <c r="FQ26" i="1" s="1"/>
  <c r="BA23" i="57"/>
  <c r="BY23"/>
  <c r="DM22" i="1" s="1"/>
  <c r="CT13"/>
  <c r="DC14"/>
  <c r="DL15"/>
  <c r="CX17"/>
  <c r="DG18"/>
  <c r="CS20"/>
  <c r="DB21"/>
  <c r="DK22"/>
  <c r="FQ24"/>
  <c r="CY26"/>
  <c r="FA28"/>
  <c r="CV29"/>
  <c r="CT30"/>
  <c r="CR31"/>
  <c r="FN32"/>
  <c r="DH33"/>
  <c r="EW34"/>
  <c r="CR35"/>
  <c r="CZ35"/>
  <c r="DH35"/>
  <c r="FG35"/>
  <c r="DA36"/>
  <c r="CW37"/>
  <c r="DE37"/>
  <c r="FP37"/>
  <c r="DH39"/>
  <c r="DG40"/>
  <c r="DE41"/>
  <c r="DC42"/>
  <c r="CR43"/>
  <c r="EV43"/>
  <c r="FL43"/>
  <c r="FC44"/>
  <c r="DE45"/>
  <c r="CX46"/>
  <c r="CQ47"/>
  <c r="DG47"/>
  <c r="FG48"/>
  <c r="CV49"/>
  <c r="DL49"/>
  <c r="FB50"/>
  <c r="CQ51"/>
  <c r="DG51"/>
  <c r="EU52"/>
  <c r="FE52"/>
  <c r="FP52"/>
  <c r="CU53"/>
  <c r="DD53"/>
  <c r="DK53"/>
  <c r="FD53"/>
  <c r="FO53"/>
  <c r="EU54"/>
  <c r="FE54"/>
  <c r="FP54"/>
  <c r="CZ55"/>
  <c r="DJ55"/>
  <c r="CU56"/>
  <c r="DB56"/>
  <c r="DK56"/>
  <c r="FD56"/>
  <c r="FN56"/>
  <c r="CU57"/>
  <c r="DB57"/>
  <c r="DK57"/>
  <c r="FD57"/>
  <c r="FN57"/>
  <c r="CU58"/>
  <c r="DB58"/>
  <c r="DK58"/>
  <c r="FD58"/>
  <c r="FN58"/>
  <c r="CX59"/>
  <c r="DI59"/>
  <c r="CU60"/>
  <c r="DC60"/>
  <c r="DK60"/>
  <c r="EW60"/>
  <c r="FE60"/>
  <c r="FM60"/>
  <c r="CT61"/>
  <c r="DB61"/>
  <c r="DJ61"/>
  <c r="CU62"/>
  <c r="DC62"/>
  <c r="DK62"/>
  <c r="CV63"/>
  <c r="DD63"/>
  <c r="DL63"/>
  <c r="CW64"/>
  <c r="DE64"/>
  <c r="DM64"/>
  <c r="CX65"/>
  <c r="DF65"/>
  <c r="CQ66"/>
  <c r="CY66"/>
  <c r="DG66"/>
  <c r="CR67"/>
  <c r="CZ67"/>
  <c r="DH67"/>
  <c r="CS68"/>
  <c r="DA68"/>
  <c r="DI68"/>
  <c r="CT69"/>
  <c r="DB69"/>
  <c r="DJ69"/>
  <c r="CU70"/>
  <c r="DC70"/>
  <c r="DK70"/>
  <c r="CV71"/>
  <c r="DD71"/>
  <c r="DL71"/>
  <c r="CW72"/>
  <c r="DE72"/>
  <c r="DM72"/>
  <c r="CX73"/>
  <c r="DF73"/>
  <c r="CQ74"/>
  <c r="CY74"/>
  <c r="DG74"/>
  <c r="CR75"/>
  <c r="CZ75"/>
  <c r="DH75"/>
  <c r="DA11"/>
  <c r="DI11"/>
  <c r="EX12"/>
  <c r="FF12"/>
  <c r="FN12"/>
  <c r="FB13"/>
  <c r="FJ13"/>
  <c r="FC14"/>
  <c r="FK14"/>
  <c r="EV15"/>
  <c r="FD15"/>
  <c r="FL15"/>
  <c r="EW16"/>
  <c r="FE16"/>
  <c r="FM16"/>
  <c r="EX17"/>
  <c r="FF17"/>
  <c r="FN17"/>
  <c r="EY18"/>
  <c r="FG18"/>
  <c r="FO18"/>
  <c r="EZ19"/>
  <c r="FH19"/>
  <c r="FM19"/>
  <c r="EU20"/>
  <c r="FA20"/>
  <c r="FF20"/>
  <c r="FK20"/>
  <c r="EY21"/>
  <c r="FJ21"/>
  <c r="FO21"/>
  <c r="EW22"/>
  <c r="FC22"/>
  <c r="FH22"/>
  <c r="FM22"/>
  <c r="EV23"/>
  <c r="FA23"/>
  <c r="FF23"/>
  <c r="FL23"/>
  <c r="FQ23"/>
  <c r="EY25"/>
  <c r="FE25"/>
  <c r="FJ25"/>
  <c r="FO25"/>
  <c r="EX26"/>
  <c r="FH26"/>
  <c r="FN26"/>
  <c r="EZ29"/>
  <c r="FE29"/>
  <c r="FJ29"/>
  <c r="FP29"/>
  <c r="EX30"/>
  <c r="FC30"/>
  <c r="FI30"/>
  <c r="FN30"/>
  <c r="EV31"/>
  <c r="FB31"/>
  <c r="FG31"/>
  <c r="FL31"/>
  <c r="EU33"/>
  <c r="EZ33"/>
  <c r="FE33"/>
  <c r="FK33"/>
  <c r="FP33"/>
  <c r="EX36"/>
  <c r="FD36"/>
  <c r="FI36"/>
  <c r="DI12"/>
  <c r="CU14"/>
  <c r="DD15"/>
  <c r="DM16"/>
  <c r="CY18"/>
  <c r="CT21"/>
  <c r="DC22"/>
  <c r="DL23"/>
  <c r="FI24"/>
  <c r="CQ26"/>
  <c r="CQ28"/>
  <c r="CY28"/>
  <c r="DG28"/>
  <c r="FQ28"/>
  <c r="DL29"/>
  <c r="DJ30"/>
  <c r="DH31"/>
  <c r="FH32"/>
  <c r="DC33"/>
  <c r="CT34"/>
  <c r="DB34"/>
  <c r="DJ34"/>
  <c r="FM34"/>
  <c r="FA35"/>
  <c r="CV36"/>
  <c r="FJ37"/>
  <c r="DE38"/>
  <c r="DC39"/>
  <c r="DA40"/>
  <c r="CX42"/>
  <c r="FH43"/>
  <c r="DA45"/>
  <c r="CT46"/>
  <c r="DJ46"/>
  <c r="DC47"/>
  <c r="FC48"/>
  <c r="CR49"/>
  <c r="DH49"/>
  <c r="EX50"/>
  <c r="FN50"/>
  <c r="DC51"/>
  <c r="CT52"/>
  <c r="DB52"/>
  <c r="DJ52"/>
  <c r="FC52"/>
  <c r="FM52"/>
  <c r="CQ53"/>
  <c r="CZ53"/>
  <c r="DG53"/>
  <c r="FA53"/>
  <c r="FL53"/>
  <c r="CT54"/>
  <c r="DB54"/>
  <c r="DJ54"/>
  <c r="FC54"/>
  <c r="FM54"/>
  <c r="CW55"/>
  <c r="DH55"/>
  <c r="CQ56"/>
  <c r="CX56"/>
  <c r="DG56"/>
  <c r="FA56"/>
  <c r="FL56"/>
  <c r="CQ57"/>
  <c r="CX57"/>
  <c r="DG57"/>
  <c r="FA57"/>
  <c r="FL57"/>
  <c r="CQ58"/>
  <c r="CX58"/>
  <c r="DG58"/>
  <c r="FA58"/>
  <c r="FL58"/>
  <c r="CU59"/>
  <c r="DF59"/>
  <c r="CQ60"/>
  <c r="CS60"/>
  <c r="DA60"/>
  <c r="DI60"/>
  <c r="EU60"/>
  <c r="FC60"/>
  <c r="FK60"/>
  <c r="CR61"/>
  <c r="CZ61"/>
  <c r="DH61"/>
  <c r="CS62"/>
  <c r="DA62"/>
  <c r="DI62"/>
  <c r="CT63"/>
  <c r="DB63"/>
  <c r="DJ63"/>
  <c r="CU64"/>
  <c r="DC64"/>
  <c r="DK64"/>
  <c r="CV65"/>
  <c r="DD65"/>
  <c r="DL65"/>
  <c r="CW66"/>
  <c r="DE66"/>
  <c r="DM66"/>
  <c r="CX67"/>
  <c r="DF67"/>
  <c r="CQ68"/>
  <c r="CY68"/>
  <c r="DG68"/>
  <c r="CR69"/>
  <c r="CZ69"/>
  <c r="DH69"/>
  <c r="CS70"/>
  <c r="DA70"/>
  <c r="DI70"/>
  <c r="CT71"/>
  <c r="DB71"/>
  <c r="DJ71"/>
  <c r="CU72"/>
  <c r="DC72"/>
  <c r="DK72"/>
  <c r="CV73"/>
  <c r="DD73"/>
  <c r="DL73"/>
  <c r="CW74"/>
  <c r="DE74"/>
  <c r="DM74"/>
  <c r="CX75"/>
  <c r="DF75"/>
  <c r="CQ11"/>
  <c r="CY11"/>
  <c r="DG11"/>
  <c r="EV12"/>
  <c r="FD12"/>
  <c r="FL12"/>
  <c r="EZ13"/>
  <c r="FH13"/>
  <c r="FP13"/>
  <c r="FA14"/>
  <c r="FI14"/>
  <c r="FQ14"/>
  <c r="FB15"/>
  <c r="EU16"/>
  <c r="FC16"/>
  <c r="FK16"/>
  <c r="FD17"/>
  <c r="FL17"/>
  <c r="EW18"/>
  <c r="FE18"/>
  <c r="FM18"/>
  <c r="EX19"/>
  <c r="FF19"/>
  <c r="FQ19"/>
  <c r="EY20"/>
  <c r="FE20"/>
  <c r="FJ20"/>
  <c r="FO20"/>
  <c r="EX21"/>
  <c r="FC21"/>
  <c r="FH21"/>
  <c r="FN21"/>
  <c r="EV22"/>
  <c r="FA22"/>
  <c r="FG22"/>
  <c r="FL22"/>
  <c r="EZ23"/>
  <c r="FJ23"/>
  <c r="FP23"/>
  <c r="EX25"/>
  <c r="FC25"/>
  <c r="FI25"/>
  <c r="FN25"/>
  <c r="EV26"/>
  <c r="FB26"/>
  <c r="FG26"/>
  <c r="FL26"/>
  <c r="EU27"/>
  <c r="FE27"/>
  <c r="FK27"/>
  <c r="EX29"/>
  <c r="FD29"/>
  <c r="FI29"/>
  <c r="FN29"/>
  <c r="EW30"/>
  <c r="FB30"/>
  <c r="FM30"/>
  <c r="EU31"/>
  <c r="EZ31"/>
  <c r="FF31"/>
  <c r="FK31"/>
  <c r="FP31"/>
  <c r="EY33"/>
  <c r="FD33"/>
  <c r="FI33"/>
  <c r="FO33"/>
  <c r="EW36"/>
  <c r="FB36"/>
  <c r="FH36"/>
  <c r="BX44" i="57"/>
  <c r="AZ44"/>
  <c r="BP44"/>
  <c r="AR44"/>
  <c r="BH44"/>
  <c r="AJ44"/>
  <c r="BU69"/>
  <c r="AW69"/>
  <c r="BM69"/>
  <c r="AO69"/>
  <c r="BE69"/>
  <c r="AG69"/>
  <c r="BU65"/>
  <c r="AW65"/>
  <c r="BM61"/>
  <c r="AO61"/>
  <c r="BT59"/>
  <c r="AV59"/>
  <c r="BL59"/>
  <c r="AN59"/>
  <c r="BD59"/>
  <c r="AF59"/>
  <c r="BR47"/>
  <c r="AT47"/>
  <c r="BJ47"/>
  <c r="AL47"/>
  <c r="BX46"/>
  <c r="FP41" i="1" s="1"/>
  <c r="AZ46" i="57"/>
  <c r="BP46"/>
  <c r="FH41" i="1" s="1"/>
  <c r="AR46" i="57"/>
  <c r="BH46"/>
  <c r="CV41" i="1" s="1"/>
  <c r="AJ46" i="57"/>
  <c r="BC75"/>
  <c r="AE75"/>
  <c r="BX71"/>
  <c r="AZ71"/>
  <c r="BP71"/>
  <c r="AR71"/>
  <c r="BH71"/>
  <c r="AJ71"/>
  <c r="BV69"/>
  <c r="AX69"/>
  <c r="BN69"/>
  <c r="AP69"/>
  <c r="BF69"/>
  <c r="AH69"/>
  <c r="BX67"/>
  <c r="AZ67"/>
  <c r="BP67"/>
  <c r="AR67"/>
  <c r="BH67"/>
  <c r="AJ67"/>
  <c r="BR66"/>
  <c r="AT66"/>
  <c r="BJ66"/>
  <c r="AL66"/>
  <c r="BX64"/>
  <c r="AZ64"/>
  <c r="BP64"/>
  <c r="AR64"/>
  <c r="BH64"/>
  <c r="AJ64"/>
  <c r="BQ61"/>
  <c r="AS61"/>
  <c r="A32" i="51"/>
  <c r="A16"/>
  <c r="AK12" i="57"/>
  <c r="AE13"/>
  <c r="AI13"/>
  <c r="AM13"/>
  <c r="AQ13"/>
  <c r="AU13"/>
  <c r="AY13"/>
  <c r="AO14"/>
  <c r="AY15"/>
  <c r="AE17"/>
  <c r="AM17"/>
  <c r="AW18"/>
  <c r="AP28"/>
  <c r="AE35"/>
  <c r="AI35"/>
  <c r="AM35"/>
  <c r="AQ35"/>
  <c r="AU35"/>
  <c r="AY35"/>
  <c r="AE39"/>
  <c r="AJ41"/>
  <c r="AZ41"/>
  <c r="AG45"/>
  <c r="AK45"/>
  <c r="AO45"/>
  <c r="AS45"/>
  <c r="AW45"/>
  <c r="AN51"/>
  <c r="AS52"/>
  <c r="AU75"/>
  <c r="AR76"/>
  <c r="AK77"/>
  <c r="AT78"/>
  <c r="AM79"/>
  <c r="AJ80"/>
  <c r="AZ80"/>
  <c r="AS81"/>
  <c r="AL82"/>
  <c r="AE83"/>
  <c r="AU83"/>
  <c r="AR84"/>
  <c r="AK85"/>
  <c r="AG71"/>
  <c r="AT67"/>
  <c r="AW62"/>
  <c r="AO62"/>
  <c r="AG62"/>
  <c r="AY58"/>
  <c r="AI58"/>
  <c r="AT57"/>
  <c r="AU56"/>
  <c r="AE56"/>
  <c r="AP55"/>
  <c r="AQ54"/>
  <c r="AL53"/>
  <c r="BA77"/>
  <c r="BA49"/>
  <c r="BA45"/>
  <c r="BD20"/>
  <c r="EV19" i="1" s="1"/>
  <c r="BP18" i="57"/>
  <c r="FH17" i="1" s="1"/>
  <c r="BF17" i="57"/>
  <c r="CT16" i="1" s="1"/>
  <c r="BR15" i="57"/>
  <c r="BH14"/>
  <c r="BD48"/>
  <c r="AF48"/>
  <c r="BL48"/>
  <c r="AN48"/>
  <c r="BT48"/>
  <c r="AV48"/>
  <c r="BH48"/>
  <c r="EZ42" i="1" s="1"/>
  <c r="AJ48" i="57"/>
  <c r="BP48"/>
  <c r="DD42" i="1" s="1"/>
  <c r="AR48" i="57"/>
  <c r="BX48"/>
  <c r="FP42" i="1" s="1"/>
  <c r="AZ48" i="57"/>
  <c r="BT44"/>
  <c r="AV44"/>
  <c r="BL44"/>
  <c r="AN44"/>
  <c r="BD44"/>
  <c r="AF44"/>
  <c r="BV47"/>
  <c r="AX47"/>
  <c r="BN47"/>
  <c r="AP47"/>
  <c r="BF47"/>
  <c r="AH47"/>
  <c r="BT46"/>
  <c r="FL41" i="1" s="1"/>
  <c r="AV46" i="57"/>
  <c r="BL46"/>
  <c r="FD41" i="1" s="1"/>
  <c r="AN46" i="57"/>
  <c r="BD46"/>
  <c r="EV41" i="1" s="1"/>
  <c r="AF46" i="57"/>
  <c r="A14" i="51"/>
  <c r="A22"/>
  <c r="A30"/>
  <c r="A38"/>
  <c r="A36"/>
  <c r="A10"/>
  <c r="A18"/>
  <c r="A26"/>
  <c r="A34"/>
  <c r="A42"/>
  <c r="AH11" i="57"/>
  <c r="AP11"/>
  <c r="AX11"/>
  <c r="AN12"/>
  <c r="AE21"/>
  <c r="AT46"/>
  <c r="AN47"/>
  <c r="AG49"/>
  <c r="AO49"/>
  <c r="AW49"/>
  <c r="AL67"/>
  <c r="AV66"/>
  <c r="AI61"/>
  <c r="AE12"/>
  <c r="AU12"/>
  <c r="AG13"/>
  <c r="AK13"/>
  <c r="AO13"/>
  <c r="AS13"/>
  <c r="AW13"/>
  <c r="AM14"/>
  <c r="AU14"/>
  <c r="AO15"/>
  <c r="AW15"/>
  <c r="AI16"/>
  <c r="AY16"/>
  <c r="AK17"/>
  <c r="AS17"/>
  <c r="AM18"/>
  <c r="AU18"/>
  <c r="AG19"/>
  <c r="AY19"/>
  <c r="AL20"/>
  <c r="AQ20"/>
  <c r="AE23"/>
  <c r="AE25"/>
  <c r="AH28"/>
  <c r="AX28"/>
  <c r="AE30"/>
  <c r="AE32"/>
  <c r="AE34"/>
  <c r="AG35"/>
  <c r="AK35"/>
  <c r="AO35"/>
  <c r="AS35"/>
  <c r="AW35"/>
  <c r="AR41"/>
  <c r="AE44"/>
  <c r="AP44"/>
  <c r="AE45"/>
  <c r="AI45"/>
  <c r="AM45"/>
  <c r="AQ45"/>
  <c r="AU45"/>
  <c r="AY45"/>
  <c r="AH46"/>
  <c r="AX46"/>
  <c r="AR47"/>
  <c r="AF51"/>
  <c r="AV51"/>
  <c r="AK52"/>
  <c r="AM75"/>
  <c r="AJ76"/>
  <c r="AZ76"/>
  <c r="AS77"/>
  <c r="AL78"/>
  <c r="AE79"/>
  <c r="AU79"/>
  <c r="AR80"/>
  <c r="AK81"/>
  <c r="AT82"/>
  <c r="AM83"/>
  <c r="AJ84"/>
  <c r="AZ84"/>
  <c r="AS85"/>
  <c r="AW71"/>
  <c r="AN66"/>
  <c r="AQ58"/>
  <c r="AL57"/>
  <c r="AM56"/>
  <c r="AX55"/>
  <c r="AH55"/>
  <c r="AY54"/>
  <c r="AI54"/>
  <c r="AT53"/>
  <c r="BA85"/>
  <c r="BA52"/>
  <c r="BA13"/>
  <c r="BW85"/>
  <c r="BS85"/>
  <c r="BO85"/>
  <c r="BK85"/>
  <c r="BG85"/>
  <c r="BC85"/>
  <c r="BV84"/>
  <c r="BR84"/>
  <c r="BN84"/>
  <c r="BJ84"/>
  <c r="BF84"/>
  <c r="BY83"/>
  <c r="BU83"/>
  <c r="BQ83"/>
  <c r="BM83"/>
  <c r="BI83"/>
  <c r="BE83"/>
  <c r="BX82"/>
  <c r="BT82"/>
  <c r="BP82"/>
  <c r="BL82"/>
  <c r="BH82"/>
  <c r="BD82"/>
  <c r="BW81"/>
  <c r="BS81"/>
  <c r="BO81"/>
  <c r="BK81"/>
  <c r="BG81"/>
  <c r="BC81"/>
  <c r="BV80"/>
  <c r="BR80"/>
  <c r="BN80"/>
  <c r="BJ80"/>
  <c r="BF80"/>
  <c r="BY79"/>
  <c r="BU79"/>
  <c r="BQ79"/>
  <c r="BM79"/>
  <c r="BI79"/>
  <c r="BE79"/>
  <c r="BX78"/>
  <c r="BT78"/>
  <c r="BP78"/>
  <c r="BL78"/>
  <c r="BH78"/>
  <c r="BD78"/>
  <c r="BW77"/>
  <c r="BS77"/>
  <c r="BO77"/>
  <c r="BK77"/>
  <c r="BG77"/>
  <c r="BC77"/>
  <c r="BV76"/>
  <c r="BR76"/>
  <c r="BN76"/>
  <c r="BJ76"/>
  <c r="BF76"/>
  <c r="BY75"/>
  <c r="BU75"/>
  <c r="BQ75"/>
  <c r="BM75"/>
  <c r="BI75"/>
  <c r="BY58"/>
  <c r="BU58"/>
  <c r="BQ58"/>
  <c r="BM58"/>
  <c r="BI58"/>
  <c r="BE58"/>
  <c r="BX57"/>
  <c r="BT57"/>
  <c r="BP57"/>
  <c r="BL57"/>
  <c r="BH57"/>
  <c r="BD57"/>
  <c r="BU56"/>
  <c r="BQ56"/>
  <c r="BM56"/>
  <c r="BI56"/>
  <c r="BE56"/>
  <c r="BX55"/>
  <c r="BT55"/>
  <c r="BP55"/>
  <c r="BL55"/>
  <c r="BH55"/>
  <c r="BD55"/>
  <c r="BY54"/>
  <c r="BU54"/>
  <c r="BQ54"/>
  <c r="BM54"/>
  <c r="BI54"/>
  <c r="BE54"/>
  <c r="BX53"/>
  <c r="BT53"/>
  <c r="BP53"/>
  <c r="BL53"/>
  <c r="BH53"/>
  <c r="BD53"/>
  <c r="BW52"/>
  <c r="FO45" i="1" s="1"/>
  <c r="BS52" i="57"/>
  <c r="DG45" i="1" s="1"/>
  <c r="BO52" i="57"/>
  <c r="FG45" i="1" s="1"/>
  <c r="BK52" i="57"/>
  <c r="FC45" i="1" s="1"/>
  <c r="BG52" i="57"/>
  <c r="CU45" i="1" s="1"/>
  <c r="BC52" i="57"/>
  <c r="EU45" i="1" s="1"/>
  <c r="BV51" i="57"/>
  <c r="BR51"/>
  <c r="BN51"/>
  <c r="BJ51"/>
  <c r="BF51"/>
  <c r="BY50"/>
  <c r="BV41"/>
  <c r="FN38" i="1" s="1"/>
  <c r="BR41" i="57"/>
  <c r="FJ38" i="1" s="1"/>
  <c r="BN41" i="57"/>
  <c r="FF38" i="1" s="1"/>
  <c r="BJ41" i="57"/>
  <c r="FB38" i="1" s="1"/>
  <c r="BF41" i="57"/>
  <c r="EX38" i="1" s="1"/>
  <c r="BY35" i="57"/>
  <c r="FQ33" i="1" s="1"/>
  <c r="BX28" i="57"/>
  <c r="FP27" i="1" s="1"/>
  <c r="BT28" i="57"/>
  <c r="DH27" i="1" s="1"/>
  <c r="BP28" i="57"/>
  <c r="FH27" i="1" s="1"/>
  <c r="BL28" i="57"/>
  <c r="CZ27" i="1" s="1"/>
  <c r="BH28" i="57"/>
  <c r="CV27" i="1" s="1"/>
  <c r="BD28" i="57"/>
  <c r="EV27" i="1" s="1"/>
  <c r="BT20" i="57"/>
  <c r="DH19" i="1" s="1"/>
  <c r="BJ19" i="57"/>
  <c r="CX18" i="1" s="1"/>
  <c r="CR12"/>
  <c r="CV12"/>
  <c r="CZ12"/>
  <c r="DD12"/>
  <c r="DH12"/>
  <c r="DL12"/>
  <c r="CS13"/>
  <c r="CW13"/>
  <c r="DA13"/>
  <c r="DE13"/>
  <c r="DI13"/>
  <c r="DM13"/>
  <c r="CT14"/>
  <c r="CX14"/>
  <c r="DB14"/>
  <c r="DF14"/>
  <c r="DJ14"/>
  <c r="CQ15"/>
  <c r="CU15"/>
  <c r="CY15"/>
  <c r="DC15"/>
  <c r="DG15"/>
  <c r="DK15"/>
  <c r="CR16"/>
  <c r="CV16"/>
  <c r="CZ16"/>
  <c r="DH16"/>
  <c r="DL16"/>
  <c r="CS17"/>
  <c r="CW17"/>
  <c r="DA17"/>
  <c r="DE17"/>
  <c r="DI17"/>
  <c r="DM17"/>
  <c r="CT18"/>
  <c r="DB18"/>
  <c r="DJ18"/>
  <c r="CQ19"/>
  <c r="CU19"/>
  <c r="CY19"/>
  <c r="DC19"/>
  <c r="DG19"/>
  <c r="DK19"/>
  <c r="CV20"/>
  <c r="CZ20"/>
  <c r="DD20"/>
  <c r="DH20"/>
  <c r="DL20"/>
  <c r="CS21"/>
  <c r="CW21"/>
  <c r="DA21"/>
  <c r="DE21"/>
  <c r="DI21"/>
  <c r="DM21"/>
  <c r="CT22"/>
  <c r="CX22"/>
  <c r="DB22"/>
  <c r="DF22"/>
  <c r="DJ22"/>
  <c r="CQ23"/>
  <c r="CU23"/>
  <c r="CY23"/>
  <c r="DC23"/>
  <c r="DG23"/>
  <c r="DK23"/>
  <c r="CR24"/>
  <c r="CV24"/>
  <c r="CZ24"/>
  <c r="DD24"/>
  <c r="DH24"/>
  <c r="DL24"/>
  <c r="EY24"/>
  <c r="FC24"/>
  <c r="FG24"/>
  <c r="FK24"/>
  <c r="FO24"/>
  <c r="CV25"/>
  <c r="CZ25"/>
  <c r="DD25"/>
  <c r="DL25"/>
  <c r="CS26"/>
  <c r="CW26"/>
  <c r="DA26"/>
  <c r="DE26"/>
  <c r="DI26"/>
  <c r="CT27"/>
  <c r="CX27"/>
  <c r="DB27"/>
  <c r="DF27"/>
  <c r="DJ27"/>
  <c r="CS28"/>
  <c r="CW28"/>
  <c r="DA28"/>
  <c r="DE28"/>
  <c r="DI28"/>
  <c r="EX28"/>
  <c r="FB28"/>
  <c r="FF28"/>
  <c r="FJ28"/>
  <c r="FN28"/>
  <c r="CQ29"/>
  <c r="CU29"/>
  <c r="CY29"/>
  <c r="DC29"/>
  <c r="DG29"/>
  <c r="DK29"/>
  <c r="CR30"/>
  <c r="CV30"/>
  <c r="DD30"/>
  <c r="DH30"/>
  <c r="DL30"/>
  <c r="CS31"/>
  <c r="DA31"/>
  <c r="DM31"/>
  <c r="CT32"/>
  <c r="CX32"/>
  <c r="DB32"/>
  <c r="DF32"/>
  <c r="DJ32"/>
  <c r="EW32"/>
  <c r="FA32"/>
  <c r="FE32"/>
  <c r="FI32"/>
  <c r="FM32"/>
  <c r="FQ32"/>
  <c r="CT33"/>
  <c r="CX33"/>
  <c r="DB33"/>
  <c r="DJ33"/>
  <c r="CS34"/>
  <c r="DA34"/>
  <c r="DI34"/>
  <c r="EX34"/>
  <c r="FB34"/>
  <c r="FF34"/>
  <c r="FJ34"/>
  <c r="FN34"/>
  <c r="CS35"/>
  <c r="CW35"/>
  <c r="DA35"/>
  <c r="DE35"/>
  <c r="DI35"/>
  <c r="EX35"/>
  <c r="FB35"/>
  <c r="FF35"/>
  <c r="FJ35"/>
  <c r="CQ36"/>
  <c r="CU36"/>
  <c r="CY36"/>
  <c r="DC36"/>
  <c r="DG36"/>
  <c r="DK36"/>
  <c r="CR37"/>
  <c r="CV37"/>
  <c r="CZ37"/>
  <c r="DD37"/>
  <c r="DH37"/>
  <c r="DL37"/>
  <c r="EU37"/>
  <c r="EY37"/>
  <c r="FC37"/>
  <c r="FG37"/>
  <c r="FK37"/>
  <c r="CR38"/>
  <c r="CV38"/>
  <c r="CZ38"/>
  <c r="DD38"/>
  <c r="DH38"/>
  <c r="DL38"/>
  <c r="CS39"/>
  <c r="CW39"/>
  <c r="DA39"/>
  <c r="DE39"/>
  <c r="DI39"/>
  <c r="DM39"/>
  <c r="CT40"/>
  <c r="DB40"/>
  <c r="DJ40"/>
  <c r="CQ41"/>
  <c r="CU41"/>
  <c r="CY41"/>
  <c r="DC41"/>
  <c r="DG41"/>
  <c r="DK41"/>
  <c r="CR42"/>
  <c r="CZ42"/>
  <c r="DH42"/>
  <c r="CQ43"/>
  <c r="CY43"/>
  <c r="DC43"/>
  <c r="CQ12"/>
  <c r="CU12"/>
  <c r="CY12"/>
  <c r="DC12"/>
  <c r="DG12"/>
  <c r="DK12"/>
  <c r="CR13"/>
  <c r="CV13"/>
  <c r="DD13"/>
  <c r="DH13"/>
  <c r="DL13"/>
  <c r="CS14"/>
  <c r="CW14"/>
  <c r="DA14"/>
  <c r="DE14"/>
  <c r="DI14"/>
  <c r="DM14"/>
  <c r="CT15"/>
  <c r="CX15"/>
  <c r="DB15"/>
  <c r="DJ15"/>
  <c r="CQ16"/>
  <c r="CU16"/>
  <c r="CY16"/>
  <c r="DC16"/>
  <c r="DG16"/>
  <c r="DK16"/>
  <c r="CV17"/>
  <c r="CZ17"/>
  <c r="DH17"/>
  <c r="DL17"/>
  <c r="CS18"/>
  <c r="CW18"/>
  <c r="DA18"/>
  <c r="DE18"/>
  <c r="DI18"/>
  <c r="DM18"/>
  <c r="CT19"/>
  <c r="CX19"/>
  <c r="DB19"/>
  <c r="DF19"/>
  <c r="DJ19"/>
  <c r="CQ20"/>
  <c r="CU20"/>
  <c r="CY20"/>
  <c r="DC20"/>
  <c r="DG20"/>
  <c r="DK20"/>
  <c r="CR21"/>
  <c r="CV21"/>
  <c r="CZ21"/>
  <c r="DD21"/>
  <c r="DH21"/>
  <c r="DL21"/>
  <c r="CS22"/>
  <c r="CW22"/>
  <c r="DA22"/>
  <c r="DE22"/>
  <c r="DI22"/>
  <c r="CT23"/>
  <c r="CX23"/>
  <c r="DB23"/>
  <c r="DF23"/>
  <c r="DJ23"/>
  <c r="CS24"/>
  <c r="CW24"/>
  <c r="DA24"/>
  <c r="DE24"/>
  <c r="DI24"/>
  <c r="DM24"/>
  <c r="EX24"/>
  <c r="FF24"/>
  <c r="FJ24"/>
  <c r="FN24"/>
  <c r="CQ25"/>
  <c r="CU25"/>
  <c r="CY25"/>
  <c r="DC25"/>
  <c r="DG25"/>
  <c r="DK25"/>
  <c r="CR26"/>
  <c r="CV26"/>
  <c r="CZ26"/>
  <c r="DD26"/>
  <c r="DH26"/>
  <c r="DL26"/>
  <c r="CS27"/>
  <c r="DA27"/>
  <c r="DE27"/>
  <c r="DI27"/>
  <c r="CX12"/>
  <c r="DF12"/>
  <c r="CY13"/>
  <c r="DG13"/>
  <c r="CR14"/>
  <c r="CZ14"/>
  <c r="DH14"/>
  <c r="CS15"/>
  <c r="DA15"/>
  <c r="DI15"/>
  <c r="DB16"/>
  <c r="DJ16"/>
  <c r="CU17"/>
  <c r="DC17"/>
  <c r="CV18"/>
  <c r="DD18"/>
  <c r="DL18"/>
  <c r="DE19"/>
  <c r="DM19"/>
  <c r="CX20"/>
  <c r="CQ21"/>
  <c r="CY21"/>
  <c r="DG21"/>
  <c r="CR22"/>
  <c r="CZ22"/>
  <c r="DH22"/>
  <c r="CS23"/>
  <c r="DA23"/>
  <c r="DI23"/>
  <c r="CU24"/>
  <c r="CY24"/>
  <c r="DC24"/>
  <c r="DG24"/>
  <c r="DK24"/>
  <c r="EV24"/>
  <c r="FD24"/>
  <c r="FL24"/>
  <c r="CS25"/>
  <c r="DA25"/>
  <c r="DI25"/>
  <c r="CT26"/>
  <c r="DJ26"/>
  <c r="CU27"/>
  <c r="DK27"/>
  <c r="CT28"/>
  <c r="DB28"/>
  <c r="DJ28"/>
  <c r="EU28"/>
  <c r="EZ28"/>
  <c r="FE28"/>
  <c r="FK28"/>
  <c r="FP28"/>
  <c r="CT29"/>
  <c r="CZ29"/>
  <c r="DE29"/>
  <c r="DJ29"/>
  <c r="CS30"/>
  <c r="CX30"/>
  <c r="DI30"/>
  <c r="CQ31"/>
  <c r="CV31"/>
  <c r="DB31"/>
  <c r="DG31"/>
  <c r="DL31"/>
  <c r="CS32"/>
  <c r="CV32"/>
  <c r="DA32"/>
  <c r="DD32"/>
  <c r="DI32"/>
  <c r="DL32"/>
  <c r="EV32"/>
  <c r="FB32"/>
  <c r="FG32"/>
  <c r="FL32"/>
  <c r="CQ33"/>
  <c r="CV33"/>
  <c r="DA33"/>
  <c r="DG33"/>
  <c r="DL33"/>
  <c r="CV34"/>
  <c r="CY34"/>
  <c r="DD34"/>
  <c r="DG34"/>
  <c r="DL34"/>
  <c r="EV34"/>
  <c r="FA34"/>
  <c r="FG34"/>
  <c r="FL34"/>
  <c r="CX35"/>
  <c r="DF35"/>
  <c r="EW35"/>
  <c r="FH35"/>
  <c r="FM35"/>
  <c r="CR36"/>
  <c r="CW36"/>
  <c r="DB36"/>
  <c r="DH36"/>
  <c r="DM36"/>
  <c r="CU37"/>
  <c r="CX37"/>
  <c r="DC37"/>
  <c r="DF37"/>
  <c r="EX37"/>
  <c r="FD37"/>
  <c r="FI37"/>
  <c r="FN37"/>
  <c r="CS38"/>
  <c r="CX38"/>
  <c r="DC38"/>
  <c r="DI38"/>
  <c r="CQ39"/>
  <c r="CV39"/>
  <c r="DB39"/>
  <c r="DG39"/>
  <c r="CU40"/>
  <c r="CZ40"/>
  <c r="DE40"/>
  <c r="DK40"/>
  <c r="CS41"/>
  <c r="CX41"/>
  <c r="DI41"/>
  <c r="CQ42"/>
  <c r="CW42"/>
  <c r="DM42"/>
  <c r="CS43"/>
  <c r="CX43"/>
  <c r="DA43"/>
  <c r="DF43"/>
  <c r="DJ43"/>
  <c r="EW43"/>
  <c r="FA43"/>
  <c r="FE43"/>
  <c r="FI43"/>
  <c r="FM43"/>
  <c r="FQ43"/>
  <c r="CQ44"/>
  <c r="CY44"/>
  <c r="DG44"/>
  <c r="EZ44"/>
  <c r="FH44"/>
  <c r="FL44"/>
  <c r="FP44"/>
  <c r="CR45"/>
  <c r="CV45"/>
  <c r="DD45"/>
  <c r="DH45"/>
  <c r="DL45"/>
  <c r="CS46"/>
  <c r="CW46"/>
  <c r="DA46"/>
  <c r="DE46"/>
  <c r="DI46"/>
  <c r="DM46"/>
  <c r="CT47"/>
  <c r="CX47"/>
  <c r="DB47"/>
  <c r="DF47"/>
  <c r="DJ47"/>
  <c r="CS48"/>
  <c r="CW48"/>
  <c r="DA48"/>
  <c r="DE48"/>
  <c r="DI48"/>
  <c r="DM48"/>
  <c r="EX48"/>
  <c r="FB48"/>
  <c r="FF48"/>
  <c r="FJ48"/>
  <c r="FN48"/>
  <c r="CQ49"/>
  <c r="CU49"/>
  <c r="CY49"/>
  <c r="DC49"/>
  <c r="DG49"/>
  <c r="DK49"/>
  <c r="CR50"/>
  <c r="CV50"/>
  <c r="CZ50"/>
  <c r="DD50"/>
  <c r="DH50"/>
  <c r="DL50"/>
  <c r="EU50"/>
  <c r="EY50"/>
  <c r="FC50"/>
  <c r="FG50"/>
  <c r="FK50"/>
  <c r="FO50"/>
  <c r="CR51"/>
  <c r="CV51"/>
  <c r="CZ51"/>
  <c r="DD51"/>
  <c r="DH51"/>
  <c r="DL51"/>
  <c r="CQ52"/>
  <c r="CT12"/>
  <c r="DB12"/>
  <c r="DJ12"/>
  <c r="CU13"/>
  <c r="DC13"/>
  <c r="DK13"/>
  <c r="CV14"/>
  <c r="DD14"/>
  <c r="DL14"/>
  <c r="CW15"/>
  <c r="DE15"/>
  <c r="DM15"/>
  <c r="CX16"/>
  <c r="DF16"/>
  <c r="CQ17"/>
  <c r="CY17"/>
  <c r="DG17"/>
  <c r="CR18"/>
  <c r="CZ18"/>
  <c r="DH18"/>
  <c r="CS19"/>
  <c r="DA19"/>
  <c r="DI19"/>
  <c r="DB20"/>
  <c r="DJ20"/>
  <c r="CU21"/>
  <c r="DC21"/>
  <c r="DK21"/>
  <c r="CV22"/>
  <c r="DD22"/>
  <c r="DL22"/>
  <c r="CW23"/>
  <c r="DE23"/>
  <c r="DM23"/>
  <c r="CT24"/>
  <c r="DB24"/>
  <c r="DF24"/>
  <c r="DJ24"/>
  <c r="EZ24"/>
  <c r="FH24"/>
  <c r="FP24"/>
  <c r="CW25"/>
  <c r="DE25"/>
  <c r="DM25"/>
  <c r="CX26"/>
  <c r="DF26"/>
  <c r="CQ27"/>
  <c r="CY27"/>
  <c r="DG27"/>
  <c r="CX28"/>
  <c r="DF28"/>
  <c r="EW28"/>
  <c r="FC28"/>
  <c r="FH28"/>
  <c r="FM28"/>
  <c r="CR29"/>
  <c r="CW29"/>
  <c r="DB29"/>
  <c r="DH29"/>
  <c r="DA30"/>
  <c r="DF30"/>
  <c r="CT31"/>
  <c r="CY31"/>
  <c r="DD31"/>
  <c r="DJ31"/>
  <c r="CR32"/>
  <c r="CW32"/>
  <c r="CZ32"/>
  <c r="DE32"/>
  <c r="DH32"/>
  <c r="DM32"/>
  <c r="FD32"/>
  <c r="FJ32"/>
  <c r="FO32"/>
  <c r="CS33"/>
  <c r="CY33"/>
  <c r="DD33"/>
  <c r="DI33"/>
  <c r="CR34"/>
  <c r="CU34"/>
  <c r="CZ34"/>
  <c r="DC34"/>
  <c r="DH34"/>
  <c r="DK34"/>
  <c r="EY34"/>
  <c r="FD34"/>
  <c r="FO34"/>
  <c r="CT35"/>
  <c r="DB35"/>
  <c r="DJ35"/>
  <c r="EU35"/>
  <c r="EZ35"/>
  <c r="FE35"/>
  <c r="FK35"/>
  <c r="FP35"/>
  <c r="CT36"/>
  <c r="CZ36"/>
  <c r="DE36"/>
  <c r="DJ36"/>
  <c r="CQ37"/>
  <c r="CT37"/>
  <c r="CY37"/>
  <c r="DB37"/>
  <c r="DG37"/>
  <c r="DJ37"/>
  <c r="EV37"/>
  <c r="FA37"/>
  <c r="FF37"/>
  <c r="FL37"/>
  <c r="CU38"/>
  <c r="DA38"/>
  <c r="DF38"/>
  <c r="DK38"/>
  <c r="CT39"/>
  <c r="DJ39"/>
  <c r="CW40"/>
  <c r="DC40"/>
  <c r="DH40"/>
  <c r="DM40"/>
  <c r="DA41"/>
  <c r="DF41"/>
  <c r="CT42"/>
  <c r="CY42"/>
  <c r="DE42"/>
  <c r="DJ42"/>
  <c r="CT43"/>
  <c r="CW43"/>
  <c r="DB43"/>
  <c r="DE43"/>
  <c r="DH43"/>
  <c r="DL43"/>
  <c r="EU43"/>
  <c r="FC43"/>
  <c r="FG43"/>
  <c r="FK43"/>
  <c r="FO43"/>
  <c r="CS44"/>
  <c r="CW44"/>
  <c r="DA44"/>
  <c r="DE44"/>
  <c r="DI44"/>
  <c r="DM44"/>
  <c r="EX44"/>
  <c r="FB44"/>
  <c r="FF44"/>
  <c r="FJ44"/>
  <c r="FN44"/>
  <c r="CT45"/>
  <c r="CX45"/>
  <c r="DB45"/>
  <c r="DF45"/>
  <c r="CQ46"/>
  <c r="CU46"/>
  <c r="CY46"/>
  <c r="DC46"/>
  <c r="DG46"/>
  <c r="DK46"/>
  <c r="CR47"/>
  <c r="CV47"/>
  <c r="CZ47"/>
  <c r="DD47"/>
  <c r="DH47"/>
  <c r="DL47"/>
  <c r="CQ48"/>
  <c r="CU48"/>
  <c r="CY48"/>
  <c r="DC48"/>
  <c r="DG48"/>
  <c r="DK48"/>
  <c r="EV48"/>
  <c r="EZ48"/>
  <c r="FD48"/>
  <c r="FH48"/>
  <c r="FL48"/>
  <c r="FP48"/>
  <c r="CS49"/>
  <c r="CW49"/>
  <c r="DA49"/>
  <c r="DE49"/>
  <c r="DI49"/>
  <c r="DM49"/>
  <c r="CT50"/>
  <c r="CX50"/>
  <c r="DB50"/>
  <c r="DF50"/>
  <c r="DJ50"/>
  <c r="EW50"/>
  <c r="FA50"/>
  <c r="FE50"/>
  <c r="FI50"/>
  <c r="FM50"/>
  <c r="FQ50"/>
  <c r="CT51"/>
  <c r="CX51"/>
  <c r="DB51"/>
  <c r="DF51"/>
  <c r="DJ51"/>
  <c r="CS52"/>
  <c r="CW52"/>
  <c r="DA52"/>
  <c r="DE52"/>
  <c r="DI52"/>
  <c r="DM52"/>
  <c r="EX52"/>
  <c r="FB52"/>
  <c r="FF52"/>
  <c r="FJ52"/>
  <c r="FN52"/>
  <c r="CS53"/>
  <c r="CW53"/>
  <c r="DA53"/>
  <c r="DE53"/>
  <c r="DI53"/>
  <c r="DM53"/>
  <c r="EX53"/>
  <c r="FB53"/>
  <c r="FF53"/>
  <c r="FJ53"/>
  <c r="FN53"/>
  <c r="CS54"/>
  <c r="CW54"/>
  <c r="DA54"/>
  <c r="DE54"/>
  <c r="DI54"/>
  <c r="DM54"/>
  <c r="EX54"/>
  <c r="FB54"/>
  <c r="FF54"/>
  <c r="FJ54"/>
  <c r="FN54"/>
  <c r="CQ55"/>
  <c r="CU55"/>
  <c r="CY55"/>
  <c r="DC55"/>
  <c r="DG55"/>
  <c r="DK55"/>
  <c r="CR56"/>
  <c r="CV56"/>
  <c r="CZ56"/>
  <c r="DD56"/>
  <c r="DH56"/>
  <c r="DL56"/>
  <c r="EU56"/>
  <c r="EY56"/>
  <c r="FC56"/>
  <c r="FG56"/>
  <c r="FK56"/>
  <c r="FO56"/>
  <c r="CR57"/>
  <c r="CV57"/>
  <c r="CZ57"/>
  <c r="DD57"/>
  <c r="DH57"/>
  <c r="DL57"/>
  <c r="EU57"/>
  <c r="EY57"/>
  <c r="FC57"/>
  <c r="FG57"/>
  <c r="FK57"/>
  <c r="FO57"/>
  <c r="CR58"/>
  <c r="CV58"/>
  <c r="CZ58"/>
  <c r="DD58"/>
  <c r="DH58"/>
  <c r="DL58"/>
  <c r="EU58"/>
  <c r="EY58"/>
  <c r="FC58"/>
  <c r="FG58"/>
  <c r="FK58"/>
  <c r="FO58"/>
  <c r="CR59"/>
  <c r="CV59"/>
  <c r="CZ59"/>
  <c r="DD59"/>
  <c r="DH59"/>
  <c r="DL59"/>
  <c r="DE12"/>
  <c r="CX13"/>
  <c r="DG14"/>
  <c r="CZ15"/>
  <c r="CS16"/>
  <c r="DI16"/>
  <c r="DB17"/>
  <c r="CU18"/>
  <c r="DK18"/>
  <c r="DD19"/>
  <c r="CW20"/>
  <c r="DF21"/>
  <c r="CY22"/>
  <c r="CR23"/>
  <c r="DH23"/>
  <c r="EW24"/>
  <c r="FM24"/>
  <c r="DB25"/>
  <c r="CU26"/>
  <c r="DK26"/>
  <c r="CV28"/>
  <c r="DC28"/>
  <c r="DL28"/>
  <c r="EY28"/>
  <c r="FI28"/>
  <c r="CS29"/>
  <c r="DD29"/>
  <c r="CQ30"/>
  <c r="DB30"/>
  <c r="CZ31"/>
  <c r="DK31"/>
  <c r="DC32"/>
  <c r="DK32"/>
  <c r="EU32"/>
  <c r="FF32"/>
  <c r="FP32"/>
  <c r="CZ33"/>
  <c r="DK33"/>
  <c r="FE34"/>
  <c r="FP34"/>
  <c r="CU35"/>
  <c r="DD35"/>
  <c r="DK35"/>
  <c r="FD35"/>
  <c r="FO35"/>
  <c r="CX36"/>
  <c r="DI36"/>
  <c r="EW37"/>
  <c r="FH37"/>
  <c r="CQ38"/>
  <c r="DM38"/>
  <c r="CZ39"/>
  <c r="DK39"/>
  <c r="CY40"/>
  <c r="DI40"/>
  <c r="CW41"/>
  <c r="DF42"/>
  <c r="DG43"/>
  <c r="DI43"/>
  <c r="DK43"/>
  <c r="DM43"/>
  <c r="FB43"/>
  <c r="FJ43"/>
  <c r="CT44"/>
  <c r="CV44"/>
  <c r="CX44"/>
  <c r="DB44"/>
  <c r="DD44"/>
  <c r="DF44"/>
  <c r="DH44"/>
  <c r="DJ44"/>
  <c r="DL44"/>
  <c r="EW44"/>
  <c r="FE44"/>
  <c r="FM44"/>
  <c r="CY45"/>
  <c r="CR46"/>
  <c r="CZ46"/>
  <c r="DH46"/>
  <c r="CS47"/>
  <c r="DA47"/>
  <c r="DI47"/>
  <c r="FA48"/>
  <c r="FI48"/>
  <c r="FQ48"/>
  <c r="CX49"/>
  <c r="DF49"/>
  <c r="EZ50"/>
  <c r="FH50"/>
  <c r="FP50"/>
  <c r="CW51"/>
  <c r="DE51"/>
  <c r="DM51"/>
  <c r="CR52"/>
  <c r="CU52"/>
  <c r="CZ52"/>
  <c r="DC52"/>
  <c r="DH52"/>
  <c r="DK52"/>
  <c r="EY52"/>
  <c r="FD52"/>
  <c r="FI52"/>
  <c r="FO52"/>
  <c r="CT53"/>
  <c r="DB53"/>
  <c r="DJ53"/>
  <c r="EU53"/>
  <c r="EZ53"/>
  <c r="FE53"/>
  <c r="FK53"/>
  <c r="FP53"/>
  <c r="CQ54"/>
  <c r="CV54"/>
  <c r="CY54"/>
  <c r="DD54"/>
  <c r="DG54"/>
  <c r="DL54"/>
  <c r="EV54"/>
  <c r="FA54"/>
  <c r="FG54"/>
  <c r="FL54"/>
  <c r="FQ54"/>
  <c r="CV55"/>
  <c r="DA55"/>
  <c r="DF55"/>
  <c r="DL55"/>
  <c r="CS56"/>
  <c r="DA56"/>
  <c r="DI56"/>
  <c r="EW56"/>
  <c r="FB56"/>
  <c r="FH56"/>
  <c r="FM56"/>
  <c r="CW57"/>
  <c r="DE57"/>
  <c r="DM57"/>
  <c r="EZ57"/>
  <c r="FE57"/>
  <c r="FJ57"/>
  <c r="FP57"/>
  <c r="CS58"/>
  <c r="DA58"/>
  <c r="DI58"/>
  <c r="EW58"/>
  <c r="FB58"/>
  <c r="FH58"/>
  <c r="FM58"/>
  <c r="CQ59"/>
  <c r="CW59"/>
  <c r="DB59"/>
  <c r="DG59"/>
  <c r="DM59"/>
  <c r="CV60"/>
  <c r="CZ60"/>
  <c r="DD60"/>
  <c r="DH60"/>
  <c r="DL60"/>
  <c r="EV60"/>
  <c r="EZ60"/>
  <c r="FD60"/>
  <c r="FH60"/>
  <c r="FL60"/>
  <c r="FP60"/>
  <c r="CS61"/>
  <c r="CW61"/>
  <c r="DA61"/>
  <c r="DE61"/>
  <c r="DI61"/>
  <c r="DM61"/>
  <c r="CT62"/>
  <c r="CX62"/>
  <c r="DB62"/>
  <c r="DF62"/>
  <c r="DJ62"/>
  <c r="CQ63"/>
  <c r="CU63"/>
  <c r="CY63"/>
  <c r="DC63"/>
  <c r="DG63"/>
  <c r="DK63"/>
  <c r="CR64"/>
  <c r="CV64"/>
  <c r="CZ64"/>
  <c r="DD64"/>
  <c r="DH64"/>
  <c r="DL64"/>
  <c r="CS65"/>
  <c r="CW65"/>
  <c r="DA65"/>
  <c r="DE65"/>
  <c r="DI65"/>
  <c r="DM65"/>
  <c r="CT66"/>
  <c r="CX66"/>
  <c r="DB66"/>
  <c r="DF66"/>
  <c r="DJ66"/>
  <c r="CQ67"/>
  <c r="CU67"/>
  <c r="CY67"/>
  <c r="DC67"/>
  <c r="DG67"/>
  <c r="DK67"/>
  <c r="CR68"/>
  <c r="CV68"/>
  <c r="CZ68"/>
  <c r="DD68"/>
  <c r="DH68"/>
  <c r="DL68"/>
  <c r="CS69"/>
  <c r="CW69"/>
  <c r="DA69"/>
  <c r="DE69"/>
  <c r="DI69"/>
  <c r="DM69"/>
  <c r="CT70"/>
  <c r="CX70"/>
  <c r="DB70"/>
  <c r="DF70"/>
  <c r="DJ70"/>
  <c r="CQ71"/>
  <c r="CU71"/>
  <c r="CY71"/>
  <c r="DC71"/>
  <c r="DG71"/>
  <c r="DK71"/>
  <c r="CR72"/>
  <c r="CV72"/>
  <c r="CZ72"/>
  <c r="DD72"/>
  <c r="DH72"/>
  <c r="DL72"/>
  <c r="CS73"/>
  <c r="CW73"/>
  <c r="DA73"/>
  <c r="DE73"/>
  <c r="DI73"/>
  <c r="DM73"/>
  <c r="CT74"/>
  <c r="CX74"/>
  <c r="DB74"/>
  <c r="DF74"/>
  <c r="DJ74"/>
  <c r="CQ75"/>
  <c r="CU75"/>
  <c r="CY75"/>
  <c r="DC75"/>
  <c r="DG75"/>
  <c r="DK75"/>
  <c r="CR11"/>
  <c r="CV11"/>
  <c r="CZ11"/>
  <c r="DD11"/>
  <c r="DH11"/>
  <c r="DL11"/>
  <c r="EW12"/>
  <c r="FA12"/>
  <c r="FE12"/>
  <c r="FI12"/>
  <c r="FM12"/>
  <c r="FQ12"/>
  <c r="EY13"/>
  <c r="FC13"/>
  <c r="FG13"/>
  <c r="FK13"/>
  <c r="FO13"/>
  <c r="EV14"/>
  <c r="EZ14"/>
  <c r="FD14"/>
  <c r="FH14"/>
  <c r="FL14"/>
  <c r="FP14"/>
  <c r="EW15"/>
  <c r="FA15"/>
  <c r="FE15"/>
  <c r="FI15"/>
  <c r="FM15"/>
  <c r="FQ15"/>
  <c r="FB16"/>
  <c r="FF16"/>
  <c r="FJ16"/>
  <c r="FN16"/>
  <c r="EU17"/>
  <c r="EY17"/>
  <c r="FC17"/>
  <c r="FG17"/>
  <c r="FK17"/>
  <c r="EV18"/>
  <c r="EZ18"/>
  <c r="FD18"/>
  <c r="FH18"/>
  <c r="FL18"/>
  <c r="FP18"/>
  <c r="EW19"/>
  <c r="FE19"/>
  <c r="CW12"/>
  <c r="DM12"/>
  <c r="DF13"/>
  <c r="CY14"/>
  <c r="CR15"/>
  <c r="DH15"/>
  <c r="DA16"/>
  <c r="CT17"/>
  <c r="DJ17"/>
  <c r="DC18"/>
  <c r="CV19"/>
  <c r="DL19"/>
  <c r="DE20"/>
  <c r="CX21"/>
  <c r="CQ22"/>
  <c r="DG22"/>
  <c r="CZ23"/>
  <c r="FE24"/>
  <c r="CT25"/>
  <c r="DJ25"/>
  <c r="DC26"/>
  <c r="DL27"/>
  <c r="CU28"/>
  <c r="DD28"/>
  <c r="DK28"/>
  <c r="FD28"/>
  <c r="FO28"/>
  <c r="CX29"/>
  <c r="DI29"/>
  <c r="CW30"/>
  <c r="DG30"/>
  <c r="CU31"/>
  <c r="DF31"/>
  <c r="CQ32"/>
  <c r="EZ32"/>
  <c r="CU33"/>
  <c r="DE33"/>
  <c r="EZ34"/>
  <c r="FK34"/>
  <c r="CV35"/>
  <c r="DC35"/>
  <c r="DL35"/>
  <c r="EY35"/>
  <c r="FI35"/>
  <c r="CS36"/>
  <c r="DD36"/>
  <c r="FB37"/>
  <c r="FM37"/>
  <c r="CW38"/>
  <c r="DG38"/>
  <c r="CU39"/>
  <c r="DF39"/>
  <c r="CS40"/>
  <c r="DD40"/>
  <c r="DM41"/>
  <c r="DA42"/>
  <c r="DK42"/>
  <c r="EX43"/>
  <c r="FF43"/>
  <c r="FN43"/>
  <c r="FA44"/>
  <c r="FI44"/>
  <c r="FQ44"/>
  <c r="CV46"/>
  <c r="DD46"/>
  <c r="DL46"/>
  <c r="CW47"/>
  <c r="DE47"/>
  <c r="DM47"/>
  <c r="CR48"/>
  <c r="CT48"/>
  <c r="CV48"/>
  <c r="CX48"/>
  <c r="CZ48"/>
  <c r="DB48"/>
  <c r="DD48"/>
  <c r="DF48"/>
  <c r="DH48"/>
  <c r="DJ48"/>
  <c r="DL48"/>
  <c r="EW48"/>
  <c r="FE48"/>
  <c r="FM48"/>
  <c r="CT49"/>
  <c r="DB49"/>
  <c r="DJ49"/>
  <c r="EV50"/>
  <c r="FD50"/>
  <c r="FL50"/>
  <c r="CS51"/>
  <c r="DA51"/>
  <c r="DI51"/>
  <c r="CV52"/>
  <c r="CY52"/>
  <c r="DD52"/>
  <c r="DG52"/>
  <c r="DL52"/>
  <c r="EV52"/>
  <c r="FA52"/>
  <c r="FG52"/>
  <c r="FL52"/>
  <c r="FQ52"/>
  <c r="CX53"/>
  <c r="DF53"/>
  <c r="EW53"/>
  <c r="FC53"/>
  <c r="FH53"/>
  <c r="FM53"/>
  <c r="CR54"/>
  <c r="CU54"/>
  <c r="CZ54"/>
  <c r="DC54"/>
  <c r="DH54"/>
  <c r="DK54"/>
  <c r="EY54"/>
  <c r="FD54"/>
  <c r="FI54"/>
  <c r="FO54"/>
  <c r="CS55"/>
  <c r="CX55"/>
  <c r="DD55"/>
  <c r="DI55"/>
  <c r="CW56"/>
  <c r="DE56"/>
  <c r="DM56"/>
  <c r="EZ56"/>
  <c r="FE56"/>
  <c r="FJ56"/>
  <c r="FP56"/>
  <c r="CS57"/>
  <c r="DA57"/>
  <c r="DI57"/>
  <c r="EW57"/>
  <c r="FB57"/>
  <c r="FH57"/>
  <c r="FM57"/>
  <c r="CW58"/>
  <c r="DE58"/>
  <c r="DM58"/>
  <c r="EZ58"/>
  <c r="FE58"/>
  <c r="FJ58"/>
  <c r="FP58"/>
  <c r="CT59"/>
  <c r="CY59"/>
  <c r="DE59"/>
  <c r="DJ59"/>
  <c r="CR60"/>
  <c r="CT60"/>
  <c r="CX60"/>
  <c r="DB60"/>
  <c r="DF60"/>
  <c r="DJ60"/>
  <c r="EX60"/>
  <c r="FB60"/>
  <c r="FF60"/>
  <c r="FJ60"/>
  <c r="FN60"/>
  <c r="CQ61"/>
  <c r="CU61"/>
  <c r="CY61"/>
  <c r="DC61"/>
  <c r="DG61"/>
  <c r="DK61"/>
  <c r="CR62"/>
  <c r="CV62"/>
  <c r="CZ62"/>
  <c r="DD62"/>
  <c r="DH62"/>
  <c r="DL62"/>
  <c r="CS63"/>
  <c r="CW63"/>
  <c r="DA63"/>
  <c r="DE63"/>
  <c r="DI63"/>
  <c r="DM63"/>
  <c r="CT64"/>
  <c r="CX64"/>
  <c r="DB64"/>
  <c r="DF64"/>
  <c r="DJ64"/>
  <c r="CQ65"/>
  <c r="CU65"/>
  <c r="CY65"/>
  <c r="DC65"/>
  <c r="DG65"/>
  <c r="DK65"/>
  <c r="CR66"/>
  <c r="CV66"/>
  <c r="CZ66"/>
  <c r="DD66"/>
  <c r="DH66"/>
  <c r="DL66"/>
  <c r="CS67"/>
  <c r="CW67"/>
  <c r="DA67"/>
  <c r="DE67"/>
  <c r="DI67"/>
  <c r="DM67"/>
  <c r="CT68"/>
  <c r="CX68"/>
  <c r="DB68"/>
  <c r="DF68"/>
  <c r="DJ68"/>
  <c r="CQ69"/>
  <c r="CU69"/>
  <c r="CY69"/>
  <c r="DC69"/>
  <c r="DG69"/>
  <c r="DK69"/>
  <c r="CR70"/>
  <c r="CV70"/>
  <c r="CZ70"/>
  <c r="DD70"/>
  <c r="DH70"/>
  <c r="DL70"/>
  <c r="CS71"/>
  <c r="CW71"/>
  <c r="DA71"/>
  <c r="DE71"/>
  <c r="DI71"/>
  <c r="DM71"/>
  <c r="CT72"/>
  <c r="CX72"/>
  <c r="DB72"/>
  <c r="DF72"/>
  <c r="DJ72"/>
  <c r="CQ73"/>
  <c r="CU73"/>
  <c r="CY73"/>
  <c r="DC73"/>
  <c r="DG73"/>
  <c r="DK73"/>
  <c r="CR74"/>
  <c r="CV74"/>
  <c r="CZ74"/>
  <c r="DD74"/>
  <c r="DH74"/>
  <c r="DL74"/>
  <c r="CS75"/>
  <c r="CW75"/>
  <c r="DA75"/>
  <c r="DE75"/>
  <c r="DI75"/>
  <c r="DM75"/>
  <c r="CT11"/>
  <c r="CX11"/>
  <c r="DB11"/>
  <c r="DJ11"/>
  <c r="EU12"/>
  <c r="EY12"/>
  <c r="FC12"/>
  <c r="FG12"/>
  <c r="FK12"/>
  <c r="FO12"/>
  <c r="EW13"/>
  <c r="FA13"/>
  <c r="FE13"/>
  <c r="FI13"/>
  <c r="FM13"/>
  <c r="FQ13"/>
  <c r="EX14"/>
  <c r="FB14"/>
  <c r="FF14"/>
  <c r="FJ14"/>
  <c r="FN14"/>
  <c r="EU15"/>
  <c r="EY15"/>
  <c r="FC15"/>
  <c r="FG15"/>
  <c r="FK15"/>
  <c r="FO15"/>
  <c r="EV16"/>
  <c r="EZ16"/>
  <c r="FD16"/>
  <c r="FL16"/>
  <c r="FP16"/>
  <c r="EW17"/>
  <c r="FA17"/>
  <c r="FE17"/>
  <c r="FI17"/>
  <c r="FM17"/>
  <c r="FQ17"/>
  <c r="EX18"/>
  <c r="FB18"/>
  <c r="FF18"/>
  <c r="FN18"/>
  <c r="EU19"/>
  <c r="EY19"/>
  <c r="FC19"/>
  <c r="FG19"/>
  <c r="FK19"/>
  <c r="FO19"/>
  <c r="EZ20"/>
  <c r="FD20"/>
  <c r="FH20"/>
  <c r="FL20"/>
  <c r="FP20"/>
  <c r="EW21"/>
  <c r="FE21"/>
  <c r="FI21"/>
  <c r="FM21"/>
  <c r="FB22"/>
  <c r="FF22"/>
  <c r="FJ22"/>
  <c r="EU23"/>
  <c r="EY23"/>
  <c r="FC23"/>
  <c r="FG23"/>
  <c r="FK23"/>
  <c r="FO23"/>
  <c r="EZ25"/>
  <c r="FD25"/>
  <c r="FH25"/>
  <c r="FP25"/>
  <c r="EW26"/>
  <c r="FA26"/>
  <c r="FE26"/>
  <c r="FI26"/>
  <c r="FM26"/>
  <c r="EX27"/>
  <c r="FB27"/>
  <c r="FF27"/>
  <c r="FJ27"/>
  <c r="FN27"/>
  <c r="EU29"/>
  <c r="EY29"/>
  <c r="FC29"/>
  <c r="FG29"/>
  <c r="FK29"/>
  <c r="FO29"/>
  <c r="EV30"/>
  <c r="EZ30"/>
  <c r="FH30"/>
  <c r="FL30"/>
  <c r="FP30"/>
  <c r="EW31"/>
  <c r="FE31"/>
  <c r="FQ31"/>
  <c r="EX33"/>
  <c r="FB33"/>
  <c r="FF33"/>
  <c r="FN33"/>
  <c r="EU36"/>
  <c r="EY36"/>
  <c r="FC36"/>
  <c r="FG36"/>
  <c r="FK36"/>
  <c r="FO36"/>
  <c r="EV38"/>
  <c r="EZ38"/>
  <c r="FD38"/>
  <c r="FH38"/>
  <c r="FL38"/>
  <c r="FP38"/>
  <c r="EW39"/>
  <c r="FA39"/>
  <c r="FE39"/>
  <c r="FI39"/>
  <c r="FM39"/>
  <c r="FQ39"/>
  <c r="EX40"/>
  <c r="FF40"/>
  <c r="FN40"/>
  <c r="EU41"/>
  <c r="EY41"/>
  <c r="FC41"/>
  <c r="FG41"/>
  <c r="FK41"/>
  <c r="FO41"/>
  <c r="EV42"/>
  <c r="FD42"/>
  <c r="FL42"/>
  <c r="FA11"/>
  <c r="FE11"/>
  <c r="FI11"/>
  <c r="FM11"/>
  <c r="FQ11"/>
  <c r="A41" i="51"/>
  <c r="A37"/>
  <c r="A33"/>
  <c r="A29"/>
  <c r="A25"/>
  <c r="A21"/>
  <c r="A17"/>
  <c r="A13"/>
  <c r="H78" i="1"/>
  <c r="A39" i="51"/>
  <c r="A35"/>
  <c r="A31"/>
  <c r="A27"/>
  <c r="A23"/>
  <c r="A19"/>
  <c r="A15"/>
  <c r="A11"/>
  <c r="L6" i="40"/>
  <c r="L6" i="43"/>
  <c r="L6" i="38"/>
  <c r="L6" i="41"/>
  <c r="M6" i="53"/>
  <c r="L6" i="36"/>
  <c r="L6" i="39"/>
  <c r="M6" i="54"/>
  <c r="L6" i="37"/>
  <c r="L6" i="55"/>
  <c r="L6" i="42"/>
  <c r="I1" i="34"/>
  <c r="FL27" i="1" l="1"/>
  <c r="FK45"/>
  <c r="FH42"/>
  <c r="FI31"/>
  <c r="CR41"/>
  <c r="CQ45"/>
  <c r="DH41"/>
  <c r="CR40"/>
  <c r="CZ13"/>
  <c r="DL42"/>
  <c r="CV42"/>
  <c r="DE34"/>
  <c r="CR20"/>
  <c r="DF18"/>
  <c r="DD16"/>
  <c r="FG30"/>
  <c r="CZ41"/>
  <c r="FA31"/>
  <c r="DD39"/>
  <c r="DM29"/>
  <c r="DD17"/>
  <c r="DM34"/>
  <c r="BB44" i="57"/>
  <c r="BB32"/>
  <c r="BB25"/>
  <c r="BB49"/>
  <c r="FQ22" i="1"/>
  <c r="BB24" i="57"/>
  <c r="BB40"/>
  <c r="BB33"/>
  <c r="FK32" i="1"/>
  <c r="EX16"/>
  <c r="CZ44"/>
  <c r="CR44"/>
  <c r="CU42"/>
  <c r="DB38"/>
  <c r="DD27"/>
  <c r="CQ14"/>
  <c r="DK44"/>
  <c r="CU44"/>
  <c r="DL39"/>
  <c r="FB24"/>
  <c r="CX40"/>
  <c r="CZ30"/>
  <c r="DM26"/>
  <c r="FA27"/>
  <c r="DM37"/>
  <c r="BB50" i="57"/>
  <c r="FD27" i="1"/>
  <c r="FQ30"/>
  <c r="CR27"/>
  <c r="BB12" i="57"/>
  <c r="BB46"/>
  <c r="BB16"/>
  <c r="BB38"/>
  <c r="FJ33" i="1"/>
  <c r="FL25"/>
  <c r="EV25"/>
  <c r="DC45"/>
  <c r="FA19"/>
  <c r="FO17"/>
  <c r="EU13"/>
  <c r="DM20"/>
  <c r="DJ45"/>
  <c r="EY43"/>
  <c r="DL41"/>
  <c r="DK30"/>
  <c r="DC44"/>
  <c r="DG42"/>
  <c r="DB26"/>
  <c r="DF40"/>
  <c r="FO37"/>
  <c r="EV17"/>
  <c r="FJ15"/>
  <c r="EY30"/>
  <c r="CU22"/>
  <c r="BB45" i="57"/>
  <c r="BB27"/>
  <c r="BB31"/>
  <c r="BB51"/>
  <c r="BB41"/>
  <c r="FC38" i="1"/>
  <c r="EZ41"/>
  <c r="CT38"/>
  <c r="CR19"/>
  <c r="BB28" i="57"/>
  <c r="BB42"/>
  <c r="EW11" i="1"/>
  <c r="DK45"/>
  <c r="DB41"/>
  <c r="EU34"/>
  <c r="CU32"/>
  <c r="DB42"/>
  <c r="DD41"/>
  <c r="FC35"/>
  <c r="DC27"/>
  <c r="CQ24"/>
  <c r="DM35"/>
  <c r="BB30" i="57"/>
  <c r="BB23"/>
  <c r="BB19"/>
  <c r="BB35"/>
  <c r="BB17"/>
  <c r="BB13"/>
  <c r="EV28" i="1"/>
  <c r="FQ27"/>
  <c r="BB11" i="57"/>
  <c r="FK26" i="1"/>
  <c r="EX20"/>
  <c r="CZ19"/>
  <c r="BB47" i="57"/>
  <c r="EZ27" i="1"/>
  <c r="FL19"/>
  <c r="DJ38"/>
  <c r="BB22" i="57"/>
  <c r="EY45" i="1"/>
  <c r="BB20" i="57"/>
  <c r="BB52"/>
  <c r="BB48"/>
  <c r="BB18"/>
  <c r="BB37"/>
  <c r="FM31" i="1"/>
  <c r="DF11"/>
  <c r="BB34" i="57"/>
  <c r="BB21"/>
  <c r="BB39"/>
  <c r="BB29"/>
  <c r="BB26"/>
  <c r="DM33" i="1"/>
  <c r="BB15" i="57"/>
  <c r="FH23" i="1"/>
  <c r="BB36" i="57"/>
  <c r="BB14"/>
  <c r="BB43"/>
  <c r="E3" i="51"/>
  <c r="J6" i="54"/>
  <c r="C6"/>
  <c r="C6" i="41"/>
  <c r="J6"/>
  <c r="J6" i="37"/>
  <c r="C6"/>
  <c r="C6" i="53"/>
  <c r="J6"/>
  <c r="J6" i="40"/>
  <c r="C6"/>
  <c r="J6" i="55"/>
  <c r="C6"/>
  <c r="C6" i="36"/>
  <c r="J6"/>
  <c r="J6" i="43"/>
  <c r="C6"/>
  <c r="J6" i="42"/>
  <c r="C6"/>
  <c r="J6" i="39"/>
  <c r="C6"/>
  <c r="C6" i="38"/>
  <c r="J6"/>
  <c r="AJ7" i="1" l="1"/>
  <c r="N7" i="51"/>
  <c r="B20" i="53"/>
  <c r="B27"/>
  <c r="B30"/>
  <c r="B32"/>
  <c r="B33"/>
  <c r="B37"/>
  <c r="B38"/>
  <c r="B42"/>
  <c r="B50"/>
  <c r="A50" s="1"/>
  <c r="B56"/>
  <c r="A56" s="1"/>
  <c r="B19"/>
  <c r="B23"/>
  <c r="B26"/>
  <c r="B28"/>
  <c r="B29"/>
  <c r="B34"/>
  <c r="B41"/>
  <c r="B43"/>
  <c r="B44"/>
  <c r="B48"/>
  <c r="B51"/>
  <c r="A51" s="1"/>
  <c r="B54"/>
  <c r="A54" s="1"/>
  <c r="B60"/>
  <c r="A60" s="1"/>
  <c r="B24"/>
  <c r="B31"/>
  <c r="B39"/>
  <c r="B46"/>
  <c r="A46" s="1"/>
  <c r="B53"/>
  <c r="A53" s="1"/>
  <c r="B57"/>
  <c r="A57" s="1"/>
  <c r="B64"/>
  <c r="A64" s="1"/>
  <c r="B68"/>
  <c r="A68" s="1"/>
  <c r="B72"/>
  <c r="B25"/>
  <c r="B35"/>
  <c r="B40"/>
  <c r="B45"/>
  <c r="B47"/>
  <c r="A47" s="1"/>
  <c r="B49"/>
  <c r="A49" s="1"/>
  <c r="B55"/>
  <c r="A55" s="1"/>
  <c r="B59"/>
  <c r="A59" s="1"/>
  <c r="B62"/>
  <c r="A62" s="1"/>
  <c r="B67"/>
  <c r="A67" s="1"/>
  <c r="B73"/>
  <c r="A73" s="1"/>
  <c r="B18"/>
  <c r="B22"/>
  <c r="B52"/>
  <c r="A52" s="1"/>
  <c r="B58"/>
  <c r="A58" s="1"/>
  <c r="B63"/>
  <c r="A63" s="1"/>
  <c r="B70"/>
  <c r="A70" s="1"/>
  <c r="P6" i="51"/>
  <c r="B17" i="53"/>
  <c r="B21"/>
  <c r="B61"/>
  <c r="B69"/>
  <c r="A69" s="1"/>
  <c r="B75"/>
  <c r="A75" s="1"/>
  <c r="A66"/>
  <c r="B71"/>
  <c r="A71" s="1"/>
  <c r="A61"/>
  <c r="AR6" i="1"/>
  <c r="B14" i="53"/>
  <c r="B36"/>
  <c r="B65"/>
  <c r="A65" s="1"/>
  <c r="B12"/>
  <c r="B16"/>
  <c r="B15"/>
  <c r="B74"/>
  <c r="A74" s="1"/>
  <c r="B11"/>
  <c r="A48"/>
  <c r="B66"/>
  <c r="B13"/>
  <c r="A72"/>
  <c r="B13" i="38"/>
  <c r="B17"/>
  <c r="B21"/>
  <c r="B31"/>
  <c r="B35"/>
  <c r="B36"/>
  <c r="B39"/>
  <c r="B45"/>
  <c r="B46"/>
  <c r="B47"/>
  <c r="A47" s="1"/>
  <c r="B52"/>
  <c r="B57"/>
  <c r="A57" s="1"/>
  <c r="B59"/>
  <c r="A59" s="1"/>
  <c r="B14"/>
  <c r="B20"/>
  <c r="B27"/>
  <c r="B30"/>
  <c r="B32"/>
  <c r="B33"/>
  <c r="B37"/>
  <c r="B38"/>
  <c r="B42"/>
  <c r="B50"/>
  <c r="B56"/>
  <c r="A56" s="1"/>
  <c r="B19"/>
  <c r="B23"/>
  <c r="B74"/>
  <c r="B72"/>
  <c r="A72" s="1"/>
  <c r="B70"/>
  <c r="A70" s="1"/>
  <c r="B68"/>
  <c r="A68" s="1"/>
  <c r="B66"/>
  <c r="B64"/>
  <c r="A64" s="1"/>
  <c r="B62"/>
  <c r="A62" s="1"/>
  <c r="B18"/>
  <c r="B22"/>
  <c r="B28"/>
  <c r="B43"/>
  <c r="B48"/>
  <c r="A48" s="1"/>
  <c r="B51"/>
  <c r="A51" s="1"/>
  <c r="B54"/>
  <c r="A54" s="1"/>
  <c r="B58"/>
  <c r="A58" s="1"/>
  <c r="B24"/>
  <c r="B26"/>
  <c r="B49"/>
  <c r="A49" s="1"/>
  <c r="B53"/>
  <c r="A53" s="1"/>
  <c r="B55"/>
  <c r="A55" s="1"/>
  <c r="B60"/>
  <c r="B25"/>
  <c r="B34"/>
  <c r="B69"/>
  <c r="A69" s="1"/>
  <c r="B61"/>
  <c r="A46"/>
  <c r="A52"/>
  <c r="A61"/>
  <c r="B15"/>
  <c r="B67"/>
  <c r="A67" s="1"/>
  <c r="B63"/>
  <c r="B29"/>
  <c r="B75"/>
  <c r="A75" s="1"/>
  <c r="B71"/>
  <c r="A71" s="1"/>
  <c r="A60"/>
  <c r="A66"/>
  <c r="I6" i="51"/>
  <c r="B41" i="38"/>
  <c r="B44"/>
  <c r="B65"/>
  <c r="A65" s="1"/>
  <c r="B11"/>
  <c r="A11" s="1"/>
  <c r="B16"/>
  <c r="B40"/>
  <c r="A63"/>
  <c r="A50"/>
  <c r="P6" i="1"/>
  <c r="B12" i="38"/>
  <c r="A74"/>
  <c r="B73"/>
  <c r="A73" s="1"/>
  <c r="AF7" i="1"/>
  <c r="M7" i="51"/>
  <c r="B12" i="36"/>
  <c r="B16"/>
  <c r="B20"/>
  <c r="B24"/>
  <c r="B28"/>
  <c r="B33"/>
  <c r="B32"/>
  <c r="B40"/>
  <c r="B44"/>
  <c r="B51"/>
  <c r="A51" s="1"/>
  <c r="B52"/>
  <c r="B60"/>
  <c r="A60" s="1"/>
  <c r="B59"/>
  <c r="A59" s="1"/>
  <c r="B68"/>
  <c r="A68" s="1"/>
  <c r="B67"/>
  <c r="A67" s="1"/>
  <c r="B75"/>
  <c r="A75" s="1"/>
  <c r="B11"/>
  <c r="A11" s="1"/>
  <c r="B15"/>
  <c r="B21"/>
  <c r="B26"/>
  <c r="B31"/>
  <c r="B35"/>
  <c r="B42"/>
  <c r="B50"/>
  <c r="A50" s="1"/>
  <c r="B53"/>
  <c r="A53" s="1"/>
  <c r="B57"/>
  <c r="A57" s="1"/>
  <c r="B66"/>
  <c r="A66" s="1"/>
  <c r="B61"/>
  <c r="A61" s="1"/>
  <c r="B71"/>
  <c r="A71" s="1"/>
  <c r="B13"/>
  <c r="B18"/>
  <c r="B23"/>
  <c r="B29"/>
  <c r="B36"/>
  <c r="B39"/>
  <c r="B45"/>
  <c r="B48"/>
  <c r="A48" s="1"/>
  <c r="B55"/>
  <c r="A55" s="1"/>
  <c r="B62"/>
  <c r="B72"/>
  <c r="A72" s="1"/>
  <c r="B65"/>
  <c r="A65" s="1"/>
  <c r="G6" i="51"/>
  <c r="H6" i="1"/>
  <c r="B22" i="36"/>
  <c r="B34"/>
  <c r="B43"/>
  <c r="B54"/>
  <c r="A54" s="1"/>
  <c r="B70"/>
  <c r="A70" s="1"/>
  <c r="B73"/>
  <c r="A73" s="1"/>
  <c r="A52"/>
  <c r="B17"/>
  <c r="B27"/>
  <c r="B38"/>
  <c r="B46"/>
  <c r="A46" s="1"/>
  <c r="B58"/>
  <c r="A58" s="1"/>
  <c r="B63"/>
  <c r="A63" s="1"/>
  <c r="A62"/>
  <c r="B19"/>
  <c r="B41"/>
  <c r="B64"/>
  <c r="A64" s="1"/>
  <c r="B69"/>
  <c r="A69" s="1"/>
  <c r="B14"/>
  <c r="B37"/>
  <c r="B56"/>
  <c r="A56" s="1"/>
  <c r="B49"/>
  <c r="A49" s="1"/>
  <c r="B47"/>
  <c r="A47" s="1"/>
  <c r="B25"/>
  <c r="B74"/>
  <c r="A74" s="1"/>
  <c r="B30"/>
  <c r="K7" i="51"/>
  <c r="X7" i="1"/>
  <c r="L7"/>
  <c r="H7" i="51"/>
  <c r="AV7" i="1"/>
  <c r="Q7" i="51"/>
  <c r="P7" i="1"/>
  <c r="I7" i="51"/>
  <c r="A11" i="42"/>
  <c r="A15"/>
  <c r="A19"/>
  <c r="A23"/>
  <c r="A27"/>
  <c r="A31"/>
  <c r="A35"/>
  <c r="A39"/>
  <c r="A43"/>
  <c r="A47"/>
  <c r="A51"/>
  <c r="A55"/>
  <c r="A59"/>
  <c r="A63"/>
  <c r="A67"/>
  <c r="A71"/>
  <c r="A75"/>
  <c r="A14"/>
  <c r="A18"/>
  <c r="A22"/>
  <c r="A26"/>
  <c r="A30"/>
  <c r="A34"/>
  <c r="A38"/>
  <c r="A42"/>
  <c r="A46"/>
  <c r="A50"/>
  <c r="A54"/>
  <c r="A58"/>
  <c r="A62"/>
  <c r="A66"/>
  <c r="A70"/>
  <c r="A74"/>
  <c r="M6" i="51"/>
  <c r="A16" i="42"/>
  <c r="A24"/>
  <c r="A32"/>
  <c r="A40"/>
  <c r="A48"/>
  <c r="A56"/>
  <c r="A64"/>
  <c r="A72"/>
  <c r="B13"/>
  <c r="B21"/>
  <c r="B29"/>
  <c r="B37"/>
  <c r="B45"/>
  <c r="B53"/>
  <c r="B61"/>
  <c r="B69"/>
  <c r="B12"/>
  <c r="B20"/>
  <c r="B28"/>
  <c r="B36"/>
  <c r="B44"/>
  <c r="B52"/>
  <c r="B60"/>
  <c r="B68"/>
  <c r="A12"/>
  <c r="A20"/>
  <c r="A28"/>
  <c r="A36"/>
  <c r="A44"/>
  <c r="A52"/>
  <c r="A60"/>
  <c r="A68"/>
  <c r="B17"/>
  <c r="B25"/>
  <c r="B33"/>
  <c r="B41"/>
  <c r="B49"/>
  <c r="B57"/>
  <c r="B65"/>
  <c r="B73"/>
  <c r="B16"/>
  <c r="B24"/>
  <c r="B32"/>
  <c r="B40"/>
  <c r="B48"/>
  <c r="B56"/>
  <c r="B64"/>
  <c r="B72"/>
  <c r="A21"/>
  <c r="A37"/>
  <c r="A53"/>
  <c r="A69"/>
  <c r="B23"/>
  <c r="B39"/>
  <c r="B55"/>
  <c r="B71"/>
  <c r="B22"/>
  <c r="B38"/>
  <c r="B54"/>
  <c r="B70"/>
  <c r="A13"/>
  <c r="A29"/>
  <c r="A45"/>
  <c r="A61"/>
  <c r="B15"/>
  <c r="B31"/>
  <c r="B47"/>
  <c r="B63"/>
  <c r="B14"/>
  <c r="B30"/>
  <c r="B46"/>
  <c r="B62"/>
  <c r="A33"/>
  <c r="A65"/>
  <c r="AF6" i="1"/>
  <c r="B11" i="42"/>
  <c r="B43"/>
  <c r="B75"/>
  <c r="B42"/>
  <c r="B74"/>
  <c r="A17"/>
  <c r="A49"/>
  <c r="B27"/>
  <c r="B59"/>
  <c r="B26"/>
  <c r="B58"/>
  <c r="A25"/>
  <c r="B67"/>
  <c r="B66"/>
  <c r="A73"/>
  <c r="B51"/>
  <c r="B50"/>
  <c r="A57"/>
  <c r="B35"/>
  <c r="A41"/>
  <c r="B19"/>
  <c r="B34"/>
  <c r="B18"/>
  <c r="H7" i="1"/>
  <c r="G7" i="51"/>
  <c r="B13" i="40"/>
  <c r="B17"/>
  <c r="B21"/>
  <c r="B31"/>
  <c r="B35"/>
  <c r="B36"/>
  <c r="B39"/>
  <c r="B45"/>
  <c r="B46"/>
  <c r="B47"/>
  <c r="A47" s="1"/>
  <c r="B52"/>
  <c r="A52" s="1"/>
  <c r="B57"/>
  <c r="A57" s="1"/>
  <c r="B59"/>
  <c r="A59" s="1"/>
  <c r="B14"/>
  <c r="B20"/>
  <c r="B27"/>
  <c r="B30"/>
  <c r="B32"/>
  <c r="B33"/>
  <c r="B37"/>
  <c r="B38"/>
  <c r="B42"/>
  <c r="B50"/>
  <c r="A50" s="1"/>
  <c r="B56"/>
  <c r="A56" s="1"/>
  <c r="B18"/>
  <c r="B22"/>
  <c r="B28"/>
  <c r="B43"/>
  <c r="B48"/>
  <c r="A48" s="1"/>
  <c r="B51"/>
  <c r="A51" s="1"/>
  <c r="B54"/>
  <c r="A54" s="1"/>
  <c r="B58"/>
  <c r="A58" s="1"/>
  <c r="B19"/>
  <c r="B23"/>
  <c r="B16"/>
  <c r="B40"/>
  <c r="B15"/>
  <c r="B29"/>
  <c r="B41"/>
  <c r="B44"/>
  <c r="B74"/>
  <c r="A74" s="1"/>
  <c r="B72"/>
  <c r="A72" s="1"/>
  <c r="B70"/>
  <c r="A70" s="1"/>
  <c r="B68"/>
  <c r="A68" s="1"/>
  <c r="B66"/>
  <c r="A66" s="1"/>
  <c r="B64"/>
  <c r="A64" s="1"/>
  <c r="B62"/>
  <c r="A62" s="1"/>
  <c r="B25"/>
  <c r="B26"/>
  <c r="B73"/>
  <c r="A73" s="1"/>
  <c r="B65"/>
  <c r="A65" s="1"/>
  <c r="B24"/>
  <c r="B34"/>
  <c r="B49"/>
  <c r="A49" s="1"/>
  <c r="B71"/>
  <c r="A71" s="1"/>
  <c r="B63"/>
  <c r="A63" s="1"/>
  <c r="K6" i="51"/>
  <c r="B55" i="40"/>
  <c r="A55" s="1"/>
  <c r="B69"/>
  <c r="A69" s="1"/>
  <c r="B11"/>
  <c r="A11" s="1"/>
  <c r="B53"/>
  <c r="A53" s="1"/>
  <c r="B60"/>
  <c r="A60" s="1"/>
  <c r="B61"/>
  <c r="A61" s="1"/>
  <c r="A46"/>
  <c r="X6" i="1"/>
  <c r="B67" i="40"/>
  <c r="A67" s="1"/>
  <c r="B12"/>
  <c r="A12" s="1"/>
  <c r="B75"/>
  <c r="A75" s="1"/>
  <c r="B11" i="37"/>
  <c r="A11" s="1"/>
  <c r="B15"/>
  <c r="B19"/>
  <c r="B23"/>
  <c r="B26"/>
  <c r="B28"/>
  <c r="B29"/>
  <c r="B34"/>
  <c r="B41"/>
  <c r="B43"/>
  <c r="B44"/>
  <c r="B48"/>
  <c r="A48" s="1"/>
  <c r="B51"/>
  <c r="A51" s="1"/>
  <c r="B54"/>
  <c r="A54" s="1"/>
  <c r="B60"/>
  <c r="A60" s="1"/>
  <c r="B16"/>
  <c r="B18"/>
  <c r="B22"/>
  <c r="B24"/>
  <c r="B25"/>
  <c r="B40"/>
  <c r="B49"/>
  <c r="A49" s="1"/>
  <c r="B53"/>
  <c r="A53" s="1"/>
  <c r="B55"/>
  <c r="A55" s="1"/>
  <c r="B58"/>
  <c r="A58" s="1"/>
  <c r="B13"/>
  <c r="B17"/>
  <c r="B21"/>
  <c r="B27"/>
  <c r="B30"/>
  <c r="B38"/>
  <c r="B42"/>
  <c r="B50"/>
  <c r="A50" s="1"/>
  <c r="B52"/>
  <c r="A52" s="1"/>
  <c r="B56"/>
  <c r="A56" s="1"/>
  <c r="A59"/>
  <c r="B36"/>
  <c r="B37"/>
  <c r="B59"/>
  <c r="B20"/>
  <c r="A20" s="1"/>
  <c r="B39"/>
  <c r="B45"/>
  <c r="B31"/>
  <c r="B47"/>
  <c r="A47" s="1"/>
  <c r="B71"/>
  <c r="A71" s="1"/>
  <c r="B68"/>
  <c r="A68" s="1"/>
  <c r="B63"/>
  <c r="A63" s="1"/>
  <c r="A24"/>
  <c r="B12"/>
  <c r="B32"/>
  <c r="B33"/>
  <c r="B35"/>
  <c r="B75"/>
  <c r="A75" s="1"/>
  <c r="B64"/>
  <c r="A64" s="1"/>
  <c r="B61"/>
  <c r="A61" s="1"/>
  <c r="B14"/>
  <c r="B46"/>
  <c r="A46" s="1"/>
  <c r="B72"/>
  <c r="A72" s="1"/>
  <c r="B69"/>
  <c r="A69" s="1"/>
  <c r="B65"/>
  <c r="A65" s="1"/>
  <c r="H6" i="51"/>
  <c r="B70" i="37"/>
  <c r="A70" s="1"/>
  <c r="B57"/>
  <c r="A57" s="1"/>
  <c r="B74"/>
  <c r="A74" s="1"/>
  <c r="B67"/>
  <c r="A67" s="1"/>
  <c r="B62"/>
  <c r="A62" s="1"/>
  <c r="L6" i="1"/>
  <c r="B66" i="37"/>
  <c r="A66" s="1"/>
  <c r="B73"/>
  <c r="A73" s="1"/>
  <c r="B13" i="54"/>
  <c r="B17"/>
  <c r="B21"/>
  <c r="B25"/>
  <c r="B29"/>
  <c r="B33"/>
  <c r="B37"/>
  <c r="B41"/>
  <c r="B45"/>
  <c r="B49"/>
  <c r="A49" s="1"/>
  <c r="B53"/>
  <c r="A53" s="1"/>
  <c r="B57"/>
  <c r="A57" s="1"/>
  <c r="B61"/>
  <c r="A61" s="1"/>
  <c r="B65"/>
  <c r="A65" s="1"/>
  <c r="B69"/>
  <c r="A69" s="1"/>
  <c r="B73"/>
  <c r="A73" s="1"/>
  <c r="B16"/>
  <c r="B20"/>
  <c r="B24"/>
  <c r="B28"/>
  <c r="B32"/>
  <c r="B36"/>
  <c r="B40"/>
  <c r="B44"/>
  <c r="B48"/>
  <c r="A48" s="1"/>
  <c r="B52"/>
  <c r="A52" s="1"/>
  <c r="B56"/>
  <c r="A56" s="1"/>
  <c r="B60"/>
  <c r="A60" s="1"/>
  <c r="B64"/>
  <c r="A64" s="1"/>
  <c r="B68"/>
  <c r="A68" s="1"/>
  <c r="B72"/>
  <c r="A72" s="1"/>
  <c r="B12"/>
  <c r="B19"/>
  <c r="B27"/>
  <c r="B35"/>
  <c r="B43"/>
  <c r="B51"/>
  <c r="A51" s="1"/>
  <c r="B59"/>
  <c r="A59" s="1"/>
  <c r="B67"/>
  <c r="A67" s="1"/>
  <c r="B75"/>
  <c r="A75" s="1"/>
  <c r="B15"/>
  <c r="B23"/>
  <c r="B31"/>
  <c r="B39"/>
  <c r="B47"/>
  <c r="A47" s="1"/>
  <c r="B55"/>
  <c r="A55" s="1"/>
  <c r="B63"/>
  <c r="A63" s="1"/>
  <c r="B71"/>
  <c r="A71" s="1"/>
  <c r="B22"/>
  <c r="B38"/>
  <c r="B54"/>
  <c r="A54" s="1"/>
  <c r="B70"/>
  <c r="A70" s="1"/>
  <c r="B14"/>
  <c r="B30"/>
  <c r="B46"/>
  <c r="A46" s="1"/>
  <c r="B62"/>
  <c r="A62" s="1"/>
  <c r="B26"/>
  <c r="B58"/>
  <c r="A58" s="1"/>
  <c r="B18"/>
  <c r="B50"/>
  <c r="A50" s="1"/>
  <c r="Q6" i="51"/>
  <c r="B11" i="54"/>
  <c r="B42"/>
  <c r="B74"/>
  <c r="A74" s="1"/>
  <c r="B34"/>
  <c r="B66"/>
  <c r="A66" s="1"/>
  <c r="AV6" i="1"/>
  <c r="T7"/>
  <c r="J7" i="51"/>
  <c r="AN7" i="1"/>
  <c r="O7" i="51"/>
  <c r="B15" i="41"/>
  <c r="B19"/>
  <c r="B23"/>
  <c r="B26"/>
  <c r="B28"/>
  <c r="B29"/>
  <c r="B34"/>
  <c r="B41"/>
  <c r="B43"/>
  <c r="B44"/>
  <c r="B48"/>
  <c r="A48" s="1"/>
  <c r="B51"/>
  <c r="B54"/>
  <c r="B60"/>
  <c r="A60" s="1"/>
  <c r="B12"/>
  <c r="B16"/>
  <c r="B18"/>
  <c r="B22"/>
  <c r="B24"/>
  <c r="B25"/>
  <c r="B40"/>
  <c r="B49"/>
  <c r="A49" s="1"/>
  <c r="B53"/>
  <c r="A53" s="1"/>
  <c r="B55"/>
  <c r="A55" s="1"/>
  <c r="B58"/>
  <c r="B11"/>
  <c r="B13"/>
  <c r="B17"/>
  <c r="B21"/>
  <c r="B27"/>
  <c r="B30"/>
  <c r="B38"/>
  <c r="B42"/>
  <c r="B50"/>
  <c r="A50" s="1"/>
  <c r="B52"/>
  <c r="A52" s="1"/>
  <c r="B56"/>
  <c r="A56" s="1"/>
  <c r="B63"/>
  <c r="B67"/>
  <c r="A67" s="1"/>
  <c r="B71"/>
  <c r="A71" s="1"/>
  <c r="B75"/>
  <c r="A75" s="1"/>
  <c r="B36"/>
  <c r="B37"/>
  <c r="B59"/>
  <c r="A59" s="1"/>
  <c r="B31"/>
  <c r="B47"/>
  <c r="A47" s="1"/>
  <c r="B20"/>
  <c r="B39"/>
  <c r="B45"/>
  <c r="B64"/>
  <c r="B69"/>
  <c r="A69" s="1"/>
  <c r="B74"/>
  <c r="B14"/>
  <c r="B46"/>
  <c r="A46" s="1"/>
  <c r="B62"/>
  <c r="A62" s="1"/>
  <c r="B70"/>
  <c r="A70" s="1"/>
  <c r="A51"/>
  <c r="A63"/>
  <c r="B61"/>
  <c r="A61" s="1"/>
  <c r="B68"/>
  <c r="A68" s="1"/>
  <c r="A54"/>
  <c r="A58"/>
  <c r="A74"/>
  <c r="B57"/>
  <c r="B72"/>
  <c r="A72" s="1"/>
  <c r="A64"/>
  <c r="B32"/>
  <c r="B65"/>
  <c r="A65" s="1"/>
  <c r="AB6" i="1"/>
  <c r="L6" i="51"/>
  <c r="B73" i="41"/>
  <c r="A73" s="1"/>
  <c r="B35"/>
  <c r="A57"/>
  <c r="B66"/>
  <c r="A66" s="1"/>
  <c r="B33"/>
  <c r="B15" i="39"/>
  <c r="B19"/>
  <c r="B23"/>
  <c r="B26"/>
  <c r="B28"/>
  <c r="B29"/>
  <c r="B34"/>
  <c r="B41"/>
  <c r="B43"/>
  <c r="B44"/>
  <c r="B48"/>
  <c r="A48" s="1"/>
  <c r="B51"/>
  <c r="A51" s="1"/>
  <c r="B54"/>
  <c r="A54" s="1"/>
  <c r="B60"/>
  <c r="A60" s="1"/>
  <c r="B16"/>
  <c r="B18"/>
  <c r="B22"/>
  <c r="B24"/>
  <c r="B25"/>
  <c r="B40"/>
  <c r="B49"/>
  <c r="A49" s="1"/>
  <c r="B53"/>
  <c r="A53" s="1"/>
  <c r="B55"/>
  <c r="A55" s="1"/>
  <c r="B58"/>
  <c r="B12"/>
  <c r="B36"/>
  <c r="B37"/>
  <c r="B59"/>
  <c r="A59" s="1"/>
  <c r="B13"/>
  <c r="B17"/>
  <c r="B21"/>
  <c r="B27"/>
  <c r="B30"/>
  <c r="B38"/>
  <c r="B42"/>
  <c r="B50"/>
  <c r="A50" s="1"/>
  <c r="B52"/>
  <c r="A52" s="1"/>
  <c r="B56"/>
  <c r="A56" s="1"/>
  <c r="B14"/>
  <c r="B32"/>
  <c r="B46"/>
  <c r="A46" s="1"/>
  <c r="B57"/>
  <c r="A57" s="1"/>
  <c r="B33"/>
  <c r="B35"/>
  <c r="B39"/>
  <c r="B47"/>
  <c r="A47" s="1"/>
  <c r="B75"/>
  <c r="A75" s="1"/>
  <c r="B72"/>
  <c r="A72" s="1"/>
  <c r="B67"/>
  <c r="A67" s="1"/>
  <c r="B64"/>
  <c r="A64" s="1"/>
  <c r="A58"/>
  <c r="B73"/>
  <c r="A73" s="1"/>
  <c r="B70"/>
  <c r="A70" s="1"/>
  <c r="B65"/>
  <c r="A65" s="1"/>
  <c r="B62"/>
  <c r="A62" s="1"/>
  <c r="B45"/>
  <c r="B11"/>
  <c r="A11" s="1"/>
  <c r="B31"/>
  <c r="B71"/>
  <c r="A71" s="1"/>
  <c r="J6" i="51"/>
  <c r="T6" i="1"/>
  <c r="B68" i="39"/>
  <c r="A68" s="1"/>
  <c r="B63"/>
  <c r="A63" s="1"/>
  <c r="B74"/>
  <c r="A74" s="1"/>
  <c r="B20"/>
  <c r="B69"/>
  <c r="A69" s="1"/>
  <c r="B66"/>
  <c r="A66" s="1"/>
  <c r="B61"/>
  <c r="A61" s="1"/>
  <c r="B12" i="43"/>
  <c r="B16"/>
  <c r="B20"/>
  <c r="B24"/>
  <c r="B28"/>
  <c r="B32"/>
  <c r="B36"/>
  <c r="B40"/>
  <c r="B44"/>
  <c r="B48"/>
  <c r="B52"/>
  <c r="B56"/>
  <c r="B60"/>
  <c r="B64"/>
  <c r="B68"/>
  <c r="B72"/>
  <c r="B11"/>
  <c r="B15"/>
  <c r="B19"/>
  <c r="B23"/>
  <c r="B27"/>
  <c r="B31"/>
  <c r="B35"/>
  <c r="B39"/>
  <c r="B43"/>
  <c r="B47"/>
  <c r="B51"/>
  <c r="B55"/>
  <c r="B59"/>
  <c r="B63"/>
  <c r="B67"/>
  <c r="B71"/>
  <c r="B75"/>
  <c r="B18"/>
  <c r="B26"/>
  <c r="B34"/>
  <c r="B42"/>
  <c r="B50"/>
  <c r="B58"/>
  <c r="B66"/>
  <c r="B74"/>
  <c r="N6" i="51"/>
  <c r="B14" i="43"/>
  <c r="B22"/>
  <c r="B30"/>
  <c r="B38"/>
  <c r="B46"/>
  <c r="B54"/>
  <c r="B62"/>
  <c r="B70"/>
  <c r="B13"/>
  <c r="B29"/>
  <c r="B45"/>
  <c r="B61"/>
  <c r="B21"/>
  <c r="B37"/>
  <c r="B53"/>
  <c r="B69"/>
  <c r="B17"/>
  <c r="B49"/>
  <c r="A14"/>
  <c r="A18"/>
  <c r="A22"/>
  <c r="A26"/>
  <c r="A30"/>
  <c r="A34"/>
  <c r="A38"/>
  <c r="A42"/>
  <c r="A46"/>
  <c r="A50"/>
  <c r="A54"/>
  <c r="A58"/>
  <c r="A62"/>
  <c r="A66"/>
  <c r="A70"/>
  <c r="A74"/>
  <c r="AJ6" i="1"/>
  <c r="B41" i="43"/>
  <c r="B73"/>
  <c r="A13"/>
  <c r="A17"/>
  <c r="A21"/>
  <c r="A25"/>
  <c r="A29"/>
  <c r="A33"/>
  <c r="A37"/>
  <c r="A41"/>
  <c r="A45"/>
  <c r="A49"/>
  <c r="A53"/>
  <c r="A57"/>
  <c r="A61"/>
  <c r="A65"/>
  <c r="A69"/>
  <c r="A73"/>
  <c r="B33"/>
  <c r="B65"/>
  <c r="A15"/>
  <c r="A23"/>
  <c r="A31"/>
  <c r="A39"/>
  <c r="A47"/>
  <c r="A55"/>
  <c r="A63"/>
  <c r="A71"/>
  <c r="B57"/>
  <c r="A11"/>
  <c r="A19"/>
  <c r="A27"/>
  <c r="A35"/>
  <c r="A43"/>
  <c r="A51"/>
  <c r="A59"/>
  <c r="A67"/>
  <c r="A75"/>
  <c r="B25"/>
  <c r="A16"/>
  <c r="A32"/>
  <c r="A48"/>
  <c r="A64"/>
  <c r="A24"/>
  <c r="A40"/>
  <c r="A56"/>
  <c r="A72"/>
  <c r="A36"/>
  <c r="A68"/>
  <c r="A20"/>
  <c r="A52"/>
  <c r="A44"/>
  <c r="A28"/>
  <c r="A60"/>
  <c r="A12"/>
  <c r="B65" i="55"/>
  <c r="B69"/>
  <c r="B73"/>
  <c r="B68"/>
  <c r="B72"/>
  <c r="B67"/>
  <c r="B75"/>
  <c r="B71"/>
  <c r="B70"/>
  <c r="B66"/>
  <c r="O6" i="51"/>
  <c r="A13" i="55"/>
  <c r="A17"/>
  <c r="A21"/>
  <c r="A25"/>
  <c r="A29"/>
  <c r="A33"/>
  <c r="A37"/>
  <c r="A41"/>
  <c r="A45"/>
  <c r="A49"/>
  <c r="A53"/>
  <c r="A57"/>
  <c r="A61"/>
  <c r="A65"/>
  <c r="A69"/>
  <c r="A73"/>
  <c r="A12"/>
  <c r="A16"/>
  <c r="A20"/>
  <c r="A24"/>
  <c r="A28"/>
  <c r="A32"/>
  <c r="A36"/>
  <c r="A40"/>
  <c r="A44"/>
  <c r="A48"/>
  <c r="A52"/>
  <c r="A56"/>
  <c r="A60"/>
  <c r="A64"/>
  <c r="A68"/>
  <c r="A72"/>
  <c r="AN6" i="1"/>
  <c r="A11" i="55"/>
  <c r="A19"/>
  <c r="A27"/>
  <c r="A35"/>
  <c r="A43"/>
  <c r="A51"/>
  <c r="A59"/>
  <c r="A67"/>
  <c r="A75"/>
  <c r="B11"/>
  <c r="B19"/>
  <c r="B27"/>
  <c r="B35"/>
  <c r="B43"/>
  <c r="B51"/>
  <c r="B59"/>
  <c r="B14"/>
  <c r="B22"/>
  <c r="B30"/>
  <c r="B38"/>
  <c r="B46"/>
  <c r="B54"/>
  <c r="B62"/>
  <c r="A15"/>
  <c r="A23"/>
  <c r="A31"/>
  <c r="A39"/>
  <c r="A47"/>
  <c r="A55"/>
  <c r="A63"/>
  <c r="A71"/>
  <c r="B15"/>
  <c r="B23"/>
  <c r="B31"/>
  <c r="B39"/>
  <c r="B47"/>
  <c r="B55"/>
  <c r="B63"/>
  <c r="B18"/>
  <c r="B26"/>
  <c r="B34"/>
  <c r="B42"/>
  <c r="B50"/>
  <c r="B58"/>
  <c r="A22"/>
  <c r="A38"/>
  <c r="A54"/>
  <c r="A70"/>
  <c r="B13"/>
  <c r="B29"/>
  <c r="B45"/>
  <c r="B61"/>
  <c r="B24"/>
  <c r="B40"/>
  <c r="B56"/>
  <c r="A14"/>
  <c r="A30"/>
  <c r="A46"/>
  <c r="A62"/>
  <c r="B21"/>
  <c r="B37"/>
  <c r="B53"/>
  <c r="B16"/>
  <c r="B32"/>
  <c r="B48"/>
  <c r="B64"/>
  <c r="B74"/>
  <c r="A42"/>
  <c r="A74"/>
  <c r="B33"/>
  <c r="B12"/>
  <c r="B44"/>
  <c r="A26"/>
  <c r="A58"/>
  <c r="B17"/>
  <c r="B49"/>
  <c r="B28"/>
  <c r="B60"/>
  <c r="A66"/>
  <c r="B57"/>
  <c r="A50"/>
  <c r="B41"/>
  <c r="B52"/>
  <c r="B25"/>
  <c r="B20"/>
  <c r="A34"/>
  <c r="A18"/>
  <c r="B36"/>
  <c r="AR7" i="1"/>
  <c r="P7" i="51"/>
  <c r="AB7" i="1"/>
  <c r="L7" i="51"/>
  <c r="A13" i="37" l="1"/>
  <c r="A13" i="39"/>
  <c r="A12"/>
  <c r="A32" i="37"/>
  <c r="A34" i="39"/>
  <c r="A25" i="37"/>
  <c r="A14" i="36"/>
  <c r="A21" i="41"/>
  <c r="A19"/>
  <c r="A31" i="36"/>
  <c r="A41" i="54"/>
  <c r="A15"/>
  <c r="A12" i="38"/>
  <c r="A32" i="53"/>
  <c r="A38" i="39"/>
  <c r="A33"/>
  <c r="A14"/>
  <c r="A16"/>
  <c r="A14" i="41"/>
  <c r="A24" i="54"/>
  <c r="A21" i="37"/>
  <c r="A15" i="36"/>
  <c r="A40" i="53"/>
  <c r="A32" i="41"/>
  <c r="A12" i="54"/>
  <c r="A26"/>
  <c r="A26" i="37"/>
  <c r="A14"/>
  <c r="A24" i="36"/>
  <c r="A24" i="53"/>
  <c r="A28" i="39"/>
  <c r="A26" i="40"/>
  <c r="A21" i="54"/>
  <c r="A18" i="40"/>
  <c r="A30"/>
  <c r="A20" i="36"/>
  <c r="A17"/>
  <c r="A22"/>
  <c r="A25" i="39"/>
  <c r="A33" i="41"/>
  <c r="A26"/>
  <c r="A20"/>
  <c r="A37"/>
  <c r="A27"/>
  <c r="A15"/>
  <c r="A22"/>
  <c r="A44"/>
  <c r="A29"/>
  <c r="A40" i="54"/>
  <c r="A37"/>
  <c r="A19"/>
  <c r="A41" i="37"/>
  <c r="A37"/>
  <c r="A42"/>
  <c r="A16"/>
  <c r="A23"/>
  <c r="A29" i="40"/>
  <c r="A13"/>
  <c r="A45"/>
  <c r="A16"/>
  <c r="A43"/>
  <c r="A19"/>
  <c r="A36" i="36"/>
  <c r="A37"/>
  <c r="A43"/>
  <c r="A13"/>
  <c r="A42"/>
  <c r="A21"/>
  <c r="A33"/>
  <c r="A16"/>
  <c r="A23" i="38"/>
  <c r="A17"/>
  <c r="A45" i="39"/>
  <c r="A35"/>
  <c r="A32"/>
  <c r="A27"/>
  <c r="A41"/>
  <c r="A35" i="41"/>
  <c r="A24"/>
  <c r="A30" i="54"/>
  <c r="A38"/>
  <c r="A25"/>
  <c r="A27"/>
  <c r="A20"/>
  <c r="A33"/>
  <c r="A31"/>
  <c r="A18" i="37"/>
  <c r="A31"/>
  <c r="A25" i="40"/>
  <c r="A15"/>
  <c r="A17"/>
  <c r="A23"/>
  <c r="A22"/>
  <c r="A42"/>
  <c r="A32"/>
  <c r="A14"/>
  <c r="A36"/>
  <c r="A30" i="36"/>
  <c r="A18"/>
  <c r="A26"/>
  <c r="A40" i="38"/>
  <c r="A15"/>
  <c r="A14" i="53"/>
  <c r="A23"/>
  <c r="A26" i="39"/>
  <c r="A15"/>
  <c r="A31" i="41"/>
  <c r="A38"/>
  <c r="A25"/>
  <c r="A16"/>
  <c r="A30" i="37"/>
  <c r="A43"/>
  <c r="A28"/>
  <c r="A15"/>
  <c r="A37" i="40"/>
  <c r="A28"/>
  <c r="A27"/>
  <c r="A38" i="36"/>
  <c r="A40"/>
  <c r="A39" i="38"/>
  <c r="A44"/>
  <c r="A45"/>
  <c r="A31"/>
  <c r="A36" i="53"/>
  <c r="A20" i="39"/>
  <c r="A18"/>
  <c r="A31"/>
  <c r="A39"/>
  <c r="A17"/>
  <c r="A36"/>
  <c r="A24"/>
  <c r="A44"/>
  <c r="A29"/>
  <c r="A19"/>
  <c r="A44" i="54"/>
  <c r="A34"/>
  <c r="A23"/>
  <c r="A43"/>
  <c r="A29"/>
  <c r="A28"/>
  <c r="A36" i="37"/>
  <c r="A39"/>
  <c r="A40" i="40"/>
  <c r="A44"/>
  <c r="A31"/>
  <c r="A41" i="36"/>
  <c r="A25"/>
  <c r="A34"/>
  <c r="A29"/>
  <c r="A41" i="38"/>
  <c r="A29"/>
  <c r="A30" i="53"/>
  <c r="A15"/>
  <c r="A39"/>
  <c r="A28"/>
  <c r="A37"/>
  <c r="A45" i="41"/>
  <c r="A36"/>
  <c r="A42"/>
  <c r="A42" i="54"/>
  <c r="A39"/>
  <c r="A45" i="37"/>
  <c r="A35"/>
  <c r="A19"/>
  <c r="A38" i="40"/>
  <c r="A35"/>
  <c r="A44" i="36"/>
  <c r="A39"/>
  <c r="A45"/>
  <c r="A19"/>
  <c r="A37" i="38"/>
  <c r="A16"/>
  <c r="A32"/>
  <c r="A18"/>
  <c r="A28"/>
  <c r="A25"/>
  <c r="A43"/>
  <c r="A27"/>
  <c r="A20" i="53"/>
  <c r="A44"/>
  <c r="A17"/>
  <c r="A45"/>
  <c r="A13"/>
  <c r="A34"/>
  <c r="A18"/>
  <c r="A43"/>
  <c r="A27"/>
  <c r="A11"/>
  <c r="A30" i="39"/>
  <c r="A12" i="41"/>
  <c r="A30"/>
  <c r="A39"/>
  <c r="A23"/>
  <c r="A32" i="54"/>
  <c r="A45"/>
  <c r="A13"/>
  <c r="A17"/>
  <c r="A14"/>
  <c r="A11"/>
  <c r="A33" i="37"/>
  <c r="A17"/>
  <c r="A44"/>
  <c r="A29"/>
  <c r="A34" i="40"/>
  <c r="A41"/>
  <c r="A21"/>
  <c r="A39"/>
  <c r="A12" i="36"/>
  <c r="A27"/>
  <c r="A22" i="38"/>
  <c r="A26"/>
  <c r="A34"/>
  <c r="A30"/>
  <c r="A16" i="53"/>
  <c r="A25"/>
  <c r="A21"/>
  <c r="A38"/>
  <c r="A22"/>
  <c r="A31"/>
  <c r="A22" i="39"/>
  <c r="A40"/>
  <c r="A37"/>
  <c r="A23"/>
  <c r="A41" i="41"/>
  <c r="A17"/>
  <c r="A13"/>
  <c r="A40"/>
  <c r="A34"/>
  <c r="A18"/>
  <c r="A43"/>
  <c r="A11"/>
  <c r="A36" i="54"/>
  <c r="A18"/>
  <c r="A22" i="37"/>
  <c r="A34"/>
  <c r="A27"/>
  <c r="A28" i="36"/>
  <c r="A23"/>
  <c r="A35"/>
  <c r="A24" i="38"/>
  <c r="A33"/>
  <c r="A42"/>
  <c r="A13"/>
  <c r="A36"/>
  <c r="A14"/>
  <c r="A35"/>
  <c r="A19"/>
  <c r="A12" i="53"/>
  <c r="A33"/>
  <c r="A29"/>
  <c r="A42"/>
  <c r="A26"/>
  <c r="A35"/>
  <c r="A19"/>
  <c r="A42" i="39"/>
  <c r="A21"/>
  <c r="A43"/>
  <c r="A28" i="41"/>
  <c r="A16" i="54"/>
  <c r="A22"/>
  <c r="A35"/>
  <c r="A12" i="37"/>
  <c r="A38"/>
  <c r="A40"/>
  <c r="A24" i="40"/>
  <c r="A20"/>
  <c r="A33"/>
  <c r="A32" i="36"/>
  <c r="A38" i="38"/>
  <c r="A21"/>
  <c r="A20"/>
  <c r="A41" i="53"/>
  <c r="CL7" i="1"/>
  <c r="FY7"/>
  <c r="DU7"/>
  <c r="EP7"/>
  <c r="R12" i="55"/>
  <c r="C12"/>
  <c r="P12"/>
  <c r="O12"/>
  <c r="D12"/>
  <c r="P16"/>
  <c r="O16"/>
  <c r="D16"/>
  <c r="C16"/>
  <c r="R16"/>
  <c r="O56"/>
  <c r="D56"/>
  <c r="P56"/>
  <c r="R56"/>
  <c r="C56"/>
  <c r="C18"/>
  <c r="O18"/>
  <c r="P18"/>
  <c r="R18"/>
  <c r="D18"/>
  <c r="C62"/>
  <c r="R62"/>
  <c r="D62"/>
  <c r="O62"/>
  <c r="P62"/>
  <c r="C51"/>
  <c r="R51"/>
  <c r="D51"/>
  <c r="P51"/>
  <c r="O51"/>
  <c r="C73"/>
  <c r="P73"/>
  <c r="R73"/>
  <c r="O73"/>
  <c r="D73"/>
  <c r="O21" i="43"/>
  <c r="R21"/>
  <c r="C21"/>
  <c r="P21"/>
  <c r="D21"/>
  <c r="O46"/>
  <c r="R46"/>
  <c r="D46"/>
  <c r="C46"/>
  <c r="P46"/>
  <c r="R58"/>
  <c r="O58"/>
  <c r="P58"/>
  <c r="D58"/>
  <c r="C58"/>
  <c r="P67"/>
  <c r="C67"/>
  <c r="R67"/>
  <c r="O67"/>
  <c r="D67"/>
  <c r="O35"/>
  <c r="P35"/>
  <c r="C35"/>
  <c r="R35"/>
  <c r="D35"/>
  <c r="D68"/>
  <c r="P68"/>
  <c r="R68"/>
  <c r="O68"/>
  <c r="C68"/>
  <c r="O36"/>
  <c r="R36"/>
  <c r="P36"/>
  <c r="D36"/>
  <c r="C36"/>
  <c r="P71" i="39"/>
  <c r="C71"/>
  <c r="R71"/>
  <c r="O71"/>
  <c r="D71"/>
  <c r="O47"/>
  <c r="P47"/>
  <c r="R47"/>
  <c r="C47"/>
  <c r="D47"/>
  <c r="O14"/>
  <c r="P14" s="1"/>
  <c r="R14"/>
  <c r="W14" i="1" s="1"/>
  <c r="EC14" s="1"/>
  <c r="C14" i="39"/>
  <c r="D14"/>
  <c r="O21"/>
  <c r="P21" s="1"/>
  <c r="R21"/>
  <c r="W21" i="1" s="1"/>
  <c r="EC21" s="1"/>
  <c r="C21" i="39"/>
  <c r="D21"/>
  <c r="O55"/>
  <c r="R55"/>
  <c r="P55"/>
  <c r="C55"/>
  <c r="D55"/>
  <c r="O16"/>
  <c r="P16" s="1"/>
  <c r="R16"/>
  <c r="C16"/>
  <c r="D16"/>
  <c r="O34"/>
  <c r="U34" i="1" s="1"/>
  <c r="R34" i="39"/>
  <c r="W34" i="1" s="1"/>
  <c r="EC34" s="1"/>
  <c r="C34" i="39"/>
  <c r="P34"/>
  <c r="D34"/>
  <c r="O57" i="41"/>
  <c r="D57"/>
  <c r="C57"/>
  <c r="R57"/>
  <c r="P57"/>
  <c r="P74"/>
  <c r="O74"/>
  <c r="C74"/>
  <c r="D74"/>
  <c r="R74"/>
  <c r="O59"/>
  <c r="R59"/>
  <c r="P59"/>
  <c r="D59"/>
  <c r="C59"/>
  <c r="O52"/>
  <c r="R52"/>
  <c r="P52"/>
  <c r="C52"/>
  <c r="D52"/>
  <c r="O13"/>
  <c r="R13"/>
  <c r="P13"/>
  <c r="D13"/>
  <c r="C13"/>
  <c r="O24"/>
  <c r="P24" s="1"/>
  <c r="C24"/>
  <c r="D24"/>
  <c r="R24"/>
  <c r="R48"/>
  <c r="O48"/>
  <c r="P48"/>
  <c r="C48"/>
  <c r="D48"/>
  <c r="R23"/>
  <c r="AE23" i="1" s="1"/>
  <c r="EE23" s="1"/>
  <c r="D23" i="41"/>
  <c r="O23"/>
  <c r="P23" s="1"/>
  <c r="C23"/>
  <c r="O66" i="54"/>
  <c r="P66"/>
  <c r="D66"/>
  <c r="C66"/>
  <c r="D11"/>
  <c r="C11"/>
  <c r="O11"/>
  <c r="P11"/>
  <c r="O54"/>
  <c r="P54"/>
  <c r="D54"/>
  <c r="C54"/>
  <c r="O31"/>
  <c r="P31" s="1"/>
  <c r="D31"/>
  <c r="C31"/>
  <c r="O35"/>
  <c r="P35" s="1"/>
  <c r="D35"/>
  <c r="C35"/>
  <c r="O56"/>
  <c r="D56"/>
  <c r="P56"/>
  <c r="C56"/>
  <c r="O24"/>
  <c r="P24" s="1"/>
  <c r="D24"/>
  <c r="C24"/>
  <c r="D53"/>
  <c r="C53"/>
  <c r="O53"/>
  <c r="P53"/>
  <c r="O21"/>
  <c r="P21" s="1"/>
  <c r="D21"/>
  <c r="C21"/>
  <c r="P69" i="37"/>
  <c r="R69"/>
  <c r="C69"/>
  <c r="D69"/>
  <c r="O69"/>
  <c r="O35"/>
  <c r="P35" s="1"/>
  <c r="R35"/>
  <c r="D35"/>
  <c r="C35"/>
  <c r="P63"/>
  <c r="R63"/>
  <c r="D63"/>
  <c r="O63"/>
  <c r="C63"/>
  <c r="O59"/>
  <c r="R59"/>
  <c r="D59"/>
  <c r="P59"/>
  <c r="C59"/>
  <c r="O38"/>
  <c r="M38" i="1" s="1"/>
  <c r="R38" i="37"/>
  <c r="O38" i="1" s="1"/>
  <c r="EA38" s="1"/>
  <c r="C38" i="37"/>
  <c r="D38"/>
  <c r="O53"/>
  <c r="R53"/>
  <c r="P53"/>
  <c r="D53"/>
  <c r="C53"/>
  <c r="O60"/>
  <c r="R60"/>
  <c r="P60"/>
  <c r="C60"/>
  <c r="D60"/>
  <c r="O29"/>
  <c r="P29" s="1"/>
  <c r="R29"/>
  <c r="C29"/>
  <c r="D29"/>
  <c r="P11" i="40"/>
  <c r="O11"/>
  <c r="Y11" i="1" s="1"/>
  <c r="R11" i="40"/>
  <c r="AA11" i="1" s="1"/>
  <c r="ED11" s="1"/>
  <c r="D11" i="40"/>
  <c r="C11"/>
  <c r="O55"/>
  <c r="R55"/>
  <c r="P55"/>
  <c r="C55"/>
  <c r="D55"/>
  <c r="O49"/>
  <c r="R49"/>
  <c r="P49"/>
  <c r="C49"/>
  <c r="D49"/>
  <c r="C73"/>
  <c r="O73"/>
  <c r="P73"/>
  <c r="D73"/>
  <c r="R73"/>
  <c r="D70"/>
  <c r="O70"/>
  <c r="R70"/>
  <c r="C70"/>
  <c r="P70"/>
  <c r="R16"/>
  <c r="O16"/>
  <c r="P16" s="1"/>
  <c r="C16"/>
  <c r="D16"/>
  <c r="O28"/>
  <c r="P28" s="1"/>
  <c r="R28"/>
  <c r="AA28" i="1" s="1"/>
  <c r="ED28" s="1"/>
  <c r="C28" i="40"/>
  <c r="D28"/>
  <c r="O33"/>
  <c r="P33" s="1"/>
  <c r="R33"/>
  <c r="AA33" i="1" s="1"/>
  <c r="ED33" s="1"/>
  <c r="C33" i="40"/>
  <c r="D33"/>
  <c r="R52"/>
  <c r="O52"/>
  <c r="P52"/>
  <c r="C52"/>
  <c r="D52"/>
  <c r="R21"/>
  <c r="AA21" i="1" s="1"/>
  <c r="ED21" s="1"/>
  <c r="O21" i="40"/>
  <c r="Y21" i="1" s="1"/>
  <c r="C21" i="40"/>
  <c r="D21"/>
  <c r="R42" i="42"/>
  <c r="C42"/>
  <c r="P42"/>
  <c r="O42"/>
  <c r="D42"/>
  <c r="P46"/>
  <c r="O46"/>
  <c r="D46"/>
  <c r="C46"/>
  <c r="R46"/>
  <c r="O55"/>
  <c r="D55"/>
  <c r="C55"/>
  <c r="R55"/>
  <c r="P55"/>
  <c r="O64"/>
  <c r="D64"/>
  <c r="R64"/>
  <c r="P64"/>
  <c r="C64"/>
  <c r="O65"/>
  <c r="D65"/>
  <c r="P65"/>
  <c r="C65"/>
  <c r="R65"/>
  <c r="C60"/>
  <c r="R60"/>
  <c r="D60"/>
  <c r="O60"/>
  <c r="P60"/>
  <c r="R61"/>
  <c r="C61"/>
  <c r="D61"/>
  <c r="O61"/>
  <c r="P61"/>
  <c r="DX7" i="1"/>
  <c r="GB7"/>
  <c r="CO7"/>
  <c r="ES7"/>
  <c r="P49" i="36"/>
  <c r="R49"/>
  <c r="D49"/>
  <c r="O49"/>
  <c r="C49"/>
  <c r="D69"/>
  <c r="O69"/>
  <c r="R69"/>
  <c r="P69"/>
  <c r="C69"/>
  <c r="P63"/>
  <c r="O63"/>
  <c r="D63"/>
  <c r="R63"/>
  <c r="C63"/>
  <c r="C17"/>
  <c r="O17"/>
  <c r="P17" s="1"/>
  <c r="D17"/>
  <c r="R17"/>
  <c r="K17" i="1" s="1"/>
  <c r="DZ17" s="1"/>
  <c r="C70" i="36"/>
  <c r="P70"/>
  <c r="D70"/>
  <c r="O70"/>
  <c r="R70"/>
  <c r="O45"/>
  <c r="P45" s="1"/>
  <c r="C45"/>
  <c r="R45"/>
  <c r="K45" i="1" s="1"/>
  <c r="DZ45" s="1"/>
  <c r="D45" i="36"/>
  <c r="R50"/>
  <c r="C50"/>
  <c r="P50"/>
  <c r="O50"/>
  <c r="D50"/>
  <c r="R59"/>
  <c r="P59"/>
  <c r="C59"/>
  <c r="D59"/>
  <c r="O59"/>
  <c r="R12"/>
  <c r="K12" i="1" s="1"/>
  <c r="DZ12" s="1"/>
  <c r="C12" i="36"/>
  <c r="D12"/>
  <c r="O12"/>
  <c r="P12" s="1"/>
  <c r="R65" i="38"/>
  <c r="P65"/>
  <c r="C65"/>
  <c r="O65"/>
  <c r="D65"/>
  <c r="R63"/>
  <c r="C63"/>
  <c r="O63"/>
  <c r="P63"/>
  <c r="D63"/>
  <c r="O60"/>
  <c r="R60"/>
  <c r="P60"/>
  <c r="C60"/>
  <c r="D60"/>
  <c r="O51"/>
  <c r="R51"/>
  <c r="P51"/>
  <c r="C51"/>
  <c r="D51"/>
  <c r="P74"/>
  <c r="R74"/>
  <c r="O74"/>
  <c r="C74"/>
  <c r="D74"/>
  <c r="O33"/>
  <c r="P33" s="1"/>
  <c r="R33"/>
  <c r="S33" i="1" s="1"/>
  <c r="EB33" s="1"/>
  <c r="C33" i="38"/>
  <c r="D33"/>
  <c r="R52"/>
  <c r="P52"/>
  <c r="O52"/>
  <c r="C52"/>
  <c r="D52"/>
  <c r="R21"/>
  <c r="S21" i="1" s="1"/>
  <c r="EB21" s="1"/>
  <c r="O21" i="38"/>
  <c r="P21" s="1"/>
  <c r="C21"/>
  <c r="D21"/>
  <c r="C16" i="53"/>
  <c r="O16"/>
  <c r="AS16" i="1" s="1"/>
  <c r="D16" i="53"/>
  <c r="D69"/>
  <c r="O69"/>
  <c r="C69"/>
  <c r="P69"/>
  <c r="O58"/>
  <c r="C58"/>
  <c r="P58"/>
  <c r="D58"/>
  <c r="O55"/>
  <c r="D55"/>
  <c r="P55"/>
  <c r="C55"/>
  <c r="O68"/>
  <c r="P68"/>
  <c r="C68"/>
  <c r="D68"/>
  <c r="O46"/>
  <c r="C46"/>
  <c r="D46"/>
  <c r="P46"/>
  <c r="O60"/>
  <c r="P60"/>
  <c r="C60"/>
  <c r="D60"/>
  <c r="O44"/>
  <c r="P44" s="1"/>
  <c r="C44"/>
  <c r="D44"/>
  <c r="O29"/>
  <c r="AS29" i="1" s="1"/>
  <c r="D29" i="53"/>
  <c r="C29"/>
  <c r="O19"/>
  <c r="AS19" i="1" s="1"/>
  <c r="D19" i="53"/>
  <c r="C19"/>
  <c r="O30"/>
  <c r="P30" s="1"/>
  <c r="C30"/>
  <c r="D30"/>
  <c r="C36" i="55"/>
  <c r="R36"/>
  <c r="D36"/>
  <c r="O36"/>
  <c r="P36"/>
  <c r="P57"/>
  <c r="R57"/>
  <c r="C57"/>
  <c r="O57"/>
  <c r="D57"/>
  <c r="R44"/>
  <c r="C44"/>
  <c r="P44"/>
  <c r="O44"/>
  <c r="D44"/>
  <c r="P32"/>
  <c r="O32"/>
  <c r="D32"/>
  <c r="C32"/>
  <c r="R32"/>
  <c r="R26"/>
  <c r="D26"/>
  <c r="P26"/>
  <c r="O26"/>
  <c r="C26"/>
  <c r="R15"/>
  <c r="D15"/>
  <c r="C15"/>
  <c r="O15"/>
  <c r="P15"/>
  <c r="O59"/>
  <c r="C59"/>
  <c r="R59"/>
  <c r="P59"/>
  <c r="D59"/>
  <c r="P68"/>
  <c r="R68"/>
  <c r="D68"/>
  <c r="C68"/>
  <c r="O68"/>
  <c r="O33" i="43"/>
  <c r="R33"/>
  <c r="C33"/>
  <c r="P33"/>
  <c r="D33"/>
  <c r="O37"/>
  <c r="R37"/>
  <c r="C37"/>
  <c r="P37"/>
  <c r="D37"/>
  <c r="R54"/>
  <c r="O54"/>
  <c r="D54"/>
  <c r="C54"/>
  <c r="P54"/>
  <c r="D66"/>
  <c r="O66"/>
  <c r="R66"/>
  <c r="C66"/>
  <c r="P66"/>
  <c r="P71"/>
  <c r="C71"/>
  <c r="R71"/>
  <c r="O71"/>
  <c r="D71"/>
  <c r="O39"/>
  <c r="R39"/>
  <c r="P39"/>
  <c r="C39"/>
  <c r="D39"/>
  <c r="D72"/>
  <c r="P72"/>
  <c r="O72"/>
  <c r="R72"/>
  <c r="C72"/>
  <c r="R40"/>
  <c r="P40"/>
  <c r="D40"/>
  <c r="O40"/>
  <c r="C40"/>
  <c r="R74" i="39"/>
  <c r="C74"/>
  <c r="P74"/>
  <c r="O74"/>
  <c r="D74"/>
  <c r="O68"/>
  <c r="P68"/>
  <c r="C68"/>
  <c r="R68"/>
  <c r="D68"/>
  <c r="P73"/>
  <c r="C73"/>
  <c r="D73"/>
  <c r="R73"/>
  <c r="O73"/>
  <c r="O35"/>
  <c r="U35" i="1" s="1"/>
  <c r="R35" i="39"/>
  <c r="W35" i="1" s="1"/>
  <c r="EC35" s="1"/>
  <c r="C35" i="39"/>
  <c r="D35"/>
  <c r="P35"/>
  <c r="R50"/>
  <c r="P50"/>
  <c r="C50"/>
  <c r="O50"/>
  <c r="D50"/>
  <c r="O58"/>
  <c r="R58"/>
  <c r="P58"/>
  <c r="C58"/>
  <c r="D58"/>
  <c r="O18"/>
  <c r="P18" s="1"/>
  <c r="R18"/>
  <c r="W18" i="1" s="1"/>
  <c r="EC18" s="1"/>
  <c r="C18" i="39"/>
  <c r="D18"/>
  <c r="O41"/>
  <c r="U41" i="1" s="1"/>
  <c r="R41" i="39"/>
  <c r="W41" i="1" s="1"/>
  <c r="EC41" s="1"/>
  <c r="P41" i="39"/>
  <c r="C41"/>
  <c r="D41"/>
  <c r="O33" i="41"/>
  <c r="AC33" i="1" s="1"/>
  <c r="R33" i="41"/>
  <c r="AE33" i="1" s="1"/>
  <c r="EE33" s="1"/>
  <c r="D33" i="41"/>
  <c r="C33"/>
  <c r="R72"/>
  <c r="C72"/>
  <c r="O72"/>
  <c r="P72"/>
  <c r="D72"/>
  <c r="O45"/>
  <c r="AC45" i="1" s="1"/>
  <c r="D45" i="41"/>
  <c r="C45"/>
  <c r="R45"/>
  <c r="AE45" i="1" s="1"/>
  <c r="EE45" s="1"/>
  <c r="P45" i="41"/>
  <c r="P75"/>
  <c r="D75"/>
  <c r="R75"/>
  <c r="C75"/>
  <c r="O75"/>
  <c r="R38"/>
  <c r="AE38" i="1" s="1"/>
  <c r="EE38" s="1"/>
  <c r="O38" i="41"/>
  <c r="AC38" i="1" s="1"/>
  <c r="D38" i="41"/>
  <c r="C38"/>
  <c r="O25"/>
  <c r="AC25" i="1" s="1"/>
  <c r="R25" i="41"/>
  <c r="AE25" i="1" s="1"/>
  <c r="EE25" s="1"/>
  <c r="D25" i="41"/>
  <c r="C25"/>
  <c r="P25"/>
  <c r="O26"/>
  <c r="P26" s="1"/>
  <c r="R26"/>
  <c r="AE26" i="1" s="1"/>
  <c r="EE26" s="1"/>
  <c r="D26" i="41"/>
  <c r="C26"/>
  <c r="O62" i="54"/>
  <c r="P62"/>
  <c r="D62"/>
  <c r="C62"/>
  <c r="F77" i="43"/>
  <c r="DS7" i="1"/>
  <c r="FW7"/>
  <c r="EN7"/>
  <c r="CJ7"/>
  <c r="C52" i="55"/>
  <c r="R52"/>
  <c r="O52"/>
  <c r="D52"/>
  <c r="P52"/>
  <c r="R17"/>
  <c r="P17"/>
  <c r="C17"/>
  <c r="D17"/>
  <c r="O17"/>
  <c r="P74"/>
  <c r="R74"/>
  <c r="D74"/>
  <c r="O74"/>
  <c r="C74"/>
  <c r="O45"/>
  <c r="D45"/>
  <c r="C45"/>
  <c r="R45"/>
  <c r="P45"/>
  <c r="C50"/>
  <c r="P50"/>
  <c r="O50"/>
  <c r="D50"/>
  <c r="R50"/>
  <c r="P39"/>
  <c r="C39"/>
  <c r="O39"/>
  <c r="D39"/>
  <c r="R39"/>
  <c r="P30"/>
  <c r="D30"/>
  <c r="R30"/>
  <c r="O30"/>
  <c r="C30"/>
  <c r="C19"/>
  <c r="D19"/>
  <c r="R19"/>
  <c r="O19"/>
  <c r="P19"/>
  <c r="O75"/>
  <c r="D75"/>
  <c r="P75"/>
  <c r="C75"/>
  <c r="R75"/>
  <c r="O73" i="43"/>
  <c r="R73"/>
  <c r="C73"/>
  <c r="D73"/>
  <c r="P73"/>
  <c r="O17"/>
  <c r="C17"/>
  <c r="P17"/>
  <c r="R17"/>
  <c r="D17"/>
  <c r="O13"/>
  <c r="R13"/>
  <c r="C13"/>
  <c r="P13"/>
  <c r="D13"/>
  <c r="O14"/>
  <c r="R14"/>
  <c r="D14"/>
  <c r="C14"/>
  <c r="P14"/>
  <c r="R26"/>
  <c r="O26"/>
  <c r="D26"/>
  <c r="C26"/>
  <c r="P26"/>
  <c r="R51"/>
  <c r="O51"/>
  <c r="P51"/>
  <c r="C51"/>
  <c r="D51"/>
  <c r="O19"/>
  <c r="R19"/>
  <c r="P19"/>
  <c r="C19"/>
  <c r="D19"/>
  <c r="O52"/>
  <c r="R52"/>
  <c r="P52"/>
  <c r="D52"/>
  <c r="C52"/>
  <c r="O20"/>
  <c r="R20"/>
  <c r="P20"/>
  <c r="D20"/>
  <c r="C20"/>
  <c r="P62" i="39"/>
  <c r="R62"/>
  <c r="C62"/>
  <c r="O62"/>
  <c r="D62"/>
  <c r="R64"/>
  <c r="O64"/>
  <c r="C64"/>
  <c r="P64"/>
  <c r="D64"/>
  <c r="O33"/>
  <c r="P33" s="1"/>
  <c r="R33"/>
  <c r="W33" i="1" s="1"/>
  <c r="EC33" s="1"/>
  <c r="C33" i="39"/>
  <c r="D33"/>
  <c r="R42"/>
  <c r="W42" i="1" s="1"/>
  <c r="EC42" s="1"/>
  <c r="O42" i="39"/>
  <c r="P42" s="1"/>
  <c r="C42"/>
  <c r="D42"/>
  <c r="R37"/>
  <c r="W37" i="1" s="1"/>
  <c r="EC37" s="1"/>
  <c r="O37" i="39"/>
  <c r="P37" s="1"/>
  <c r="C37"/>
  <c r="D37"/>
  <c r="O25"/>
  <c r="P25" s="1"/>
  <c r="R25"/>
  <c r="W25" i="1" s="1"/>
  <c r="EC25" s="1"/>
  <c r="C25" i="39"/>
  <c r="D25"/>
  <c r="O48"/>
  <c r="R48"/>
  <c r="P48"/>
  <c r="C48"/>
  <c r="D48"/>
  <c r="R23"/>
  <c r="O23"/>
  <c r="P23" s="1"/>
  <c r="C23"/>
  <c r="D23"/>
  <c r="P70" i="41"/>
  <c r="O70"/>
  <c r="C70"/>
  <c r="R70"/>
  <c r="D70"/>
  <c r="O39"/>
  <c r="P39" s="1"/>
  <c r="D39"/>
  <c r="R39"/>
  <c r="AE39" i="1" s="1"/>
  <c r="EE39" s="1"/>
  <c r="C39" i="41"/>
  <c r="P71"/>
  <c r="D71"/>
  <c r="R71"/>
  <c r="C71"/>
  <c r="O71"/>
  <c r="R30"/>
  <c r="AE30" i="1" s="1"/>
  <c r="EE30" s="1"/>
  <c r="O30" i="41"/>
  <c r="P30" s="1"/>
  <c r="D30"/>
  <c r="C30"/>
  <c r="O53"/>
  <c r="R53"/>
  <c r="P53"/>
  <c r="D53"/>
  <c r="C53"/>
  <c r="O12"/>
  <c r="P12" s="1"/>
  <c r="R12"/>
  <c r="AE12" i="1" s="1"/>
  <c r="EE12" s="1"/>
  <c r="C12" i="41"/>
  <c r="D12"/>
  <c r="O34"/>
  <c r="P34" s="1"/>
  <c r="R34"/>
  <c r="AE34" i="1" s="1"/>
  <c r="EE34" s="1"/>
  <c r="D34" i="41"/>
  <c r="C34"/>
  <c r="FZ7" i="1"/>
  <c r="CM7"/>
  <c r="DV7"/>
  <c r="EQ7"/>
  <c r="O46" i="54"/>
  <c r="P46"/>
  <c r="D46"/>
  <c r="C46"/>
  <c r="P63"/>
  <c r="D63"/>
  <c r="O63"/>
  <c r="C63"/>
  <c r="P67"/>
  <c r="D67"/>
  <c r="O67"/>
  <c r="C67"/>
  <c r="O72"/>
  <c r="D72"/>
  <c r="P72"/>
  <c r="C72"/>
  <c r="O40"/>
  <c r="P40" s="1"/>
  <c r="D40"/>
  <c r="C40"/>
  <c r="D69"/>
  <c r="C69"/>
  <c r="P69"/>
  <c r="O69"/>
  <c r="O37"/>
  <c r="AW37" i="1" s="1"/>
  <c r="D37" i="54"/>
  <c r="C37"/>
  <c r="P73" i="37"/>
  <c r="R73"/>
  <c r="C73"/>
  <c r="D73"/>
  <c r="O73"/>
  <c r="O70"/>
  <c r="C70"/>
  <c r="P70"/>
  <c r="D70"/>
  <c r="R70"/>
  <c r="O31"/>
  <c r="P31" s="1"/>
  <c r="R31"/>
  <c r="O31" i="1" s="1"/>
  <c r="EA31" s="1"/>
  <c r="D31" i="37"/>
  <c r="C31"/>
  <c r="O56"/>
  <c r="R56"/>
  <c r="P56"/>
  <c r="C56"/>
  <c r="D56"/>
  <c r="O17"/>
  <c r="M17" i="1" s="1"/>
  <c r="R17" i="37"/>
  <c r="O17" i="1" s="1"/>
  <c r="EA17" s="1"/>
  <c r="C17" i="37"/>
  <c r="D17"/>
  <c r="O24"/>
  <c r="M24" i="1" s="1"/>
  <c r="R24" i="37"/>
  <c r="O24" i="1" s="1"/>
  <c r="EA24" s="1"/>
  <c r="D24" i="37"/>
  <c r="C24"/>
  <c r="O44"/>
  <c r="P44"/>
  <c r="R44"/>
  <c r="O44" i="1" s="1"/>
  <c r="EA44" s="1"/>
  <c r="D44" i="37"/>
  <c r="C44"/>
  <c r="R19"/>
  <c r="O19" i="1" s="1"/>
  <c r="EA19" s="1"/>
  <c r="O19" i="37"/>
  <c r="P19" s="1"/>
  <c r="D19"/>
  <c r="C19"/>
  <c r="P75" i="40"/>
  <c r="R75"/>
  <c r="D75"/>
  <c r="C75"/>
  <c r="O75"/>
  <c r="C62"/>
  <c r="P62"/>
  <c r="D62"/>
  <c r="O62"/>
  <c r="R62"/>
  <c r="O41"/>
  <c r="Y41" i="1" s="1"/>
  <c r="R41" i="40"/>
  <c r="AA41" i="1" s="1"/>
  <c r="ED41" s="1"/>
  <c r="C41" i="40"/>
  <c r="P41"/>
  <c r="D41"/>
  <c r="O54"/>
  <c r="R54"/>
  <c r="P54"/>
  <c r="C54"/>
  <c r="D54"/>
  <c r="O50"/>
  <c r="R50"/>
  <c r="P50"/>
  <c r="C50"/>
  <c r="D50"/>
  <c r="O20"/>
  <c r="P20" s="1"/>
  <c r="R20"/>
  <c r="C20"/>
  <c r="D20"/>
  <c r="O39"/>
  <c r="P39" s="1"/>
  <c r="R39"/>
  <c r="AA39" i="1" s="1"/>
  <c r="ED39" s="1"/>
  <c r="C39" i="40"/>
  <c r="D39"/>
  <c r="EI7" i="1"/>
  <c r="DN7"/>
  <c r="FR7"/>
  <c r="CE7"/>
  <c r="AZ7"/>
  <c r="P51" i="42"/>
  <c r="R51"/>
  <c r="O51"/>
  <c r="D51"/>
  <c r="C51"/>
  <c r="R27"/>
  <c r="P27"/>
  <c r="C27"/>
  <c r="D27"/>
  <c r="O27"/>
  <c r="C47"/>
  <c r="O47"/>
  <c r="D47"/>
  <c r="P47"/>
  <c r="R47"/>
  <c r="O54"/>
  <c r="D54"/>
  <c r="P54"/>
  <c r="R54"/>
  <c r="C54"/>
  <c r="O32"/>
  <c r="D32"/>
  <c r="P32"/>
  <c r="R32"/>
  <c r="C32"/>
  <c r="O33"/>
  <c r="D33"/>
  <c r="C33"/>
  <c r="R33"/>
  <c r="P33"/>
  <c r="C28"/>
  <c r="R28"/>
  <c r="D28"/>
  <c r="O28"/>
  <c r="P28"/>
  <c r="P29"/>
  <c r="R29"/>
  <c r="D29"/>
  <c r="O29"/>
  <c r="C29"/>
  <c r="P56" i="36"/>
  <c r="O56"/>
  <c r="D56"/>
  <c r="C56"/>
  <c r="R56"/>
  <c r="R19"/>
  <c r="K19" i="1" s="1"/>
  <c r="DZ19" s="1"/>
  <c r="D19" i="36"/>
  <c r="O19"/>
  <c r="P19" s="1"/>
  <c r="C19"/>
  <c r="C58"/>
  <c r="R58"/>
  <c r="O58"/>
  <c r="D58"/>
  <c r="P58"/>
  <c r="P73"/>
  <c r="C73"/>
  <c r="O73"/>
  <c r="R73"/>
  <c r="D73"/>
  <c r="O22"/>
  <c r="I22" i="1" s="1"/>
  <c r="D22" i="36"/>
  <c r="C22"/>
  <c r="R22"/>
  <c r="K22" i="1" s="1"/>
  <c r="DZ22" s="1"/>
  <c r="P72" i="36"/>
  <c r="D72"/>
  <c r="C72"/>
  <c r="R72"/>
  <c r="O72"/>
  <c r="R23"/>
  <c r="K23" i="1" s="1"/>
  <c r="DZ23" s="1"/>
  <c r="D23" i="36"/>
  <c r="C23"/>
  <c r="O23"/>
  <c r="P23" s="1"/>
  <c r="O26"/>
  <c r="I26" i="1" s="1"/>
  <c r="D26" i="36"/>
  <c r="C26"/>
  <c r="R26"/>
  <c r="K26" i="1" s="1"/>
  <c r="DZ26" s="1"/>
  <c r="C75" i="36"/>
  <c r="P75"/>
  <c r="O75"/>
  <c r="R75"/>
  <c r="D75"/>
  <c r="R44"/>
  <c r="K44" i="1" s="1"/>
  <c r="DZ44" s="1"/>
  <c r="C44" i="36"/>
  <c r="O44"/>
  <c r="I44" i="1" s="1"/>
  <c r="D44" i="36"/>
  <c r="R28"/>
  <c r="C28"/>
  <c r="O28"/>
  <c r="P28" s="1"/>
  <c r="D28"/>
  <c r="P75" i="38"/>
  <c r="R75"/>
  <c r="C75"/>
  <c r="O75"/>
  <c r="D75"/>
  <c r="R61"/>
  <c r="O61"/>
  <c r="P61"/>
  <c r="C61"/>
  <c r="D61"/>
  <c r="O26"/>
  <c r="P26" s="1"/>
  <c r="C26"/>
  <c r="R26"/>
  <c r="S26" i="1" s="1"/>
  <c r="EB26" s="1"/>
  <c r="D26" i="38"/>
  <c r="R22"/>
  <c r="S22" i="1" s="1"/>
  <c r="EB22" s="1"/>
  <c r="O22" i="38"/>
  <c r="P22" s="1"/>
  <c r="C22"/>
  <c r="D22"/>
  <c r="O66"/>
  <c r="R66"/>
  <c r="C66"/>
  <c r="D66"/>
  <c r="P66"/>
  <c r="O50"/>
  <c r="R50"/>
  <c r="C50"/>
  <c r="P50"/>
  <c r="D50"/>
  <c r="O20"/>
  <c r="Q20" i="1" s="1"/>
  <c r="R20" i="38"/>
  <c r="S20" i="1" s="1"/>
  <c r="EB20" s="1"/>
  <c r="C20" i="38"/>
  <c r="D20"/>
  <c r="R39"/>
  <c r="S39" i="1" s="1"/>
  <c r="EB39" s="1"/>
  <c r="O39" i="38"/>
  <c r="Q39" i="1" s="1"/>
  <c r="C39" i="38"/>
  <c r="D39"/>
  <c r="C14" i="53"/>
  <c r="O14"/>
  <c r="P14" s="1"/>
  <c r="D14"/>
  <c r="D73"/>
  <c r="O73"/>
  <c r="P73"/>
  <c r="C73"/>
  <c r="O40"/>
  <c r="P40" s="1"/>
  <c r="C40"/>
  <c r="D40"/>
  <c r="O38"/>
  <c r="P38" s="1"/>
  <c r="C38"/>
  <c r="D38"/>
  <c r="P25" i="55"/>
  <c r="R25"/>
  <c r="D25"/>
  <c r="O25"/>
  <c r="C25"/>
  <c r="R49"/>
  <c r="P49"/>
  <c r="C49"/>
  <c r="D49"/>
  <c r="O49"/>
  <c r="C21"/>
  <c r="O21"/>
  <c r="D21"/>
  <c r="P21"/>
  <c r="R21"/>
  <c r="O61"/>
  <c r="C61"/>
  <c r="P61"/>
  <c r="D61"/>
  <c r="R61"/>
  <c r="R58"/>
  <c r="P58"/>
  <c r="D58"/>
  <c r="C58"/>
  <c r="O58"/>
  <c r="R47"/>
  <c r="C47"/>
  <c r="D47"/>
  <c r="P47"/>
  <c r="O47"/>
  <c r="O38"/>
  <c r="D38"/>
  <c r="C38"/>
  <c r="R38"/>
  <c r="P38"/>
  <c r="O27"/>
  <c r="D27"/>
  <c r="P27"/>
  <c r="R27"/>
  <c r="C27"/>
  <c r="O71"/>
  <c r="D71"/>
  <c r="R71"/>
  <c r="C71"/>
  <c r="P71"/>
  <c r="R25" i="43"/>
  <c r="O25"/>
  <c r="C25"/>
  <c r="P25"/>
  <c r="D25"/>
  <c r="O49"/>
  <c r="R49"/>
  <c r="C49"/>
  <c r="P49"/>
  <c r="D49"/>
  <c r="O29"/>
  <c r="C29"/>
  <c r="R29"/>
  <c r="P29"/>
  <c r="D29"/>
  <c r="O22"/>
  <c r="R22"/>
  <c r="D22"/>
  <c r="C22"/>
  <c r="P22"/>
  <c r="R34"/>
  <c r="O34"/>
  <c r="D34"/>
  <c r="C34"/>
  <c r="P34"/>
  <c r="R55"/>
  <c r="O55"/>
  <c r="P55"/>
  <c r="C55"/>
  <c r="D55"/>
  <c r="O23"/>
  <c r="P23"/>
  <c r="C23"/>
  <c r="R23"/>
  <c r="D23"/>
  <c r="O56"/>
  <c r="R56"/>
  <c r="P56"/>
  <c r="D56"/>
  <c r="C56"/>
  <c r="R24"/>
  <c r="O24"/>
  <c r="P24"/>
  <c r="D24"/>
  <c r="C24"/>
  <c r="O20" i="39"/>
  <c r="P20" s="1"/>
  <c r="R20"/>
  <c r="C20"/>
  <c r="D20"/>
  <c r="O45"/>
  <c r="P45" s="1"/>
  <c r="R45"/>
  <c r="W45" i="1" s="1"/>
  <c r="EC45" s="1"/>
  <c r="C45" i="39"/>
  <c r="D45"/>
  <c r="P75"/>
  <c r="R75"/>
  <c r="O75"/>
  <c r="C75"/>
  <c r="D75"/>
  <c r="O32"/>
  <c r="P32" s="1"/>
  <c r="R32"/>
  <c r="W32" i="1" s="1"/>
  <c r="EC32" s="1"/>
  <c r="C32" i="39"/>
  <c r="D32"/>
  <c r="R27"/>
  <c r="W27" i="1" s="1"/>
  <c r="EC27" s="1"/>
  <c r="O27" i="39"/>
  <c r="P27" s="1"/>
  <c r="C27"/>
  <c r="D27"/>
  <c r="O59"/>
  <c r="R59"/>
  <c r="P59"/>
  <c r="C59"/>
  <c r="D59"/>
  <c r="O40"/>
  <c r="U40" i="1" s="1"/>
  <c r="R40" i="39"/>
  <c r="C40"/>
  <c r="D40"/>
  <c r="P40"/>
  <c r="O51"/>
  <c r="R51"/>
  <c r="C51"/>
  <c r="D51"/>
  <c r="P51"/>
  <c r="O26"/>
  <c r="P26" s="1"/>
  <c r="R26"/>
  <c r="C26"/>
  <c r="D26"/>
  <c r="O14" i="41"/>
  <c r="P14" s="1"/>
  <c r="R14"/>
  <c r="D14"/>
  <c r="C14"/>
  <c r="O31"/>
  <c r="P31" s="1"/>
  <c r="R31"/>
  <c r="AE31" i="1" s="1"/>
  <c r="EE31" s="1"/>
  <c r="D31" i="41"/>
  <c r="C31"/>
  <c r="R56"/>
  <c r="O56"/>
  <c r="C56"/>
  <c r="D56"/>
  <c r="P56"/>
  <c r="O17"/>
  <c r="P17" s="1"/>
  <c r="R17"/>
  <c r="AE17" i="1" s="1"/>
  <c r="EE17" s="1"/>
  <c r="D17" i="41"/>
  <c r="C17"/>
  <c r="O55"/>
  <c r="R55"/>
  <c r="P55"/>
  <c r="D55"/>
  <c r="C55"/>
  <c r="O16"/>
  <c r="AC16" i="1" s="1"/>
  <c r="R16" i="41"/>
  <c r="AE16" i="1" s="1"/>
  <c r="EE16" s="1"/>
  <c r="C16" i="41"/>
  <c r="D16"/>
  <c r="R51"/>
  <c r="P51"/>
  <c r="D51"/>
  <c r="O51"/>
  <c r="C51"/>
  <c r="O41"/>
  <c r="P41" s="1"/>
  <c r="R41"/>
  <c r="D41"/>
  <c r="C41"/>
  <c r="O42" i="54"/>
  <c r="P42" s="1"/>
  <c r="D42"/>
  <c r="C42"/>
  <c r="O18"/>
  <c r="P18" s="1"/>
  <c r="D18"/>
  <c r="C18"/>
  <c r="F77" i="42"/>
  <c r="O39" i="54"/>
  <c r="P39" s="1"/>
  <c r="D39"/>
  <c r="C39"/>
  <c r="D43"/>
  <c r="O43"/>
  <c r="AW43" i="1" s="1"/>
  <c r="C43" i="54"/>
  <c r="O60"/>
  <c r="D60"/>
  <c r="C60"/>
  <c r="P60"/>
  <c r="O28"/>
  <c r="P28" s="1"/>
  <c r="D28"/>
  <c r="C28"/>
  <c r="D57"/>
  <c r="C57"/>
  <c r="P57"/>
  <c r="O57"/>
  <c r="O25"/>
  <c r="P25" s="1"/>
  <c r="D25"/>
  <c r="C25"/>
  <c r="P66" i="37"/>
  <c r="O66"/>
  <c r="C66"/>
  <c r="R66"/>
  <c r="D66"/>
  <c r="O62"/>
  <c r="P62"/>
  <c r="R62"/>
  <c r="C62"/>
  <c r="D62"/>
  <c r="O57"/>
  <c r="P57"/>
  <c r="R57"/>
  <c r="C57"/>
  <c r="D57"/>
  <c r="P65"/>
  <c r="R65"/>
  <c r="D65"/>
  <c r="O65"/>
  <c r="C65"/>
  <c r="P75"/>
  <c r="R75"/>
  <c r="C75"/>
  <c r="O75"/>
  <c r="D75"/>
  <c r="O47"/>
  <c r="R47"/>
  <c r="P47"/>
  <c r="C47"/>
  <c r="D47"/>
  <c r="O21"/>
  <c r="P21" s="1"/>
  <c r="R21"/>
  <c r="D21"/>
  <c r="C21"/>
  <c r="O25"/>
  <c r="P25" s="1"/>
  <c r="R25"/>
  <c r="D25"/>
  <c r="C25"/>
  <c r="O34"/>
  <c r="P34" s="1"/>
  <c r="R34"/>
  <c r="O34" i="1" s="1"/>
  <c r="EA34" s="1"/>
  <c r="C34" i="37"/>
  <c r="D34"/>
  <c r="R68" i="40"/>
  <c r="P68"/>
  <c r="O68"/>
  <c r="C68"/>
  <c r="D68"/>
  <c r="R40"/>
  <c r="AA40" i="1" s="1"/>
  <c r="ED40" s="1"/>
  <c r="O40" i="40"/>
  <c r="P40" s="1"/>
  <c r="C40"/>
  <c r="D40"/>
  <c r="O43"/>
  <c r="P43" s="1"/>
  <c r="R43"/>
  <c r="C43"/>
  <c r="D43"/>
  <c r="O37"/>
  <c r="Y37" i="1" s="1"/>
  <c r="R37" i="40"/>
  <c r="AA37" i="1" s="1"/>
  <c r="ED37" s="1"/>
  <c r="C37" i="40"/>
  <c r="D37"/>
  <c r="R57"/>
  <c r="O57"/>
  <c r="P57"/>
  <c r="C57"/>
  <c r="D57"/>
  <c r="R31"/>
  <c r="AA31" i="1" s="1"/>
  <c r="ED31" s="1"/>
  <c r="O31" i="40"/>
  <c r="P31" s="1"/>
  <c r="C31"/>
  <c r="D31"/>
  <c r="P19" i="42"/>
  <c r="R19"/>
  <c r="O19"/>
  <c r="D19"/>
  <c r="C19"/>
  <c r="R67"/>
  <c r="C67"/>
  <c r="D67"/>
  <c r="O67"/>
  <c r="P67"/>
  <c r="R74"/>
  <c r="O74"/>
  <c r="C74"/>
  <c r="P74"/>
  <c r="D74"/>
  <c r="C62"/>
  <c r="P62"/>
  <c r="D62"/>
  <c r="O62"/>
  <c r="R62"/>
  <c r="O71"/>
  <c r="D71"/>
  <c r="P71"/>
  <c r="C71"/>
  <c r="R71"/>
  <c r="R72"/>
  <c r="O72"/>
  <c r="P72"/>
  <c r="D72"/>
  <c r="C72"/>
  <c r="P73"/>
  <c r="O73"/>
  <c r="D73"/>
  <c r="R73"/>
  <c r="C73"/>
  <c r="P68"/>
  <c r="D68"/>
  <c r="O68"/>
  <c r="R68"/>
  <c r="C68"/>
  <c r="C69"/>
  <c r="R69"/>
  <c r="P69"/>
  <c r="D69"/>
  <c r="O69"/>
  <c r="O74" i="36"/>
  <c r="R74"/>
  <c r="D74"/>
  <c r="P74"/>
  <c r="C74"/>
  <c r="R27"/>
  <c r="K27" i="1" s="1"/>
  <c r="DZ27" s="1"/>
  <c r="O27" i="36"/>
  <c r="P27" s="1"/>
  <c r="D27"/>
  <c r="C27"/>
  <c r="O48"/>
  <c r="D48"/>
  <c r="P48"/>
  <c r="R48"/>
  <c r="C48"/>
  <c r="O53"/>
  <c r="D53"/>
  <c r="C53"/>
  <c r="R53"/>
  <c r="P53"/>
  <c r="O11"/>
  <c r="D11"/>
  <c r="C11"/>
  <c r="R11"/>
  <c r="K11" i="1" s="1"/>
  <c r="DZ11" s="1"/>
  <c r="P51" i="36"/>
  <c r="R51"/>
  <c r="D51"/>
  <c r="C51"/>
  <c r="O51"/>
  <c r="C16"/>
  <c r="R16"/>
  <c r="K16" i="1" s="1"/>
  <c r="DZ16" s="1"/>
  <c r="D16" i="36"/>
  <c r="O16"/>
  <c r="P16" s="1"/>
  <c r="O41" i="38"/>
  <c r="P41" s="1"/>
  <c r="C41"/>
  <c r="R41"/>
  <c r="S41" i="1" s="1"/>
  <c r="EB41" s="1"/>
  <c r="D41" i="38"/>
  <c r="P71"/>
  <c r="O71"/>
  <c r="R71"/>
  <c r="C71"/>
  <c r="D71"/>
  <c r="O25"/>
  <c r="P25" s="1"/>
  <c r="R25"/>
  <c r="S25" i="1" s="1"/>
  <c r="EB25" s="1"/>
  <c r="C25" i="38"/>
  <c r="D25"/>
  <c r="O49"/>
  <c r="R49"/>
  <c r="P49"/>
  <c r="C49"/>
  <c r="D49"/>
  <c r="O54"/>
  <c r="R54"/>
  <c r="P54"/>
  <c r="C54"/>
  <c r="D54"/>
  <c r="O28"/>
  <c r="P28" s="1"/>
  <c r="C28"/>
  <c r="D28"/>
  <c r="R28"/>
  <c r="S28" i="1" s="1"/>
  <c r="EB28" s="1"/>
  <c r="P64" i="38"/>
  <c r="O64"/>
  <c r="R64"/>
  <c r="C64"/>
  <c r="D64"/>
  <c r="P72"/>
  <c r="O72"/>
  <c r="C72"/>
  <c r="D72"/>
  <c r="R72"/>
  <c r="O56"/>
  <c r="R56"/>
  <c r="P56"/>
  <c r="C56"/>
  <c r="D56"/>
  <c r="O37"/>
  <c r="P37" s="1"/>
  <c r="R37"/>
  <c r="S37" i="1" s="1"/>
  <c r="EB37" s="1"/>
  <c r="C37" i="38"/>
  <c r="D37"/>
  <c r="O27"/>
  <c r="Q27" i="1" s="1"/>
  <c r="R27" i="38"/>
  <c r="S27" i="1" s="1"/>
  <c r="EB27" s="1"/>
  <c r="C27" i="38"/>
  <c r="P27"/>
  <c r="D27"/>
  <c r="R57"/>
  <c r="O57"/>
  <c r="P57"/>
  <c r="C57"/>
  <c r="D57"/>
  <c r="O45"/>
  <c r="P45" s="1"/>
  <c r="R45"/>
  <c r="S45" i="1" s="1"/>
  <c r="EB45" s="1"/>
  <c r="C45" i="38"/>
  <c r="D45"/>
  <c r="O31"/>
  <c r="Q31" i="1" s="1"/>
  <c r="R31" i="38"/>
  <c r="C31"/>
  <c r="D31"/>
  <c r="O15" i="53"/>
  <c r="P15" s="1"/>
  <c r="C15"/>
  <c r="D15"/>
  <c r="O36"/>
  <c r="P36" s="1"/>
  <c r="C36"/>
  <c r="D36"/>
  <c r="D75"/>
  <c r="P75"/>
  <c r="O75"/>
  <c r="C75"/>
  <c r="O17"/>
  <c r="P17" s="1"/>
  <c r="D17"/>
  <c r="C17"/>
  <c r="D63"/>
  <c r="P63"/>
  <c r="C63"/>
  <c r="O63"/>
  <c r="O18"/>
  <c r="P18" s="1"/>
  <c r="C18"/>
  <c r="D18"/>
  <c r="O59"/>
  <c r="D59"/>
  <c r="P59"/>
  <c r="C59"/>
  <c r="D45"/>
  <c r="O45"/>
  <c r="AS45" i="1" s="1"/>
  <c r="C45" i="53"/>
  <c r="O72"/>
  <c r="P72"/>
  <c r="C72"/>
  <c r="D72"/>
  <c r="O53"/>
  <c r="D53"/>
  <c r="P53"/>
  <c r="C53"/>
  <c r="O24"/>
  <c r="P24" s="1"/>
  <c r="C24"/>
  <c r="D24"/>
  <c r="O48"/>
  <c r="P48"/>
  <c r="C48"/>
  <c r="D48"/>
  <c r="O34"/>
  <c r="P34" s="1"/>
  <c r="C34"/>
  <c r="D34"/>
  <c r="O23"/>
  <c r="P23" s="1"/>
  <c r="D23"/>
  <c r="C23"/>
  <c r="O42"/>
  <c r="P42" s="1"/>
  <c r="C42"/>
  <c r="D42"/>
  <c r="O32"/>
  <c r="P32" s="1"/>
  <c r="C32"/>
  <c r="D32"/>
  <c r="DW7" i="1"/>
  <c r="GA7"/>
  <c r="CN7"/>
  <c r="ER7"/>
  <c r="C20" i="55"/>
  <c r="R20"/>
  <c r="O20"/>
  <c r="D20"/>
  <c r="P20"/>
  <c r="R28"/>
  <c r="C28"/>
  <c r="P28"/>
  <c r="D28"/>
  <c r="O28"/>
  <c r="P48"/>
  <c r="O48"/>
  <c r="D48"/>
  <c r="C48"/>
  <c r="R48"/>
  <c r="C37"/>
  <c r="O37"/>
  <c r="D37"/>
  <c r="P37"/>
  <c r="R37"/>
  <c r="O24"/>
  <c r="D24"/>
  <c r="P24"/>
  <c r="R24"/>
  <c r="C24"/>
  <c r="O13"/>
  <c r="D13"/>
  <c r="C13"/>
  <c r="R13"/>
  <c r="P13"/>
  <c r="C34"/>
  <c r="D34"/>
  <c r="R34"/>
  <c r="O34"/>
  <c r="P34"/>
  <c r="P55"/>
  <c r="R55"/>
  <c r="D55"/>
  <c r="C55"/>
  <c r="O55"/>
  <c r="P23"/>
  <c r="D23"/>
  <c r="R23"/>
  <c r="O23"/>
  <c r="C23"/>
  <c r="P46"/>
  <c r="C46"/>
  <c r="O46"/>
  <c r="D46"/>
  <c r="R46"/>
  <c r="P14"/>
  <c r="O14"/>
  <c r="C14"/>
  <c r="R14"/>
  <c r="D14"/>
  <c r="C35"/>
  <c r="P35"/>
  <c r="O35"/>
  <c r="D35"/>
  <c r="R35"/>
  <c r="P70"/>
  <c r="R70"/>
  <c r="D70"/>
  <c r="O70"/>
  <c r="C70"/>
  <c r="D72"/>
  <c r="P72"/>
  <c r="R72"/>
  <c r="O72"/>
  <c r="C72"/>
  <c r="C65"/>
  <c r="P65"/>
  <c r="R65"/>
  <c r="O65"/>
  <c r="D65"/>
  <c r="O65" i="43"/>
  <c r="R65"/>
  <c r="C65"/>
  <c r="D65"/>
  <c r="P65"/>
  <c r="R53"/>
  <c r="O53"/>
  <c r="C53"/>
  <c r="P53"/>
  <c r="D53"/>
  <c r="O45"/>
  <c r="R45"/>
  <c r="C45"/>
  <c r="P45"/>
  <c r="D45"/>
  <c r="D62"/>
  <c r="O62"/>
  <c r="R62"/>
  <c r="C62"/>
  <c r="P62"/>
  <c r="O30"/>
  <c r="R30"/>
  <c r="D30"/>
  <c r="C30"/>
  <c r="P30"/>
  <c r="D74"/>
  <c r="O74"/>
  <c r="R74"/>
  <c r="C74"/>
  <c r="P74"/>
  <c r="O42"/>
  <c r="R42"/>
  <c r="D42"/>
  <c r="C42"/>
  <c r="P42"/>
  <c r="P75"/>
  <c r="C75"/>
  <c r="R75"/>
  <c r="D75"/>
  <c r="O75"/>
  <c r="O59"/>
  <c r="R59"/>
  <c r="C59"/>
  <c r="P59"/>
  <c r="D59"/>
  <c r="O43"/>
  <c r="R43"/>
  <c r="P43"/>
  <c r="C43"/>
  <c r="D43"/>
  <c r="O27"/>
  <c r="R27"/>
  <c r="P27"/>
  <c r="C27"/>
  <c r="D27"/>
  <c r="O11"/>
  <c r="R11"/>
  <c r="H83"/>
  <c r="L78"/>
  <c r="H82"/>
  <c r="H80"/>
  <c r="C11"/>
  <c r="H79"/>
  <c r="H78"/>
  <c r="P11"/>
  <c r="H81"/>
  <c r="D11"/>
  <c r="L81"/>
  <c r="R60"/>
  <c r="O60"/>
  <c r="P60"/>
  <c r="D60"/>
  <c r="C60"/>
  <c r="R44"/>
  <c r="P44"/>
  <c r="D44"/>
  <c r="O44"/>
  <c r="C44"/>
  <c r="O28"/>
  <c r="R28"/>
  <c r="P28"/>
  <c r="D28"/>
  <c r="C28"/>
  <c r="O12"/>
  <c r="R12"/>
  <c r="P12"/>
  <c r="D12"/>
  <c r="C12"/>
  <c r="O66" i="39"/>
  <c r="P66"/>
  <c r="C66"/>
  <c r="R66"/>
  <c r="D66"/>
  <c r="P69"/>
  <c r="C69"/>
  <c r="O69"/>
  <c r="D69"/>
  <c r="R69"/>
  <c r="P63"/>
  <c r="C63"/>
  <c r="R63"/>
  <c r="O63"/>
  <c r="D63"/>
  <c r="O11"/>
  <c r="P11" s="1"/>
  <c r="R11"/>
  <c r="W11" i="1" s="1"/>
  <c r="EC11" s="1"/>
  <c r="C11" i="39"/>
  <c r="D11"/>
  <c r="P70"/>
  <c r="O70"/>
  <c r="R70"/>
  <c r="C70"/>
  <c r="D70"/>
  <c r="R72"/>
  <c r="C72"/>
  <c r="O72"/>
  <c r="D72"/>
  <c r="P72"/>
  <c r="O46"/>
  <c r="R46"/>
  <c r="C46"/>
  <c r="P46"/>
  <c r="D46"/>
  <c r="O52"/>
  <c r="P52"/>
  <c r="C52"/>
  <c r="R52"/>
  <c r="D52"/>
  <c r="R30"/>
  <c r="W30" i="1" s="1"/>
  <c r="EC30" s="1"/>
  <c r="O30" i="39"/>
  <c r="P30" s="1"/>
  <c r="C30"/>
  <c r="D30"/>
  <c r="O13"/>
  <c r="P13" s="1"/>
  <c r="R13"/>
  <c r="W13" i="1" s="1"/>
  <c r="EC13" s="1"/>
  <c r="C13" i="39"/>
  <c r="D13"/>
  <c r="O12"/>
  <c r="R12"/>
  <c r="W12" i="1" s="1"/>
  <c r="EC12" s="1"/>
  <c r="C12" i="39"/>
  <c r="D12"/>
  <c r="O49"/>
  <c r="R49"/>
  <c r="P49"/>
  <c r="C49"/>
  <c r="D49"/>
  <c r="O22"/>
  <c r="P22" s="1"/>
  <c r="R22"/>
  <c r="W22" i="1" s="1"/>
  <c r="EC22" s="1"/>
  <c r="C22" i="39"/>
  <c r="D22"/>
  <c r="O54"/>
  <c r="R54"/>
  <c r="P54"/>
  <c r="C54"/>
  <c r="D54"/>
  <c r="R43"/>
  <c r="W43" i="1" s="1"/>
  <c r="EC43" s="1"/>
  <c r="O43" i="39"/>
  <c r="P43" s="1"/>
  <c r="C43"/>
  <c r="D43"/>
  <c r="O28"/>
  <c r="P28" s="1"/>
  <c r="R28"/>
  <c r="W28" i="1" s="1"/>
  <c r="EC28" s="1"/>
  <c r="C28" i="39"/>
  <c r="D28"/>
  <c r="O15"/>
  <c r="P15" s="1"/>
  <c r="R15"/>
  <c r="W15" i="1" s="1"/>
  <c r="EC15" s="1"/>
  <c r="C15" i="39"/>
  <c r="D15"/>
  <c r="O66" i="41"/>
  <c r="D66"/>
  <c r="P66"/>
  <c r="R66"/>
  <c r="C66"/>
  <c r="O73"/>
  <c r="D73"/>
  <c r="P73"/>
  <c r="R73"/>
  <c r="C73"/>
  <c r="O32"/>
  <c r="P32" s="1"/>
  <c r="R32"/>
  <c r="AE32" i="1" s="1"/>
  <c r="EE32" s="1"/>
  <c r="C32" i="41"/>
  <c r="D32"/>
  <c r="O61"/>
  <c r="D61"/>
  <c r="R61"/>
  <c r="C61"/>
  <c r="P61"/>
  <c r="O46"/>
  <c r="R46"/>
  <c r="D46"/>
  <c r="P46"/>
  <c r="C46"/>
  <c r="P64"/>
  <c r="R64"/>
  <c r="O64"/>
  <c r="C64"/>
  <c r="D64"/>
  <c r="O47"/>
  <c r="R47"/>
  <c r="P47"/>
  <c r="D47"/>
  <c r="C47"/>
  <c r="O36"/>
  <c r="P36" s="1"/>
  <c r="R36"/>
  <c r="C36"/>
  <c r="D36"/>
  <c r="P63"/>
  <c r="D63"/>
  <c r="R63"/>
  <c r="C63"/>
  <c r="O63"/>
  <c r="O42"/>
  <c r="P42" s="1"/>
  <c r="D42"/>
  <c r="R42"/>
  <c r="AE42" i="1" s="1"/>
  <c r="EE42" s="1"/>
  <c r="C42" i="41"/>
  <c r="O21"/>
  <c r="P21" s="1"/>
  <c r="R21"/>
  <c r="AE21" i="1" s="1"/>
  <c r="EE21" s="1"/>
  <c r="D21" i="41"/>
  <c r="C21"/>
  <c r="O58"/>
  <c r="P58"/>
  <c r="D58"/>
  <c r="R58"/>
  <c r="C58"/>
  <c r="O40"/>
  <c r="AC40" i="1" s="1"/>
  <c r="R40" i="41"/>
  <c r="AE40" i="1" s="1"/>
  <c r="EE40" s="1"/>
  <c r="C40" i="41"/>
  <c r="D40"/>
  <c r="P40"/>
  <c r="O18"/>
  <c r="AC18" i="1" s="1"/>
  <c r="R18" i="41"/>
  <c r="AE18" i="1" s="1"/>
  <c r="EE18" s="1"/>
  <c r="D18" i="41"/>
  <c r="C18"/>
  <c r="R54"/>
  <c r="O54"/>
  <c r="P54"/>
  <c r="D54"/>
  <c r="C54"/>
  <c r="O43"/>
  <c r="P43" s="1"/>
  <c r="D43"/>
  <c r="R43"/>
  <c r="C43"/>
  <c r="O28"/>
  <c r="P28" s="1"/>
  <c r="R28"/>
  <c r="C28"/>
  <c r="D28"/>
  <c r="O15"/>
  <c r="P15" s="1"/>
  <c r="R15"/>
  <c r="AE15" i="1" s="1"/>
  <c r="EE15" s="1"/>
  <c r="D15" i="41"/>
  <c r="C15"/>
  <c r="DQ7" i="1"/>
  <c r="CH7"/>
  <c r="EL7"/>
  <c r="FU7"/>
  <c r="O74" i="54"/>
  <c r="P74"/>
  <c r="D74"/>
  <c r="C74"/>
  <c r="P50"/>
  <c r="D50"/>
  <c r="C50"/>
  <c r="O50"/>
  <c r="O26"/>
  <c r="P26" s="1"/>
  <c r="D26"/>
  <c r="C26"/>
  <c r="O14"/>
  <c r="AW14" i="1" s="1"/>
  <c r="D14" i="54"/>
  <c r="C14"/>
  <c r="O22"/>
  <c r="AW22" i="1" s="1"/>
  <c r="D22" i="54"/>
  <c r="C22"/>
  <c r="O47"/>
  <c r="P47"/>
  <c r="D47"/>
  <c r="C47"/>
  <c r="O15"/>
  <c r="AW15" i="1" s="1"/>
  <c r="D15" i="54"/>
  <c r="C15"/>
  <c r="O51"/>
  <c r="P51"/>
  <c r="D51"/>
  <c r="C51"/>
  <c r="O19"/>
  <c r="P19" s="1"/>
  <c r="D19"/>
  <c r="C19"/>
  <c r="O64"/>
  <c r="D64"/>
  <c r="P64"/>
  <c r="C64"/>
  <c r="O48"/>
  <c r="D48"/>
  <c r="P48"/>
  <c r="C48"/>
  <c r="O32"/>
  <c r="P32" s="1"/>
  <c r="D32"/>
  <c r="C32"/>
  <c r="O16"/>
  <c r="P16" s="1"/>
  <c r="D16"/>
  <c r="C16"/>
  <c r="D61"/>
  <c r="C61"/>
  <c r="P61"/>
  <c r="O61"/>
  <c r="D45"/>
  <c r="C45"/>
  <c r="O45"/>
  <c r="P45" s="1"/>
  <c r="O29"/>
  <c r="P29" s="1"/>
  <c r="D29"/>
  <c r="C29"/>
  <c r="D13"/>
  <c r="O13"/>
  <c r="AW13" i="1" s="1"/>
  <c r="C13" i="54"/>
  <c r="P74" i="37"/>
  <c r="O74"/>
  <c r="C74"/>
  <c r="R74"/>
  <c r="D74"/>
  <c r="O46"/>
  <c r="R46"/>
  <c r="C46"/>
  <c r="P46"/>
  <c r="D46"/>
  <c r="P64"/>
  <c r="R64"/>
  <c r="O64"/>
  <c r="D64"/>
  <c r="C64"/>
  <c r="O32"/>
  <c r="M32" i="1" s="1"/>
  <c r="R32" i="37"/>
  <c r="O32" i="1" s="1"/>
  <c r="EA32" s="1"/>
  <c r="C32" i="37"/>
  <c r="D32"/>
  <c r="P71"/>
  <c r="C71"/>
  <c r="O71"/>
  <c r="D71"/>
  <c r="R71"/>
  <c r="O39"/>
  <c r="M39" i="1" s="1"/>
  <c r="R39" i="37"/>
  <c r="O39" i="1" s="1"/>
  <c r="EA39" s="1"/>
  <c r="D39" i="37"/>
  <c r="C39"/>
  <c r="O36"/>
  <c r="M36" i="1" s="1"/>
  <c r="R36" i="37"/>
  <c r="C36"/>
  <c r="D36"/>
  <c r="O50"/>
  <c r="R50"/>
  <c r="P50"/>
  <c r="C50"/>
  <c r="D50"/>
  <c r="O27"/>
  <c r="P27" s="1"/>
  <c r="R27"/>
  <c r="O27" i="1" s="1"/>
  <c r="EA27" s="1"/>
  <c r="C27" i="37"/>
  <c r="D27"/>
  <c r="O58"/>
  <c r="R58"/>
  <c r="C58"/>
  <c r="D58"/>
  <c r="P58"/>
  <c r="O40"/>
  <c r="P40" s="1"/>
  <c r="R40"/>
  <c r="O40" i="1" s="1"/>
  <c r="EA40" s="1"/>
  <c r="C40" i="37"/>
  <c r="D40"/>
  <c r="O18"/>
  <c r="P18" s="1"/>
  <c r="R18"/>
  <c r="O18" i="1" s="1"/>
  <c r="EA18" s="1"/>
  <c r="C18" i="37"/>
  <c r="D18"/>
  <c r="R51"/>
  <c r="O51"/>
  <c r="D51"/>
  <c r="C51"/>
  <c r="P51"/>
  <c r="R41"/>
  <c r="O41" i="1" s="1"/>
  <c r="EA41" s="1"/>
  <c r="O41" i="37"/>
  <c r="P41" s="1"/>
  <c r="D41"/>
  <c r="C41"/>
  <c r="O26"/>
  <c r="P26" s="1"/>
  <c r="R26"/>
  <c r="O26" i="1" s="1"/>
  <c r="EA26" s="1"/>
  <c r="C26" i="37"/>
  <c r="D26"/>
  <c r="R11"/>
  <c r="O11" i="1" s="1"/>
  <c r="EA11" s="1"/>
  <c r="O11" i="37"/>
  <c r="D11"/>
  <c r="C11"/>
  <c r="C12" i="40"/>
  <c r="O12"/>
  <c r="Y12" i="1" s="1"/>
  <c r="D12" i="40"/>
  <c r="R12"/>
  <c r="AA12" i="1" s="1"/>
  <c r="ED12" s="1"/>
  <c r="C67" i="40"/>
  <c r="R67"/>
  <c r="P67"/>
  <c r="O67"/>
  <c r="D67"/>
  <c r="O60"/>
  <c r="R60"/>
  <c r="P60"/>
  <c r="C60"/>
  <c r="D60"/>
  <c r="P63"/>
  <c r="C63"/>
  <c r="R63"/>
  <c r="O63"/>
  <c r="D63"/>
  <c r="R24"/>
  <c r="AA24" i="1" s="1"/>
  <c r="ED24" s="1"/>
  <c r="O24" i="40"/>
  <c r="P24" s="1"/>
  <c r="C24"/>
  <c r="D24"/>
  <c r="O25"/>
  <c r="P25" s="1"/>
  <c r="R25"/>
  <c r="AA25" i="1" s="1"/>
  <c r="ED25" s="1"/>
  <c r="C25" i="40"/>
  <c r="D25"/>
  <c r="R66"/>
  <c r="P66"/>
  <c r="O66"/>
  <c r="C66"/>
  <c r="D66"/>
  <c r="D74"/>
  <c r="P74"/>
  <c r="R74"/>
  <c r="C74"/>
  <c r="O74"/>
  <c r="O15"/>
  <c r="P15" s="1"/>
  <c r="R15"/>
  <c r="AA15" i="1" s="1"/>
  <c r="ED15" s="1"/>
  <c r="C15" i="40"/>
  <c r="D15"/>
  <c r="O19"/>
  <c r="P19" s="1"/>
  <c r="R19"/>
  <c r="AA19" i="1" s="1"/>
  <c r="ED19" s="1"/>
  <c r="C19" i="40"/>
  <c r="D19"/>
  <c r="O48"/>
  <c r="R48"/>
  <c r="P48"/>
  <c r="C48"/>
  <c r="D48"/>
  <c r="R18"/>
  <c r="AA18" i="1" s="1"/>
  <c r="ED18" s="1"/>
  <c r="O18" i="40"/>
  <c r="P18" s="1"/>
  <c r="C18"/>
  <c r="D18"/>
  <c r="O38"/>
  <c r="P38" s="1"/>
  <c r="R38"/>
  <c r="AA38" i="1" s="1"/>
  <c r="ED38" s="1"/>
  <c r="C38" i="40"/>
  <c r="D38"/>
  <c r="O30"/>
  <c r="Y30" i="1" s="1"/>
  <c r="R30" i="40"/>
  <c r="AA30" i="1" s="1"/>
  <c r="ED30" s="1"/>
  <c r="C30" i="40"/>
  <c r="D30"/>
  <c r="P59"/>
  <c r="O59"/>
  <c r="R59"/>
  <c r="C59"/>
  <c r="D59"/>
  <c r="O46"/>
  <c r="R46"/>
  <c r="P46"/>
  <c r="C46"/>
  <c r="D46"/>
  <c r="O35"/>
  <c r="P35" s="1"/>
  <c r="R35"/>
  <c r="AA35" i="1" s="1"/>
  <c r="ED35" s="1"/>
  <c r="C35" i="40"/>
  <c r="D35"/>
  <c r="R13"/>
  <c r="AA13" i="1" s="1"/>
  <c r="ED13" s="1"/>
  <c r="O13" i="40"/>
  <c r="P13" s="1"/>
  <c r="C13"/>
  <c r="D13"/>
  <c r="C34" i="42"/>
  <c r="R34"/>
  <c r="D34"/>
  <c r="O34"/>
  <c r="P34"/>
  <c r="O66"/>
  <c r="R66"/>
  <c r="D66"/>
  <c r="P66"/>
  <c r="C66"/>
  <c r="R26"/>
  <c r="C26"/>
  <c r="P26"/>
  <c r="D26"/>
  <c r="O26"/>
  <c r="R43"/>
  <c r="P43"/>
  <c r="C43"/>
  <c r="O43"/>
  <c r="D43"/>
  <c r="P14"/>
  <c r="O14"/>
  <c r="D14"/>
  <c r="C14"/>
  <c r="R14"/>
  <c r="C15"/>
  <c r="O15"/>
  <c r="D15"/>
  <c r="P15"/>
  <c r="R15"/>
  <c r="O22"/>
  <c r="D22"/>
  <c r="P22"/>
  <c r="R22"/>
  <c r="C22"/>
  <c r="O23"/>
  <c r="D23"/>
  <c r="C23"/>
  <c r="R23"/>
  <c r="P23"/>
  <c r="O48"/>
  <c r="D48"/>
  <c r="P48"/>
  <c r="R48"/>
  <c r="C48"/>
  <c r="O16"/>
  <c r="D16"/>
  <c r="P16"/>
  <c r="R16"/>
  <c r="C16"/>
  <c r="O49"/>
  <c r="D49"/>
  <c r="C49"/>
  <c r="R49"/>
  <c r="P49"/>
  <c r="O17"/>
  <c r="D17"/>
  <c r="C17"/>
  <c r="R17"/>
  <c r="P17"/>
  <c r="C44"/>
  <c r="R44"/>
  <c r="O44"/>
  <c r="D44"/>
  <c r="P44"/>
  <c r="C12"/>
  <c r="R12"/>
  <c r="O12"/>
  <c r="D12"/>
  <c r="P12"/>
  <c r="P45"/>
  <c r="R45"/>
  <c r="O45"/>
  <c r="D45"/>
  <c r="C45"/>
  <c r="P13"/>
  <c r="R13"/>
  <c r="O13"/>
  <c r="D13"/>
  <c r="C13"/>
  <c r="DP7" i="1"/>
  <c r="FT7"/>
  <c r="CG7"/>
  <c r="EK7"/>
  <c r="DO7"/>
  <c r="FS7"/>
  <c r="EJ7"/>
  <c r="CF7"/>
  <c r="O30" i="36"/>
  <c r="P30" s="1"/>
  <c r="D30"/>
  <c r="C30"/>
  <c r="R30"/>
  <c r="K30" i="1" s="1"/>
  <c r="DZ30" s="1"/>
  <c r="C25" i="36"/>
  <c r="O25"/>
  <c r="P25" s="1"/>
  <c r="D25"/>
  <c r="R25"/>
  <c r="K25" i="1" s="1"/>
  <c r="DZ25" s="1"/>
  <c r="O14" i="36"/>
  <c r="P14" s="1"/>
  <c r="D14"/>
  <c r="C14"/>
  <c r="R14"/>
  <c r="K14" i="1" s="1"/>
  <c r="DZ14" s="1"/>
  <c r="C64" i="36"/>
  <c r="P64"/>
  <c r="O64"/>
  <c r="R64"/>
  <c r="D64"/>
  <c r="O38"/>
  <c r="P38" s="1"/>
  <c r="D38"/>
  <c r="C38"/>
  <c r="R38"/>
  <c r="K38" i="1" s="1"/>
  <c r="DZ38" s="1"/>
  <c r="R43" i="36"/>
  <c r="K43" i="1" s="1"/>
  <c r="DZ43" s="1"/>
  <c r="O43" i="36"/>
  <c r="I43" i="1" s="1"/>
  <c r="D43" i="36"/>
  <c r="C43"/>
  <c r="R55"/>
  <c r="P55"/>
  <c r="C55"/>
  <c r="D55"/>
  <c r="O55"/>
  <c r="O36"/>
  <c r="I36" i="1" s="1"/>
  <c r="D36" i="36"/>
  <c r="R36"/>
  <c r="K36" i="1" s="1"/>
  <c r="DZ36" s="1"/>
  <c r="C36" i="36"/>
  <c r="O13"/>
  <c r="I13" i="1" s="1"/>
  <c r="C13" i="36"/>
  <c r="R13"/>
  <c r="K13" i="1" s="1"/>
  <c r="DZ13" s="1"/>
  <c r="D13" i="36"/>
  <c r="O61"/>
  <c r="D61"/>
  <c r="P61"/>
  <c r="C61"/>
  <c r="R61"/>
  <c r="O57"/>
  <c r="D57"/>
  <c r="C57"/>
  <c r="R57"/>
  <c r="P57"/>
  <c r="O35"/>
  <c r="P35" s="1"/>
  <c r="C35"/>
  <c r="R35"/>
  <c r="K35" i="1" s="1"/>
  <c r="DZ35" s="1"/>
  <c r="D35" i="36"/>
  <c r="R15"/>
  <c r="K15" i="1" s="1"/>
  <c r="DZ15" s="1"/>
  <c r="D15" i="36"/>
  <c r="C15"/>
  <c r="O15"/>
  <c r="P15" s="1"/>
  <c r="R52"/>
  <c r="C52"/>
  <c r="D52"/>
  <c r="O52"/>
  <c r="P52"/>
  <c r="R32"/>
  <c r="K32" i="1" s="1"/>
  <c r="DZ32" s="1"/>
  <c r="C32" i="36"/>
  <c r="O32"/>
  <c r="P32" s="1"/>
  <c r="D32"/>
  <c r="R20"/>
  <c r="K20" i="1" s="1"/>
  <c r="DZ20" s="1"/>
  <c r="C20" i="36"/>
  <c r="O20"/>
  <c r="P20" s="1"/>
  <c r="D20"/>
  <c r="DT7" i="1"/>
  <c r="FX7"/>
  <c r="CK7"/>
  <c r="EO7"/>
  <c r="R40" i="38"/>
  <c r="S40" i="1" s="1"/>
  <c r="EB40" s="1"/>
  <c r="O40" i="38"/>
  <c r="P40" s="1"/>
  <c r="C40"/>
  <c r="D40"/>
  <c r="O11"/>
  <c r="P11" s="1"/>
  <c r="D11"/>
  <c r="C11"/>
  <c r="R11"/>
  <c r="S11" i="1" s="1"/>
  <c r="EB11" s="1"/>
  <c r="O15" i="38"/>
  <c r="P15" s="1"/>
  <c r="R15"/>
  <c r="S15" i="1" s="1"/>
  <c r="EB15" s="1"/>
  <c r="C15" i="38"/>
  <c r="D15"/>
  <c r="O34"/>
  <c r="Q34" i="1" s="1"/>
  <c r="R34" i="38"/>
  <c r="S34" i="1" s="1"/>
  <c r="EB34" s="1"/>
  <c r="C34" i="38"/>
  <c r="D34"/>
  <c r="O53"/>
  <c r="P53"/>
  <c r="R53"/>
  <c r="C53"/>
  <c r="D53"/>
  <c r="R58"/>
  <c r="O58"/>
  <c r="C58"/>
  <c r="D58"/>
  <c r="P58"/>
  <c r="O43"/>
  <c r="Q43" i="1" s="1"/>
  <c r="R43" i="38"/>
  <c r="S43" i="1" s="1"/>
  <c r="EB43" s="1"/>
  <c r="C43" i="38"/>
  <c r="D43"/>
  <c r="O62"/>
  <c r="P62"/>
  <c r="C62"/>
  <c r="D62"/>
  <c r="R62"/>
  <c r="R70"/>
  <c r="C70"/>
  <c r="P70"/>
  <c r="D70"/>
  <c r="O70"/>
  <c r="O19"/>
  <c r="Q19" i="1" s="1"/>
  <c r="R19" i="38"/>
  <c r="S19" i="1" s="1"/>
  <c r="EB19" s="1"/>
  <c r="C19" i="38"/>
  <c r="D19"/>
  <c r="O38"/>
  <c r="P38" s="1"/>
  <c r="R38"/>
  <c r="S38" i="1" s="1"/>
  <c r="EB38" s="1"/>
  <c r="C38" i="38"/>
  <c r="D38"/>
  <c r="O30"/>
  <c r="Q30" i="1" s="1"/>
  <c r="R30" i="38"/>
  <c r="S30" i="1" s="1"/>
  <c r="EB30" s="1"/>
  <c r="C30" i="38"/>
  <c r="D30"/>
  <c r="R59"/>
  <c r="O59"/>
  <c r="P59"/>
  <c r="C59"/>
  <c r="D59"/>
  <c r="O46"/>
  <c r="R46"/>
  <c r="P46"/>
  <c r="C46"/>
  <c r="D46"/>
  <c r="O35"/>
  <c r="P35" s="1"/>
  <c r="C35"/>
  <c r="R35"/>
  <c r="S35" i="1" s="1"/>
  <c r="EB35" s="1"/>
  <c r="D35" i="38"/>
  <c r="R13"/>
  <c r="S13" i="1" s="1"/>
  <c r="EB13" s="1"/>
  <c r="O13" i="38"/>
  <c r="P13" s="1"/>
  <c r="C13"/>
  <c r="D13"/>
  <c r="O13" i="53"/>
  <c r="P13" s="1"/>
  <c r="C13"/>
  <c r="D13"/>
  <c r="C66"/>
  <c r="O66"/>
  <c r="P66"/>
  <c r="D66"/>
  <c r="C74"/>
  <c r="O74"/>
  <c r="P74"/>
  <c r="D74"/>
  <c r="D65"/>
  <c r="O65"/>
  <c r="P65"/>
  <c r="C65"/>
  <c r="D71"/>
  <c r="P71"/>
  <c r="C71"/>
  <c r="O71"/>
  <c r="O21"/>
  <c r="P21" s="1"/>
  <c r="D21"/>
  <c r="C21"/>
  <c r="C70"/>
  <c r="D70"/>
  <c r="O70"/>
  <c r="P70"/>
  <c r="O22"/>
  <c r="P22" s="1"/>
  <c r="C22"/>
  <c r="D22"/>
  <c r="C62"/>
  <c r="D62"/>
  <c r="O62"/>
  <c r="P62"/>
  <c r="D47"/>
  <c r="P47"/>
  <c r="O47"/>
  <c r="C47"/>
  <c r="O25"/>
  <c r="P25" s="1"/>
  <c r="D25"/>
  <c r="C25"/>
  <c r="O57"/>
  <c r="D57"/>
  <c r="P57"/>
  <c r="C57"/>
  <c r="D31"/>
  <c r="O31"/>
  <c r="P31" s="1"/>
  <c r="C31"/>
  <c r="O51"/>
  <c r="D51"/>
  <c r="P51"/>
  <c r="C51"/>
  <c r="O41"/>
  <c r="P41" s="1"/>
  <c r="D41"/>
  <c r="C41"/>
  <c r="O26"/>
  <c r="P26" s="1"/>
  <c r="C26"/>
  <c r="D26"/>
  <c r="O50"/>
  <c r="C50"/>
  <c r="P50"/>
  <c r="D50"/>
  <c r="O33"/>
  <c r="P33" s="1"/>
  <c r="D33"/>
  <c r="C33"/>
  <c r="C20"/>
  <c r="O20"/>
  <c r="P20" s="1"/>
  <c r="D20"/>
  <c r="F77" i="55"/>
  <c r="O70" i="54"/>
  <c r="P70"/>
  <c r="D70"/>
  <c r="C70"/>
  <c r="P71"/>
  <c r="D71"/>
  <c r="O71"/>
  <c r="C71"/>
  <c r="P75"/>
  <c r="D75"/>
  <c r="O75"/>
  <c r="C75"/>
  <c r="O12"/>
  <c r="P12" s="1"/>
  <c r="D12"/>
  <c r="C12"/>
  <c r="O44"/>
  <c r="P44" s="1"/>
  <c r="D44"/>
  <c r="C44"/>
  <c r="D73"/>
  <c r="C73"/>
  <c r="P73"/>
  <c r="O73"/>
  <c r="O41"/>
  <c r="P41" s="1"/>
  <c r="D41"/>
  <c r="C41"/>
  <c r="O14" i="37"/>
  <c r="P14" s="1"/>
  <c r="R14"/>
  <c r="O14" i="1" s="1"/>
  <c r="EA14" s="1"/>
  <c r="C14" i="37"/>
  <c r="D14"/>
  <c r="O12"/>
  <c r="M12" i="1" s="1"/>
  <c r="R12" i="37"/>
  <c r="C12"/>
  <c r="D12"/>
  <c r="O20"/>
  <c r="P20" s="1"/>
  <c r="R20"/>
  <c r="O20" i="1" s="1"/>
  <c r="EA20" s="1"/>
  <c r="C20" i="37"/>
  <c r="D20"/>
  <c r="R42"/>
  <c r="O42" i="1" s="1"/>
  <c r="EA42" s="1"/>
  <c r="O42" i="37"/>
  <c r="M42" i="1" s="1"/>
  <c r="D42" i="37"/>
  <c r="C42"/>
  <c r="O55"/>
  <c r="R55"/>
  <c r="P55"/>
  <c r="D55"/>
  <c r="C55"/>
  <c r="O16"/>
  <c r="M16" i="1" s="1"/>
  <c r="R16" i="37"/>
  <c r="O16" i="1" s="1"/>
  <c r="EA16" s="1"/>
  <c r="C16" i="37"/>
  <c r="D16"/>
  <c r="R48"/>
  <c r="O48"/>
  <c r="P48"/>
  <c r="C48"/>
  <c r="D48"/>
  <c r="R23"/>
  <c r="O23" i="1" s="1"/>
  <c r="EA23" s="1"/>
  <c r="O23" i="37"/>
  <c r="P23" s="1"/>
  <c r="D23"/>
  <c r="C23"/>
  <c r="O53" i="40"/>
  <c r="R53"/>
  <c r="C53"/>
  <c r="P53"/>
  <c r="D53"/>
  <c r="P69"/>
  <c r="C69"/>
  <c r="O69"/>
  <c r="D69"/>
  <c r="R69"/>
  <c r="P71"/>
  <c r="D71"/>
  <c r="R71"/>
  <c r="O71"/>
  <c r="C71"/>
  <c r="C65"/>
  <c r="O65"/>
  <c r="R65"/>
  <c r="P65"/>
  <c r="D65"/>
  <c r="O44"/>
  <c r="P44" s="1"/>
  <c r="R44"/>
  <c r="AA44" i="1" s="1"/>
  <c r="ED44" s="1"/>
  <c r="C44" i="40"/>
  <c r="D44"/>
  <c r="R58"/>
  <c r="O58"/>
  <c r="C58"/>
  <c r="D58"/>
  <c r="P58"/>
  <c r="O56"/>
  <c r="P56"/>
  <c r="R56"/>
  <c r="C56"/>
  <c r="D56"/>
  <c r="O27"/>
  <c r="P27" s="1"/>
  <c r="R27"/>
  <c r="AA27" i="1" s="1"/>
  <c r="ED27" s="1"/>
  <c r="C27" i="40"/>
  <c r="D27"/>
  <c r="O45"/>
  <c r="P45" s="1"/>
  <c r="R45"/>
  <c r="AA45" i="1" s="1"/>
  <c r="ED45" s="1"/>
  <c r="C45" i="40"/>
  <c r="D45"/>
  <c r="C50" i="42"/>
  <c r="R50"/>
  <c r="O50"/>
  <c r="D50"/>
  <c r="P50"/>
  <c r="R59"/>
  <c r="P59"/>
  <c r="C59"/>
  <c r="D59"/>
  <c r="O59"/>
  <c r="R11"/>
  <c r="H80"/>
  <c r="H82"/>
  <c r="H83"/>
  <c r="C11"/>
  <c r="H79"/>
  <c r="H78"/>
  <c r="L78"/>
  <c r="H81"/>
  <c r="O11"/>
  <c r="P11"/>
  <c r="D11"/>
  <c r="L81"/>
  <c r="P63"/>
  <c r="O63"/>
  <c r="D63"/>
  <c r="R63"/>
  <c r="C63"/>
  <c r="P70"/>
  <c r="D70"/>
  <c r="C70"/>
  <c r="R70"/>
  <c r="O70"/>
  <c r="P40"/>
  <c r="O40"/>
  <c r="D40"/>
  <c r="C40"/>
  <c r="R40"/>
  <c r="C41"/>
  <c r="O41"/>
  <c r="D41"/>
  <c r="P41"/>
  <c r="R41"/>
  <c r="R36"/>
  <c r="C36"/>
  <c r="P36"/>
  <c r="O36"/>
  <c r="D36"/>
  <c r="R37"/>
  <c r="P37"/>
  <c r="C37"/>
  <c r="D37"/>
  <c r="O37"/>
  <c r="FV7" i="1"/>
  <c r="DR7"/>
  <c r="EM7"/>
  <c r="CI7"/>
  <c r="C41" i="36"/>
  <c r="O41"/>
  <c r="P41" s="1"/>
  <c r="D41"/>
  <c r="R41"/>
  <c r="K41" i="1" s="1"/>
  <c r="DZ41" s="1"/>
  <c r="O34" i="36"/>
  <c r="P34" s="1"/>
  <c r="D34"/>
  <c r="C34"/>
  <c r="R34"/>
  <c r="K34" i="1" s="1"/>
  <c r="DZ34" s="1"/>
  <c r="O29" i="36"/>
  <c r="I29" i="1" s="1"/>
  <c r="D29" i="36"/>
  <c r="C29"/>
  <c r="R29"/>
  <c r="K29" i="1" s="1"/>
  <c r="DZ29" s="1"/>
  <c r="P29" i="36"/>
  <c r="R31"/>
  <c r="K31" i="1" s="1"/>
  <c r="DZ31" s="1"/>
  <c r="C31" i="36"/>
  <c r="D31"/>
  <c r="O31"/>
  <c r="P31" s="1"/>
  <c r="O68"/>
  <c r="R68"/>
  <c r="D68"/>
  <c r="C68"/>
  <c r="P68"/>
  <c r="R33"/>
  <c r="K33" i="1" s="1"/>
  <c r="DZ33" s="1"/>
  <c r="D33" i="36"/>
  <c r="O33"/>
  <c r="P33" s="1"/>
  <c r="C33"/>
  <c r="R73" i="38"/>
  <c r="O73"/>
  <c r="C73"/>
  <c r="P73"/>
  <c r="D73"/>
  <c r="P41" i="55"/>
  <c r="R41"/>
  <c r="O41"/>
  <c r="D41"/>
  <c r="C41"/>
  <c r="R60"/>
  <c r="C60"/>
  <c r="P60"/>
  <c r="D60"/>
  <c r="O60"/>
  <c r="R33"/>
  <c r="P33"/>
  <c r="C33"/>
  <c r="O33"/>
  <c r="D33"/>
  <c r="C64"/>
  <c r="P64"/>
  <c r="D64"/>
  <c r="O64"/>
  <c r="R64"/>
  <c r="C53"/>
  <c r="O53"/>
  <c r="D53"/>
  <c r="P53"/>
  <c r="R53"/>
  <c r="O40"/>
  <c r="D40"/>
  <c r="P40"/>
  <c r="R40"/>
  <c r="C40"/>
  <c r="O29"/>
  <c r="D29"/>
  <c r="C29"/>
  <c r="R29"/>
  <c r="P29"/>
  <c r="R42"/>
  <c r="C42"/>
  <c r="O42"/>
  <c r="D42"/>
  <c r="P42"/>
  <c r="D63"/>
  <c r="O63"/>
  <c r="R63"/>
  <c r="P63"/>
  <c r="C63"/>
  <c r="R31"/>
  <c r="P31"/>
  <c r="O31"/>
  <c r="D31"/>
  <c r="C31"/>
  <c r="O54"/>
  <c r="D54"/>
  <c r="P54"/>
  <c r="C54"/>
  <c r="R54"/>
  <c r="O22"/>
  <c r="D22"/>
  <c r="P22"/>
  <c r="R22"/>
  <c r="C22"/>
  <c r="O43"/>
  <c r="D43"/>
  <c r="C43"/>
  <c r="P43"/>
  <c r="R43"/>
  <c r="O11"/>
  <c r="H78"/>
  <c r="L78"/>
  <c r="H83"/>
  <c r="H80"/>
  <c r="D11"/>
  <c r="C11"/>
  <c r="H82"/>
  <c r="H81"/>
  <c r="R11"/>
  <c r="H79"/>
  <c r="L81"/>
  <c r="P11"/>
  <c r="P66"/>
  <c r="R66"/>
  <c r="D66"/>
  <c r="O66"/>
  <c r="C66"/>
  <c r="O67"/>
  <c r="D67"/>
  <c r="P67"/>
  <c r="C67"/>
  <c r="R67"/>
  <c r="C69"/>
  <c r="P69"/>
  <c r="R69"/>
  <c r="O69"/>
  <c r="D69"/>
  <c r="O57" i="43"/>
  <c r="R57"/>
  <c r="C57"/>
  <c r="P57"/>
  <c r="D57"/>
  <c r="R41"/>
  <c r="O41"/>
  <c r="C41"/>
  <c r="P41"/>
  <c r="D41"/>
  <c r="O69"/>
  <c r="R69"/>
  <c r="C69"/>
  <c r="D69"/>
  <c r="P69"/>
  <c r="O61"/>
  <c r="R61"/>
  <c r="C61"/>
  <c r="D61"/>
  <c r="P61"/>
  <c r="D70"/>
  <c r="O70"/>
  <c r="R70"/>
  <c r="C70"/>
  <c r="P70"/>
  <c r="O38"/>
  <c r="R38"/>
  <c r="D38"/>
  <c r="C38"/>
  <c r="P38"/>
  <c r="O50"/>
  <c r="R50"/>
  <c r="D50"/>
  <c r="C50"/>
  <c r="P50"/>
  <c r="O18"/>
  <c r="R18"/>
  <c r="D18"/>
  <c r="C18"/>
  <c r="P18"/>
  <c r="P63"/>
  <c r="C63"/>
  <c r="R63"/>
  <c r="O63"/>
  <c r="D63"/>
  <c r="O47"/>
  <c r="R47"/>
  <c r="P47"/>
  <c r="C47"/>
  <c r="D47"/>
  <c r="O31"/>
  <c r="R31"/>
  <c r="P31"/>
  <c r="C31"/>
  <c r="D31"/>
  <c r="P15"/>
  <c r="C15"/>
  <c r="R15"/>
  <c r="O15"/>
  <c r="D15"/>
  <c r="D64"/>
  <c r="P64"/>
  <c r="O64"/>
  <c r="R64"/>
  <c r="C64"/>
  <c r="R48"/>
  <c r="O48"/>
  <c r="P48"/>
  <c r="D48"/>
  <c r="C48"/>
  <c r="O32"/>
  <c r="R32"/>
  <c r="P32"/>
  <c r="D32"/>
  <c r="C32"/>
  <c r="R16"/>
  <c r="P16"/>
  <c r="D16"/>
  <c r="O16"/>
  <c r="C16"/>
  <c r="P61" i="39"/>
  <c r="C61"/>
  <c r="D61"/>
  <c r="O61"/>
  <c r="R61"/>
  <c r="O31"/>
  <c r="P31" s="1"/>
  <c r="C31"/>
  <c r="D31"/>
  <c r="R31"/>
  <c r="W31" i="1" s="1"/>
  <c r="EC31" s="1"/>
  <c r="P65" i="39"/>
  <c r="C65"/>
  <c r="R65"/>
  <c r="D65"/>
  <c r="O65"/>
  <c r="P67"/>
  <c r="R67"/>
  <c r="O67"/>
  <c r="C67"/>
  <c r="D67"/>
  <c r="O39"/>
  <c r="R39"/>
  <c r="W39" i="1" s="1"/>
  <c r="EC39" s="1"/>
  <c r="P39" i="39"/>
  <c r="C39"/>
  <c r="D39"/>
  <c r="O57"/>
  <c r="R57"/>
  <c r="P57"/>
  <c r="C57"/>
  <c r="D57"/>
  <c r="R56"/>
  <c r="O56"/>
  <c r="C56"/>
  <c r="P56"/>
  <c r="D56"/>
  <c r="R38"/>
  <c r="W38" i="1" s="1"/>
  <c r="EC38" s="1"/>
  <c r="O38" i="39"/>
  <c r="P38" s="1"/>
  <c r="C38"/>
  <c r="D38"/>
  <c r="O17"/>
  <c r="P17" s="1"/>
  <c r="R17"/>
  <c r="W17" i="1" s="1"/>
  <c r="EC17" s="1"/>
  <c r="C17" i="39"/>
  <c r="D17"/>
  <c r="O36"/>
  <c r="P36" s="1"/>
  <c r="R36"/>
  <c r="W36" i="1" s="1"/>
  <c r="EC36" s="1"/>
  <c r="C36" i="39"/>
  <c r="D36"/>
  <c r="O53"/>
  <c r="R53"/>
  <c r="P53"/>
  <c r="C53"/>
  <c r="D53"/>
  <c r="O24"/>
  <c r="P24" s="1"/>
  <c r="R24"/>
  <c r="W24" i="1" s="1"/>
  <c r="EC24" s="1"/>
  <c r="C24" i="39"/>
  <c r="D24"/>
  <c r="O60"/>
  <c r="R60"/>
  <c r="P60"/>
  <c r="C60"/>
  <c r="D60"/>
  <c r="O44"/>
  <c r="P44" s="1"/>
  <c r="R44"/>
  <c r="W44" i="1" s="1"/>
  <c r="EC44" s="1"/>
  <c r="C44" i="39"/>
  <c r="D44"/>
  <c r="O29"/>
  <c r="P29" s="1"/>
  <c r="R29"/>
  <c r="W29" i="1" s="1"/>
  <c r="EC29" s="1"/>
  <c r="C29" i="39"/>
  <c r="D29"/>
  <c r="R19"/>
  <c r="W19" i="1" s="1"/>
  <c r="EC19" s="1"/>
  <c r="O19" i="39"/>
  <c r="U19" i="1" s="1"/>
  <c r="C19" i="39"/>
  <c r="D19"/>
  <c r="P19"/>
  <c r="O35" i="41"/>
  <c r="P35" s="1"/>
  <c r="R35"/>
  <c r="AE35" i="1" s="1"/>
  <c r="EE35" s="1"/>
  <c r="D35" i="41"/>
  <c r="C35"/>
  <c r="O65"/>
  <c r="D65"/>
  <c r="P65"/>
  <c r="R65"/>
  <c r="C65"/>
  <c r="R68"/>
  <c r="O68"/>
  <c r="C68"/>
  <c r="P68"/>
  <c r="D68"/>
  <c r="O62"/>
  <c r="P62"/>
  <c r="D62"/>
  <c r="C62"/>
  <c r="R62"/>
  <c r="P69"/>
  <c r="O69"/>
  <c r="D69"/>
  <c r="R69"/>
  <c r="C69"/>
  <c r="O20"/>
  <c r="P20" s="1"/>
  <c r="R20"/>
  <c r="C20"/>
  <c r="D20"/>
  <c r="O37"/>
  <c r="P37" s="1"/>
  <c r="D37"/>
  <c r="R37"/>
  <c r="AE37" i="1" s="1"/>
  <c r="EE37" s="1"/>
  <c r="C37" i="41"/>
  <c r="P67"/>
  <c r="D67"/>
  <c r="R67"/>
  <c r="O67"/>
  <c r="C67"/>
  <c r="R50"/>
  <c r="O50"/>
  <c r="D50"/>
  <c r="P50"/>
  <c r="C50"/>
  <c r="O27"/>
  <c r="P27" s="1"/>
  <c r="R27"/>
  <c r="AE27" i="1" s="1"/>
  <c r="EE27" s="1"/>
  <c r="D27" i="41"/>
  <c r="C27"/>
  <c r="O11"/>
  <c r="R11"/>
  <c r="AE11" i="1" s="1"/>
  <c r="EE11" s="1"/>
  <c r="D11" i="41"/>
  <c r="C11"/>
  <c r="P11"/>
  <c r="O49"/>
  <c r="R49"/>
  <c r="D49"/>
  <c r="P49"/>
  <c r="C49"/>
  <c r="O22"/>
  <c r="P22" s="1"/>
  <c r="R22"/>
  <c r="AE22" i="1" s="1"/>
  <c r="EE22" s="1"/>
  <c r="D22" i="41"/>
  <c r="C22"/>
  <c r="O60"/>
  <c r="R60"/>
  <c r="P60"/>
  <c r="C60"/>
  <c r="D60"/>
  <c r="R44"/>
  <c r="AE44" i="1" s="1"/>
  <c r="EE44" s="1"/>
  <c r="O44" i="41"/>
  <c r="P44" s="1"/>
  <c r="C44"/>
  <c r="D44"/>
  <c r="O29"/>
  <c r="AC29" i="1" s="1"/>
  <c r="R29" i="41"/>
  <c r="AE29" i="1" s="1"/>
  <c r="EE29" s="1"/>
  <c r="D29" i="41"/>
  <c r="C29"/>
  <c r="P29"/>
  <c r="R19"/>
  <c r="AE19" i="1" s="1"/>
  <c r="EE19" s="1"/>
  <c r="D19" i="41"/>
  <c r="C19"/>
  <c r="O19"/>
  <c r="P19" s="1"/>
  <c r="O34" i="54"/>
  <c r="P34" s="1"/>
  <c r="D34"/>
  <c r="C34"/>
  <c r="O58"/>
  <c r="P58"/>
  <c r="D58"/>
  <c r="C58"/>
  <c r="O30"/>
  <c r="P30" s="1"/>
  <c r="D30"/>
  <c r="C30"/>
  <c r="O38"/>
  <c r="P38" s="1"/>
  <c r="D38"/>
  <c r="C38"/>
  <c r="P55"/>
  <c r="D55"/>
  <c r="O55"/>
  <c r="C55"/>
  <c r="O23"/>
  <c r="P23" s="1"/>
  <c r="D23"/>
  <c r="C23"/>
  <c r="P59"/>
  <c r="D59"/>
  <c r="O59"/>
  <c r="C59"/>
  <c r="D27"/>
  <c r="C27"/>
  <c r="O27"/>
  <c r="P27" s="1"/>
  <c r="O68"/>
  <c r="D68"/>
  <c r="P68"/>
  <c r="C68"/>
  <c r="O52"/>
  <c r="D52"/>
  <c r="P52"/>
  <c r="C52"/>
  <c r="O36"/>
  <c r="P36" s="1"/>
  <c r="D36"/>
  <c r="C36"/>
  <c r="O20"/>
  <c r="P20" s="1"/>
  <c r="D20"/>
  <c r="C20"/>
  <c r="D65"/>
  <c r="C65"/>
  <c r="P65"/>
  <c r="O65"/>
  <c r="D49"/>
  <c r="O49"/>
  <c r="C49"/>
  <c r="P49"/>
  <c r="O33"/>
  <c r="P33" s="1"/>
  <c r="D33"/>
  <c r="C33"/>
  <c r="O17"/>
  <c r="P17" s="1"/>
  <c r="D17"/>
  <c r="C17"/>
  <c r="P67" i="37"/>
  <c r="R67"/>
  <c r="C67"/>
  <c r="D67"/>
  <c r="O67"/>
  <c r="O72"/>
  <c r="P72"/>
  <c r="C72"/>
  <c r="R72"/>
  <c r="D72"/>
  <c r="P61"/>
  <c r="R61"/>
  <c r="D61"/>
  <c r="O61"/>
  <c r="C61"/>
  <c r="O33"/>
  <c r="P33" s="1"/>
  <c r="R33"/>
  <c r="O33" i="1" s="1"/>
  <c r="EA33" s="1"/>
  <c r="D33" i="37"/>
  <c r="C33"/>
  <c r="O68"/>
  <c r="P68"/>
  <c r="C68"/>
  <c r="R68"/>
  <c r="D68"/>
  <c r="O45"/>
  <c r="P45" s="1"/>
  <c r="R45"/>
  <c r="O45" i="1" s="1"/>
  <c r="EA45" s="1"/>
  <c r="D45" i="37"/>
  <c r="C45"/>
  <c r="R37"/>
  <c r="O37"/>
  <c r="M37" i="1" s="1"/>
  <c r="C37" i="37"/>
  <c r="D37"/>
  <c r="O52"/>
  <c r="R52"/>
  <c r="P52"/>
  <c r="C52"/>
  <c r="D52"/>
  <c r="R30"/>
  <c r="O30" i="1" s="1"/>
  <c r="EA30" s="1"/>
  <c r="O30" i="37"/>
  <c r="P30" s="1"/>
  <c r="C30"/>
  <c r="D30"/>
  <c r="O13"/>
  <c r="P13" s="1"/>
  <c r="R13"/>
  <c r="O13" i="1" s="1"/>
  <c r="EA13" s="1"/>
  <c r="D13" i="37"/>
  <c r="C13"/>
  <c r="O49"/>
  <c r="R49"/>
  <c r="P49"/>
  <c r="C49"/>
  <c r="D49"/>
  <c r="O22"/>
  <c r="P22" s="1"/>
  <c r="R22"/>
  <c r="O22" i="1" s="1"/>
  <c r="EA22" s="1"/>
  <c r="C22" i="37"/>
  <c r="D22"/>
  <c r="R54"/>
  <c r="P54"/>
  <c r="O54"/>
  <c r="C54"/>
  <c r="D54"/>
  <c r="R43"/>
  <c r="O43" i="1" s="1"/>
  <c r="EA43" s="1"/>
  <c r="O43" i="37"/>
  <c r="P43" s="1"/>
  <c r="D43"/>
  <c r="C43"/>
  <c r="R28"/>
  <c r="O28" i="1" s="1"/>
  <c r="EA28" s="1"/>
  <c r="O28" i="37"/>
  <c r="P28" s="1"/>
  <c r="C28"/>
  <c r="D28"/>
  <c r="O15"/>
  <c r="M15" i="1" s="1"/>
  <c r="R15" i="37"/>
  <c r="O15" i="1" s="1"/>
  <c r="EA15" s="1"/>
  <c r="D15" i="37"/>
  <c r="C15"/>
  <c r="P15"/>
  <c r="P61" i="40"/>
  <c r="C61"/>
  <c r="O61"/>
  <c r="R61"/>
  <c r="D61"/>
  <c r="O34"/>
  <c r="P34" s="1"/>
  <c r="C34"/>
  <c r="D34"/>
  <c r="R34"/>
  <c r="AA34" i="1" s="1"/>
  <c r="ED34" s="1"/>
  <c r="O26" i="40"/>
  <c r="Y26" i="1" s="1"/>
  <c r="R26" i="40"/>
  <c r="AA26" i="1" s="1"/>
  <c r="ED26" s="1"/>
  <c r="C26" i="40"/>
  <c r="D26"/>
  <c r="O64"/>
  <c r="R64"/>
  <c r="P64"/>
  <c r="C64"/>
  <c r="D64"/>
  <c r="O72"/>
  <c r="D72"/>
  <c r="P72"/>
  <c r="R72"/>
  <c r="C72"/>
  <c r="O29"/>
  <c r="P29" s="1"/>
  <c r="R29"/>
  <c r="AA29" i="1" s="1"/>
  <c r="ED29" s="1"/>
  <c r="C29" i="40"/>
  <c r="D29"/>
  <c r="O23"/>
  <c r="Y23" i="1" s="1"/>
  <c r="R23" i="40"/>
  <c r="AA23" i="1" s="1"/>
  <c r="ED23" s="1"/>
  <c r="C23" i="40"/>
  <c r="D23"/>
  <c r="O51"/>
  <c r="C51"/>
  <c r="P51"/>
  <c r="R51"/>
  <c r="D51"/>
  <c r="R22"/>
  <c r="AA22" i="1" s="1"/>
  <c r="ED22" s="1"/>
  <c r="O22" i="40"/>
  <c r="P22" s="1"/>
  <c r="C22"/>
  <c r="D22"/>
  <c r="O42"/>
  <c r="Y42" i="1" s="1"/>
  <c r="R42" i="40"/>
  <c r="AA42" i="1" s="1"/>
  <c r="ED42" s="1"/>
  <c r="C42" i="40"/>
  <c r="D42"/>
  <c r="O32"/>
  <c r="P32" s="1"/>
  <c r="R32"/>
  <c r="AA32" i="1" s="1"/>
  <c r="ED32" s="1"/>
  <c r="C32" i="40"/>
  <c r="D32"/>
  <c r="O14"/>
  <c r="P14" s="1"/>
  <c r="R14"/>
  <c r="AA14" i="1" s="1"/>
  <c r="ED14" s="1"/>
  <c r="C14" i="40"/>
  <c r="D14"/>
  <c r="O47"/>
  <c r="R47"/>
  <c r="C47"/>
  <c r="P47"/>
  <c r="D47"/>
  <c r="O36"/>
  <c r="P36" s="1"/>
  <c r="R36"/>
  <c r="AA36" i="1" s="1"/>
  <c r="ED36" s="1"/>
  <c r="C36" i="40"/>
  <c r="D36"/>
  <c r="R17"/>
  <c r="AA17" i="1" s="1"/>
  <c r="ED17" s="1"/>
  <c r="O17" i="40"/>
  <c r="Y17" i="1" s="1"/>
  <c r="C17" i="40"/>
  <c r="D17"/>
  <c r="C18" i="42"/>
  <c r="R18"/>
  <c r="O18"/>
  <c r="D18"/>
  <c r="P18"/>
  <c r="P35"/>
  <c r="R35"/>
  <c r="D35"/>
  <c r="O35"/>
  <c r="C35"/>
  <c r="R58"/>
  <c r="C58"/>
  <c r="P58"/>
  <c r="D58"/>
  <c r="O58"/>
  <c r="C75"/>
  <c r="R75"/>
  <c r="P75"/>
  <c r="O75"/>
  <c r="D75"/>
  <c r="P30"/>
  <c r="O30"/>
  <c r="D30"/>
  <c r="C30"/>
  <c r="R30"/>
  <c r="C31"/>
  <c r="O31"/>
  <c r="D31"/>
  <c r="P31"/>
  <c r="R31"/>
  <c r="O38"/>
  <c r="D38"/>
  <c r="P38"/>
  <c r="R38"/>
  <c r="C38"/>
  <c r="O39"/>
  <c r="D39"/>
  <c r="C39"/>
  <c r="R39"/>
  <c r="P39"/>
  <c r="P56"/>
  <c r="O56"/>
  <c r="D56"/>
  <c r="C56"/>
  <c r="R56"/>
  <c r="P24"/>
  <c r="O24"/>
  <c r="D24"/>
  <c r="C24"/>
  <c r="R24"/>
  <c r="C57"/>
  <c r="O57"/>
  <c r="D57"/>
  <c r="P57"/>
  <c r="R57"/>
  <c r="C25"/>
  <c r="O25"/>
  <c r="D25"/>
  <c r="P25"/>
  <c r="R25"/>
  <c r="R52"/>
  <c r="C52"/>
  <c r="P52"/>
  <c r="O52"/>
  <c r="D52"/>
  <c r="R20"/>
  <c r="C20"/>
  <c r="P20"/>
  <c r="D20"/>
  <c r="O20"/>
  <c r="R53"/>
  <c r="P53"/>
  <c r="C53"/>
  <c r="O53"/>
  <c r="D53"/>
  <c r="R21"/>
  <c r="P21"/>
  <c r="C21"/>
  <c r="D21"/>
  <c r="O21"/>
  <c r="C47" i="36"/>
  <c r="O47"/>
  <c r="D47"/>
  <c r="P47"/>
  <c r="R47"/>
  <c r="D37"/>
  <c r="R37"/>
  <c r="K37" i="1" s="1"/>
  <c r="DZ37" s="1"/>
  <c r="O37" i="36"/>
  <c r="P37" s="1"/>
  <c r="C37"/>
  <c r="P46"/>
  <c r="O46"/>
  <c r="D46"/>
  <c r="C46"/>
  <c r="R46"/>
  <c r="P54"/>
  <c r="O54"/>
  <c r="D54"/>
  <c r="C54"/>
  <c r="R54"/>
  <c r="AG12" i="1"/>
  <c r="AO13"/>
  <c r="AG15"/>
  <c r="AK16"/>
  <c r="AW16"/>
  <c r="AG17"/>
  <c r="AK18"/>
  <c r="AO19"/>
  <c r="AG21"/>
  <c r="AK22"/>
  <c r="AO23"/>
  <c r="Y22"/>
  <c r="AC24"/>
  <c r="L24"/>
  <c r="AG25"/>
  <c r="AK26"/>
  <c r="AO27"/>
  <c r="L28"/>
  <c r="X24"/>
  <c r="P28"/>
  <c r="AG29"/>
  <c r="AK30"/>
  <c r="H32"/>
  <c r="AN32"/>
  <c r="I34"/>
  <c r="AG34"/>
  <c r="T34"/>
  <c r="P35"/>
  <c r="AG36"/>
  <c r="AK37"/>
  <c r="AB37"/>
  <c r="AG31"/>
  <c r="AK32"/>
  <c r="AB32"/>
  <c r="AS34"/>
  <c r="X34"/>
  <c r="M35"/>
  <c r="AK35"/>
  <c r="AB35"/>
  <c r="X37"/>
  <c r="AK38"/>
  <c r="U39"/>
  <c r="AO39"/>
  <c r="I41"/>
  <c r="AK42"/>
  <c r="AO43"/>
  <c r="M44"/>
  <c r="AK44"/>
  <c r="I45"/>
  <c r="AG45"/>
  <c r="Q46"/>
  <c r="M47"/>
  <c r="AK47"/>
  <c r="Y48"/>
  <c r="AB48"/>
  <c r="AS49"/>
  <c r="AC50"/>
  <c r="AW50"/>
  <c r="X50"/>
  <c r="AW42"/>
  <c r="AB43"/>
  <c r="X44"/>
  <c r="U46"/>
  <c r="AO46"/>
  <c r="AS47"/>
  <c r="AC48"/>
  <c r="AW48"/>
  <c r="X48"/>
  <c r="U49"/>
  <c r="AO49"/>
  <c r="AS50"/>
  <c r="AF50"/>
  <c r="I52"/>
  <c r="AG51"/>
  <c r="AC52"/>
  <c r="AW52"/>
  <c r="X52"/>
  <c r="U53"/>
  <c r="AO53"/>
  <c r="L53"/>
  <c r="M54"/>
  <c r="AK54"/>
  <c r="AN54"/>
  <c r="I55"/>
  <c r="AG55"/>
  <c r="Q56"/>
  <c r="H56"/>
  <c r="Y57"/>
  <c r="AB57"/>
  <c r="AS58"/>
  <c r="AF58"/>
  <c r="I60"/>
  <c r="AG60"/>
  <c r="T60"/>
  <c r="X60"/>
  <c r="AG61"/>
  <c r="M62"/>
  <c r="AS62"/>
  <c r="AO63"/>
  <c r="U64"/>
  <c r="Q65"/>
  <c r="AW65"/>
  <c r="AC66"/>
  <c r="Y67"/>
  <c r="I68"/>
  <c r="AK68"/>
  <c r="AG69"/>
  <c r="M70"/>
  <c r="AS70"/>
  <c r="AO71"/>
  <c r="U72"/>
  <c r="Q73"/>
  <c r="AW73"/>
  <c r="AC74"/>
  <c r="Y75"/>
  <c r="AC11"/>
  <c r="Q52"/>
  <c r="H52"/>
  <c r="Y53"/>
  <c r="AB53"/>
  <c r="AS54"/>
  <c r="AF54"/>
  <c r="I56"/>
  <c r="AG56"/>
  <c r="P56"/>
  <c r="AJ56"/>
  <c r="AC57"/>
  <c r="AW57"/>
  <c r="X57"/>
  <c r="U58"/>
  <c r="AO58"/>
  <c r="L58"/>
  <c r="M59"/>
  <c r="AK59"/>
  <c r="Y60"/>
  <c r="L60"/>
  <c r="M61"/>
  <c r="AS61"/>
  <c r="AO62"/>
  <c r="U63"/>
  <c r="Q64"/>
  <c r="AW64"/>
  <c r="AC65"/>
  <c r="Y66"/>
  <c r="I67"/>
  <c r="AK67"/>
  <c r="AG68"/>
  <c r="M69"/>
  <c r="AS69"/>
  <c r="AO70"/>
  <c r="U71"/>
  <c r="Q72"/>
  <c r="AW72"/>
  <c r="AC73"/>
  <c r="Y74"/>
  <c r="I75"/>
  <c r="AK75"/>
  <c r="H13"/>
  <c r="H17"/>
  <c r="H21"/>
  <c r="H26"/>
  <c r="H31"/>
  <c r="H39"/>
  <c r="H11"/>
  <c r="AF12"/>
  <c r="AF13"/>
  <c r="AF14"/>
  <c r="AF15"/>
  <c r="AF16"/>
  <c r="AF17"/>
  <c r="AF18"/>
  <c r="AF19"/>
  <c r="AF20"/>
  <c r="AF21"/>
  <c r="AF22"/>
  <c r="AF23"/>
  <c r="AF25"/>
  <c r="AF26"/>
  <c r="AF27"/>
  <c r="AF29"/>
  <c r="AF30"/>
  <c r="AF31"/>
  <c r="AF33"/>
  <c r="AF36"/>
  <c r="AB38"/>
  <c r="P39"/>
  <c r="P40"/>
  <c r="L41"/>
  <c r="L42"/>
  <c r="L11"/>
  <c r="K75"/>
  <c r="DZ75" s="1"/>
  <c r="S75"/>
  <c r="EB75" s="1"/>
  <c r="AA75"/>
  <c r="ED75" s="1"/>
  <c r="AI75"/>
  <c r="EF75" s="1"/>
  <c r="AQ75"/>
  <c r="EH75" s="1"/>
  <c r="O74"/>
  <c r="EA74" s="1"/>
  <c r="W74"/>
  <c r="EC74" s="1"/>
  <c r="AE74"/>
  <c r="EE74" s="1"/>
  <c r="AM74"/>
  <c r="EG74" s="1"/>
  <c r="K73"/>
  <c r="DZ73" s="1"/>
  <c r="S73"/>
  <c r="EB73" s="1"/>
  <c r="AA73"/>
  <c r="ED73" s="1"/>
  <c r="AI73"/>
  <c r="EF73" s="1"/>
  <c r="AQ73"/>
  <c r="EH73" s="1"/>
  <c r="O72"/>
  <c r="EA72" s="1"/>
  <c r="W72"/>
  <c r="EC72" s="1"/>
  <c r="AE72"/>
  <c r="EE72" s="1"/>
  <c r="AM72"/>
  <c r="EG72" s="1"/>
  <c r="K71"/>
  <c r="DZ71" s="1"/>
  <c r="S71"/>
  <c r="EB71" s="1"/>
  <c r="AA71"/>
  <c r="ED71" s="1"/>
  <c r="AI71"/>
  <c r="EF71" s="1"/>
  <c r="AQ71"/>
  <c r="EH71" s="1"/>
  <c r="O70"/>
  <c r="EA70" s="1"/>
  <c r="W70"/>
  <c r="EC70" s="1"/>
  <c r="AE70"/>
  <c r="EE70" s="1"/>
  <c r="AM70"/>
  <c r="EG70" s="1"/>
  <c r="K69"/>
  <c r="DZ69" s="1"/>
  <c r="S69"/>
  <c r="EB69" s="1"/>
  <c r="AA69"/>
  <c r="ED69" s="1"/>
  <c r="AI69"/>
  <c r="EF69" s="1"/>
  <c r="AQ69"/>
  <c r="EH69" s="1"/>
  <c r="O68"/>
  <c r="EA68" s="1"/>
  <c r="W68"/>
  <c r="EC68" s="1"/>
  <c r="AE68"/>
  <c r="EE68" s="1"/>
  <c r="P12"/>
  <c r="AJ12"/>
  <c r="AJ13"/>
  <c r="AJ14"/>
  <c r="AJ15"/>
  <c r="AJ16"/>
  <c r="AJ17"/>
  <c r="AJ18"/>
  <c r="AJ19"/>
  <c r="AJ20"/>
  <c r="AJ21"/>
  <c r="AJ22"/>
  <c r="AJ23"/>
  <c r="AJ25"/>
  <c r="AJ26"/>
  <c r="AJ27"/>
  <c r="AJ29"/>
  <c r="AJ30"/>
  <c r="AJ31"/>
  <c r="AJ33"/>
  <c r="AJ36"/>
  <c r="T39"/>
  <c r="T40"/>
  <c r="AN40"/>
  <c r="AN41"/>
  <c r="AN42"/>
  <c r="AN11"/>
  <c r="AF75"/>
  <c r="X74"/>
  <c r="P73"/>
  <c r="H72"/>
  <c r="AN72"/>
  <c r="AF71"/>
  <c r="X70"/>
  <c r="P69"/>
  <c r="H68"/>
  <c r="AN68"/>
  <c r="T67"/>
  <c r="AJ67"/>
  <c r="P66"/>
  <c r="AF66"/>
  <c r="L65"/>
  <c r="AB65"/>
  <c r="H64"/>
  <c r="X64"/>
  <c r="AN64"/>
  <c r="T63"/>
  <c r="AJ63"/>
  <c r="P62"/>
  <c r="AF62"/>
  <c r="L61"/>
  <c r="AB61"/>
  <c r="L75"/>
  <c r="L74"/>
  <c r="L73"/>
  <c r="L72"/>
  <c r="L71"/>
  <c r="L70"/>
  <c r="L69"/>
  <c r="L68"/>
  <c r="AM68"/>
  <c r="EG68" s="1"/>
  <c r="K67"/>
  <c r="DZ67" s="1"/>
  <c r="S67"/>
  <c r="EB67" s="1"/>
  <c r="AA67"/>
  <c r="ED67" s="1"/>
  <c r="AI67"/>
  <c r="EF67" s="1"/>
  <c r="AQ67"/>
  <c r="EH67" s="1"/>
  <c r="O66"/>
  <c r="EA66" s="1"/>
  <c r="W66"/>
  <c r="EC66" s="1"/>
  <c r="AE66"/>
  <c r="EE66" s="1"/>
  <c r="AM66"/>
  <c r="EG66" s="1"/>
  <c r="K65"/>
  <c r="DZ65" s="1"/>
  <c r="S65"/>
  <c r="EB65" s="1"/>
  <c r="AA65"/>
  <c r="ED65" s="1"/>
  <c r="AI65"/>
  <c r="EF65" s="1"/>
  <c r="AQ65"/>
  <c r="EH65" s="1"/>
  <c r="O64"/>
  <c r="EA64" s="1"/>
  <c r="W64"/>
  <c r="EC64" s="1"/>
  <c r="AE64"/>
  <c r="EE64" s="1"/>
  <c r="AM64"/>
  <c r="EG64" s="1"/>
  <c r="K63"/>
  <c r="DZ63" s="1"/>
  <c r="S63"/>
  <c r="EB63" s="1"/>
  <c r="AA63"/>
  <c r="ED63" s="1"/>
  <c r="AI63"/>
  <c r="EF63" s="1"/>
  <c r="AQ63"/>
  <c r="EH63" s="1"/>
  <c r="O62"/>
  <c r="EA62" s="1"/>
  <c r="W62"/>
  <c r="EC62" s="1"/>
  <c r="AE62"/>
  <c r="EE62" s="1"/>
  <c r="AM62"/>
  <c r="EG62" s="1"/>
  <c r="K61"/>
  <c r="DZ61" s="1"/>
  <c r="S61"/>
  <c r="EB61" s="1"/>
  <c r="AA61"/>
  <c r="ED61" s="1"/>
  <c r="AI61"/>
  <c r="EF61" s="1"/>
  <c r="AQ61"/>
  <c r="EH61" s="1"/>
  <c r="S59"/>
  <c r="EB59" s="1"/>
  <c r="O59"/>
  <c r="EA59" s="1"/>
  <c r="AM59"/>
  <c r="EG59" s="1"/>
  <c r="S58"/>
  <c r="EB58" s="1"/>
  <c r="AI58"/>
  <c r="EF58" s="1"/>
  <c r="O57"/>
  <c r="EA57" s="1"/>
  <c r="AE57"/>
  <c r="EE57" s="1"/>
  <c r="W56"/>
  <c r="EC56" s="1"/>
  <c r="AE56"/>
  <c r="EE56" s="1"/>
  <c r="AN55"/>
  <c r="X55"/>
  <c r="H55"/>
  <c r="AB49"/>
  <c r="L49"/>
  <c r="K49"/>
  <c r="DZ49" s="1"/>
  <c r="AI49"/>
  <c r="EF49" s="1"/>
  <c r="AQ48"/>
  <c r="EH48" s="1"/>
  <c r="AI48"/>
  <c r="EF48" s="1"/>
  <c r="AF47"/>
  <c r="AB45"/>
  <c r="AQ45"/>
  <c r="EH45" s="1"/>
  <c r="AM45"/>
  <c r="EG45" s="1"/>
  <c r="AI60"/>
  <c r="EF60" s="1"/>
  <c r="AJ59"/>
  <c r="W59"/>
  <c r="EC59" s="1"/>
  <c r="O58"/>
  <c r="EA58" s="1"/>
  <c r="AE58"/>
  <c r="EE58" s="1"/>
  <c r="K57"/>
  <c r="DZ57" s="1"/>
  <c r="AA57"/>
  <c r="ED57" s="1"/>
  <c r="S56"/>
  <c r="EB56" s="1"/>
  <c r="W55"/>
  <c r="EC55" s="1"/>
  <c r="AM55"/>
  <c r="EG55" s="1"/>
  <c r="AE54"/>
  <c r="EE54" s="1"/>
  <c r="AI52"/>
  <c r="EF52" s="1"/>
  <c r="T51"/>
  <c r="AI51"/>
  <c r="EF51" s="1"/>
  <c r="W50"/>
  <c r="EC50" s="1"/>
  <c r="AM50"/>
  <c r="EG50" s="1"/>
  <c r="W48"/>
  <c r="EC48" s="1"/>
  <c r="AM48"/>
  <c r="EG48" s="1"/>
  <c r="P47"/>
  <c r="AE47"/>
  <c r="EE47" s="1"/>
  <c r="AJ46"/>
  <c r="AE46"/>
  <c r="EE46" s="1"/>
  <c r="AI45"/>
  <c r="EF45" s="1"/>
  <c r="AQ44"/>
  <c r="EH44" s="1"/>
  <c r="AM44"/>
  <c r="EG44" s="1"/>
  <c r="AQ43"/>
  <c r="EH43" s="1"/>
  <c r="AM43"/>
  <c r="EG43" s="1"/>
  <c r="AQ42"/>
  <c r="EH42" s="1"/>
  <c r="AI42"/>
  <c r="EF42" s="1"/>
  <c r="AQ41"/>
  <c r="EH41" s="1"/>
  <c r="AI41"/>
  <c r="EF41" s="1"/>
  <c r="W40"/>
  <c r="EC40" s="1"/>
  <c r="AQ40"/>
  <c r="EH40" s="1"/>
  <c r="O37"/>
  <c r="EA37" s="1"/>
  <c r="AM37"/>
  <c r="EG37" s="1"/>
  <c r="O36"/>
  <c r="EA36" s="1"/>
  <c r="AE36"/>
  <c r="EE36" s="1"/>
  <c r="AM35"/>
  <c r="EG35" s="1"/>
  <c r="AM33"/>
  <c r="EG33" s="1"/>
  <c r="AQ32"/>
  <c r="EH32" s="1"/>
  <c r="S31"/>
  <c r="EB31" s="1"/>
  <c r="AM31"/>
  <c r="EG31" s="1"/>
  <c r="AM29"/>
  <c r="EG29" s="1"/>
  <c r="AE28"/>
  <c r="EE28" s="1"/>
  <c r="AM27"/>
  <c r="EG27" s="1"/>
  <c r="W26"/>
  <c r="EC26" s="1"/>
  <c r="AM25"/>
  <c r="EG25" s="1"/>
  <c r="AQ24"/>
  <c r="EH24" s="1"/>
  <c r="AM23"/>
  <c r="EG23" s="1"/>
  <c r="AM21"/>
  <c r="EG21" s="1"/>
  <c r="W20"/>
  <c r="EC20" s="1"/>
  <c r="AE20"/>
  <c r="EE20" s="1"/>
  <c r="AM19"/>
  <c r="EG19" s="1"/>
  <c r="AM17"/>
  <c r="EG17" s="1"/>
  <c r="W16"/>
  <c r="EC16" s="1"/>
  <c r="AM15"/>
  <c r="EG15" s="1"/>
  <c r="AE14"/>
  <c r="EE14" s="1"/>
  <c r="AM13"/>
  <c r="EG13" s="1"/>
  <c r="AQ12"/>
  <c r="EH12" s="1"/>
  <c r="S60"/>
  <c r="EB60" s="1"/>
  <c r="AA60"/>
  <c r="ED60" s="1"/>
  <c r="AN59"/>
  <c r="H59"/>
  <c r="AI57"/>
  <c r="EF57" s="1"/>
  <c r="O56"/>
  <c r="EA56" s="1"/>
  <c r="AM56"/>
  <c r="EG56" s="1"/>
  <c r="AI54"/>
  <c r="EF54" s="1"/>
  <c r="W53"/>
  <c r="EC53" s="1"/>
  <c r="AM53"/>
  <c r="EG53" s="1"/>
  <c r="AE52"/>
  <c r="EE52" s="1"/>
  <c r="X51"/>
  <c r="AE51"/>
  <c r="EE51" s="1"/>
  <c r="O49"/>
  <c r="EA49" s="1"/>
  <c r="AM49"/>
  <c r="EG49" s="1"/>
  <c r="P46"/>
  <c r="AG13"/>
  <c r="AK14"/>
  <c r="AO15"/>
  <c r="Y13"/>
  <c r="U17"/>
  <c r="AO17"/>
  <c r="AG19"/>
  <c r="AK20"/>
  <c r="AO21"/>
  <c r="AG23"/>
  <c r="AK24"/>
  <c r="AB24"/>
  <c r="AO25"/>
  <c r="I27"/>
  <c r="AG27"/>
  <c r="AK28"/>
  <c r="AB28"/>
  <c r="H24"/>
  <c r="AN24"/>
  <c r="AF28"/>
  <c r="AO29"/>
  <c r="X32"/>
  <c r="AK33"/>
  <c r="AO34"/>
  <c r="AJ34"/>
  <c r="AF35"/>
  <c r="U36"/>
  <c r="AO36"/>
  <c r="L37"/>
  <c r="AO31"/>
  <c r="L32"/>
  <c r="H34"/>
  <c r="AN34"/>
  <c r="L35"/>
  <c r="H37"/>
  <c r="AN37"/>
  <c r="AG39"/>
  <c r="AK40"/>
  <c r="AO41"/>
  <c r="AG43"/>
  <c r="T43"/>
  <c r="AN43"/>
  <c r="L44"/>
  <c r="AF44"/>
  <c r="AO45"/>
  <c r="AS46"/>
  <c r="AC47"/>
  <c r="AW47"/>
  <c r="T48"/>
  <c r="Q49"/>
  <c r="M50"/>
  <c r="AK50"/>
  <c r="AN50"/>
  <c r="I51"/>
  <c r="AG41"/>
  <c r="P43"/>
  <c r="H44"/>
  <c r="AJ44"/>
  <c r="I46"/>
  <c r="AG46"/>
  <c r="Q47"/>
  <c r="M48"/>
  <c r="AK48"/>
  <c r="AN48"/>
  <c r="I49"/>
  <c r="AG49"/>
  <c r="Q50"/>
  <c r="H50"/>
  <c r="Y51"/>
  <c r="U51"/>
  <c r="M52"/>
  <c r="AK52"/>
  <c r="AN52"/>
  <c r="I53"/>
  <c r="AG53"/>
  <c r="P53"/>
  <c r="AJ53"/>
  <c r="AC54"/>
  <c r="AW54"/>
  <c r="X54"/>
  <c r="U55"/>
  <c r="AO55"/>
  <c r="AS56"/>
  <c r="AF56"/>
  <c r="T57"/>
  <c r="Q58"/>
  <c r="H58"/>
  <c r="Y59"/>
  <c r="U60"/>
  <c r="AO60"/>
  <c r="O60"/>
  <c r="EA60" s="1"/>
  <c r="Q61"/>
  <c r="AW61"/>
  <c r="AC62"/>
  <c r="Y63"/>
  <c r="I64"/>
  <c r="AK64"/>
  <c r="AG65"/>
  <c r="M66"/>
  <c r="AS66"/>
  <c r="AO67"/>
  <c r="U68"/>
  <c r="Q69"/>
  <c r="AW69"/>
  <c r="AC70"/>
  <c r="Y71"/>
  <c r="I72"/>
  <c r="AK72"/>
  <c r="AG73"/>
  <c r="M74"/>
  <c r="AS74"/>
  <c r="AO75"/>
  <c r="AK11"/>
  <c r="AK51"/>
  <c r="AS52"/>
  <c r="AF52"/>
  <c r="T53"/>
  <c r="Q54"/>
  <c r="H54"/>
  <c r="Y55"/>
  <c r="U56"/>
  <c r="AO56"/>
  <c r="L56"/>
  <c r="M57"/>
  <c r="AK57"/>
  <c r="AN57"/>
  <c r="I58"/>
  <c r="AG58"/>
  <c r="P58"/>
  <c r="AJ58"/>
  <c r="AC59"/>
  <c r="AW59"/>
  <c r="P60"/>
  <c r="AF60"/>
  <c r="AC61"/>
  <c r="Y62"/>
  <c r="I63"/>
  <c r="AK63"/>
  <c r="AG64"/>
  <c r="M65"/>
  <c r="AS65"/>
  <c r="AO66"/>
  <c r="U67"/>
  <c r="Q68"/>
  <c r="AW68"/>
  <c r="AC69"/>
  <c r="Y70"/>
  <c r="I71"/>
  <c r="AK71"/>
  <c r="AG72"/>
  <c r="M73"/>
  <c r="AS73"/>
  <c r="AO74"/>
  <c r="U75"/>
  <c r="H15"/>
  <c r="H19"/>
  <c r="H23"/>
  <c r="H29"/>
  <c r="H36"/>
  <c r="H41"/>
  <c r="T12"/>
  <c r="P13"/>
  <c r="P14"/>
  <c r="P15"/>
  <c r="P16"/>
  <c r="P17"/>
  <c r="P18"/>
  <c r="P19"/>
  <c r="P20"/>
  <c r="P21"/>
  <c r="P22"/>
  <c r="P23"/>
  <c r="P25"/>
  <c r="P26"/>
  <c r="P27"/>
  <c r="P29"/>
  <c r="P30"/>
  <c r="P31"/>
  <c r="P33"/>
  <c r="P36"/>
  <c r="P38"/>
  <c r="AQ38"/>
  <c r="EH38" s="1"/>
  <c r="AF39"/>
  <c r="AB40"/>
  <c r="AB41"/>
  <c r="AB42"/>
  <c r="AB11"/>
  <c r="O75"/>
  <c r="EA75" s="1"/>
  <c r="W75"/>
  <c r="EC75" s="1"/>
  <c r="AE75"/>
  <c r="EE75" s="1"/>
  <c r="AM75"/>
  <c r="EG75" s="1"/>
  <c r="K74"/>
  <c r="DZ74" s="1"/>
  <c r="S74"/>
  <c r="EB74" s="1"/>
  <c r="AA74"/>
  <c r="ED74" s="1"/>
  <c r="AI74"/>
  <c r="EF74" s="1"/>
  <c r="AQ74"/>
  <c r="EH74" s="1"/>
  <c r="O73"/>
  <c r="EA73" s="1"/>
  <c r="W73"/>
  <c r="EC73" s="1"/>
  <c r="AE73"/>
  <c r="EE73" s="1"/>
  <c r="AM73"/>
  <c r="EG73" s="1"/>
  <c r="K72"/>
  <c r="DZ72" s="1"/>
  <c r="S72"/>
  <c r="EB72" s="1"/>
  <c r="AA72"/>
  <c r="ED72" s="1"/>
  <c r="AI72"/>
  <c r="EF72" s="1"/>
  <c r="AQ72"/>
  <c r="EH72" s="1"/>
  <c r="O71"/>
  <c r="EA71" s="1"/>
  <c r="W71"/>
  <c r="EC71" s="1"/>
  <c r="AE71"/>
  <c r="EE71" s="1"/>
  <c r="AM71"/>
  <c r="EG71" s="1"/>
  <c r="K70"/>
  <c r="DZ70" s="1"/>
  <c r="S70"/>
  <c r="EB70" s="1"/>
  <c r="AA70"/>
  <c r="ED70" s="1"/>
  <c r="AI70"/>
  <c r="EF70" s="1"/>
  <c r="AQ70"/>
  <c r="EH70" s="1"/>
  <c r="O69"/>
  <c r="EA69" s="1"/>
  <c r="W69"/>
  <c r="EC69" s="1"/>
  <c r="AE69"/>
  <c r="EE69" s="1"/>
  <c r="AM69"/>
  <c r="EG69" s="1"/>
  <c r="K68"/>
  <c r="DZ68" s="1"/>
  <c r="S68"/>
  <c r="EB68" s="1"/>
  <c r="AA68"/>
  <c r="ED68" s="1"/>
  <c r="AI68"/>
  <c r="EF68" s="1"/>
  <c r="T13"/>
  <c r="T14"/>
  <c r="T15"/>
  <c r="T16"/>
  <c r="T17"/>
  <c r="T18"/>
  <c r="T19"/>
  <c r="T20"/>
  <c r="T21"/>
  <c r="T22"/>
  <c r="T23"/>
  <c r="T25"/>
  <c r="T26"/>
  <c r="T27"/>
  <c r="T29"/>
  <c r="T30"/>
  <c r="T31"/>
  <c r="T33"/>
  <c r="T36"/>
  <c r="T38"/>
  <c r="AN38"/>
  <c r="AJ39"/>
  <c r="X41"/>
  <c r="X42"/>
  <c r="X11"/>
  <c r="P75"/>
  <c r="H74"/>
  <c r="AN74"/>
  <c r="AF73"/>
  <c r="X72"/>
  <c r="P71"/>
  <c r="H70"/>
  <c r="AN70"/>
  <c r="AF69"/>
  <c r="X68"/>
  <c r="L67"/>
  <c r="AB67"/>
  <c r="H66"/>
  <c r="X66"/>
  <c r="AN66"/>
  <c r="T65"/>
  <c r="AJ65"/>
  <c r="P64"/>
  <c r="AF64"/>
  <c r="L63"/>
  <c r="AB63"/>
  <c r="H62"/>
  <c r="X62"/>
  <c r="AN62"/>
  <c r="T61"/>
  <c r="AJ61"/>
  <c r="AB75"/>
  <c r="AB74"/>
  <c r="AB73"/>
  <c r="AB72"/>
  <c r="AB71"/>
  <c r="AB70"/>
  <c r="AB69"/>
  <c r="AB68"/>
  <c r="AQ68"/>
  <c r="EH68" s="1"/>
  <c r="O67"/>
  <c r="EA67" s="1"/>
  <c r="W67"/>
  <c r="EC67" s="1"/>
  <c r="AE67"/>
  <c r="EE67" s="1"/>
  <c r="AM67"/>
  <c r="EG67" s="1"/>
  <c r="K66"/>
  <c r="DZ66" s="1"/>
  <c r="S66"/>
  <c r="EB66" s="1"/>
  <c r="AA66"/>
  <c r="ED66" s="1"/>
  <c r="AI66"/>
  <c r="EF66" s="1"/>
  <c r="AQ66"/>
  <c r="EH66" s="1"/>
  <c r="O65"/>
  <c r="EA65" s="1"/>
  <c r="W65"/>
  <c r="EC65" s="1"/>
  <c r="AE65"/>
  <c r="EE65" s="1"/>
  <c r="AM65"/>
  <c r="EG65" s="1"/>
  <c r="K64"/>
  <c r="DZ64" s="1"/>
  <c r="S64"/>
  <c r="EB64" s="1"/>
  <c r="AA64"/>
  <c r="ED64" s="1"/>
  <c r="AI64"/>
  <c r="EF64" s="1"/>
  <c r="AQ64"/>
  <c r="EH64" s="1"/>
  <c r="O63"/>
  <c r="EA63" s="1"/>
  <c r="W63"/>
  <c r="EC63" s="1"/>
  <c r="AE63"/>
  <c r="EE63" s="1"/>
  <c r="AM63"/>
  <c r="EG63" s="1"/>
  <c r="K62"/>
  <c r="DZ62" s="1"/>
  <c r="S62"/>
  <c r="EB62" s="1"/>
  <c r="AA62"/>
  <c r="ED62" s="1"/>
  <c r="AI62"/>
  <c r="EF62" s="1"/>
  <c r="AQ62"/>
  <c r="EH62" s="1"/>
  <c r="O61"/>
  <c r="EA61" s="1"/>
  <c r="W61"/>
  <c r="EC61" s="1"/>
  <c r="AE61"/>
  <c r="EE61" s="1"/>
  <c r="AM61"/>
  <c r="EG61" s="1"/>
  <c r="W60"/>
  <c r="EC60" s="1"/>
  <c r="AQ59"/>
  <c r="EH59" s="1"/>
  <c r="AA59"/>
  <c r="ED59" s="1"/>
  <c r="K58"/>
  <c r="DZ58" s="1"/>
  <c r="AA58"/>
  <c r="ED58" s="1"/>
  <c r="AQ58"/>
  <c r="EH58" s="1"/>
  <c r="W57"/>
  <c r="EC57" s="1"/>
  <c r="AM57"/>
  <c r="EG57" s="1"/>
  <c r="K56"/>
  <c r="DZ56" s="1"/>
  <c r="AI56"/>
  <c r="EF56" s="1"/>
  <c r="AF55"/>
  <c r="P55"/>
  <c r="AJ49"/>
  <c r="T49"/>
  <c r="W49"/>
  <c r="EC49" s="1"/>
  <c r="AE49"/>
  <c r="EE49" s="1"/>
  <c r="S48"/>
  <c r="EB48" s="1"/>
  <c r="O48"/>
  <c r="EA48" s="1"/>
  <c r="AN47"/>
  <c r="X47"/>
  <c r="AJ45"/>
  <c r="AE60"/>
  <c r="EE60" s="1"/>
  <c r="AQ60"/>
  <c r="EH60" s="1"/>
  <c r="T59"/>
  <c r="AI59"/>
  <c r="EF59" s="1"/>
  <c r="W58"/>
  <c r="EC58" s="1"/>
  <c r="AM58"/>
  <c r="EG58" s="1"/>
  <c r="S57"/>
  <c r="EB57" s="1"/>
  <c r="AQ57"/>
  <c r="EH57" s="1"/>
  <c r="O55"/>
  <c r="EA55" s="1"/>
  <c r="AE55"/>
  <c r="EE55" s="1"/>
  <c r="K54"/>
  <c r="DZ54" s="1"/>
  <c r="W52"/>
  <c r="EC52" s="1"/>
  <c r="AJ51"/>
  <c r="W51"/>
  <c r="EC51" s="1"/>
  <c r="O50"/>
  <c r="EA50" s="1"/>
  <c r="AE50"/>
  <c r="EE50" s="1"/>
  <c r="S49"/>
  <c r="EB49" s="1"/>
  <c r="AA48"/>
  <c r="ED48" s="1"/>
  <c r="AA47"/>
  <c r="ED47" s="1"/>
  <c r="K47"/>
  <c r="DZ47" s="1"/>
  <c r="AI47"/>
  <c r="EF47" s="1"/>
  <c r="T46"/>
  <c r="AM46"/>
  <c r="EG46" s="1"/>
  <c r="P45"/>
  <c r="AI40"/>
  <c r="EF40" s="1"/>
  <c r="AM39"/>
  <c r="EG39" s="1"/>
  <c r="AI38"/>
  <c r="EF38" s="1"/>
  <c r="AQ37"/>
  <c r="EH37" s="1"/>
  <c r="AM36"/>
  <c r="EG36" s="1"/>
  <c r="O35"/>
  <c r="EA35" s="1"/>
  <c r="AM34"/>
  <c r="EG34" s="1"/>
  <c r="AM32"/>
  <c r="EG32" s="1"/>
  <c r="AQ31"/>
  <c r="EH31" s="1"/>
  <c r="AM30"/>
  <c r="EG30" s="1"/>
  <c r="O29"/>
  <c r="EA29" s="1"/>
  <c r="K28"/>
  <c r="DZ28" s="1"/>
  <c r="AM28"/>
  <c r="EG28" s="1"/>
  <c r="AM26"/>
  <c r="EG26" s="1"/>
  <c r="O25"/>
  <c r="EA25" s="1"/>
  <c r="AM24"/>
  <c r="EG24" s="1"/>
  <c r="W23"/>
  <c r="EC23" s="1"/>
  <c r="AM22"/>
  <c r="EG22" s="1"/>
  <c r="O21"/>
  <c r="EA21" s="1"/>
  <c r="AA20"/>
  <c r="ED20" s="1"/>
  <c r="AM20"/>
  <c r="EG20" s="1"/>
  <c r="AM18"/>
  <c r="EG18" s="1"/>
  <c r="AA16"/>
  <c r="ED16" s="1"/>
  <c r="AM16"/>
  <c r="EG16" s="1"/>
  <c r="AM14"/>
  <c r="EG14" s="1"/>
  <c r="AE13"/>
  <c r="EE13" s="1"/>
  <c r="O12"/>
  <c r="EA12" s="1"/>
  <c r="AM12"/>
  <c r="EG12" s="1"/>
  <c r="AM11"/>
  <c r="EG11" s="1"/>
  <c r="K60"/>
  <c r="DZ60" s="1"/>
  <c r="AM60"/>
  <c r="EG60" s="1"/>
  <c r="X59"/>
  <c r="AE59"/>
  <c r="EE59" s="1"/>
  <c r="AQ56"/>
  <c r="EH56" s="1"/>
  <c r="AA56"/>
  <c r="ED56" s="1"/>
  <c r="W54"/>
  <c r="EC54" s="1"/>
  <c r="O53"/>
  <c r="EA53" s="1"/>
  <c r="AE53"/>
  <c r="EE53" s="1"/>
  <c r="K52"/>
  <c r="DZ52" s="1"/>
  <c r="AN51"/>
  <c r="H51"/>
  <c r="AQ49"/>
  <c r="EH49" s="1"/>
  <c r="AA49"/>
  <c r="ED49" s="1"/>
  <c r="K48"/>
  <c r="DZ48" s="1"/>
  <c r="L47"/>
  <c r="AF46"/>
  <c r="K46"/>
  <c r="DZ46" s="1"/>
  <c r="L45"/>
  <c r="AO12"/>
  <c r="Q15"/>
  <c r="AG20"/>
  <c r="AK21"/>
  <c r="AO22"/>
  <c r="AS22"/>
  <c r="AG24"/>
  <c r="AG28"/>
  <c r="Y29"/>
  <c r="AW24"/>
  <c r="X28"/>
  <c r="AK29"/>
  <c r="AO30"/>
  <c r="AB34"/>
  <c r="X35"/>
  <c r="AK36"/>
  <c r="AO37"/>
  <c r="AW40"/>
  <c r="AK31"/>
  <c r="AO32"/>
  <c r="AF34"/>
  <c r="AO35"/>
  <c r="AF37"/>
  <c r="AO38"/>
  <c r="AK41"/>
  <c r="AO42"/>
  <c r="L43"/>
  <c r="AK45"/>
  <c r="U47"/>
  <c r="AS48"/>
  <c r="I50"/>
  <c r="P50"/>
  <c r="AJ43"/>
  <c r="AB44"/>
  <c r="AC46"/>
  <c r="I48"/>
  <c r="P48"/>
  <c r="AC49"/>
  <c r="T50"/>
  <c r="M51"/>
  <c r="AG52"/>
  <c r="AJ52"/>
  <c r="AW53"/>
  <c r="U54"/>
  <c r="L54"/>
  <c r="AK55"/>
  <c r="AB56"/>
  <c r="AF57"/>
  <c r="Q59"/>
  <c r="AK60"/>
  <c r="AJ60"/>
  <c r="U62"/>
  <c r="AW63"/>
  <c r="Y65"/>
  <c r="AK66"/>
  <c r="M68"/>
  <c r="AO69"/>
  <c r="Q71"/>
  <c r="AC72"/>
  <c r="I74"/>
  <c r="AG75"/>
  <c r="AG11"/>
  <c r="Y52"/>
  <c r="AS53"/>
  <c r="T54"/>
  <c r="M56"/>
  <c r="AN56"/>
  <c r="AG57"/>
  <c r="AJ57"/>
  <c r="AW58"/>
  <c r="U59"/>
  <c r="AS60"/>
  <c r="U61"/>
  <c r="AW62"/>
  <c r="Y64"/>
  <c r="AK65"/>
  <c r="M67"/>
  <c r="AO68"/>
  <c r="Q70"/>
  <c r="AC71"/>
  <c r="I73"/>
  <c r="AG74"/>
  <c r="AS75"/>
  <c r="H18"/>
  <c r="H27"/>
  <c r="H40"/>
  <c r="AN12"/>
  <c r="AN14"/>
  <c r="AN16"/>
  <c r="AN18"/>
  <c r="AN20"/>
  <c r="AN22"/>
  <c r="AN25"/>
  <c r="AN27"/>
  <c r="AN30"/>
  <c r="AN33"/>
  <c r="AJ38"/>
  <c r="X40"/>
  <c r="T42"/>
  <c r="L13"/>
  <c r="L15"/>
  <c r="L17"/>
  <c r="L19"/>
  <c r="L21"/>
  <c r="L23"/>
  <c r="L26"/>
  <c r="L29"/>
  <c r="L31"/>
  <c r="L36"/>
  <c r="AF38"/>
  <c r="P42"/>
  <c r="H75"/>
  <c r="AF74"/>
  <c r="P72"/>
  <c r="AN71"/>
  <c r="X69"/>
  <c r="H67"/>
  <c r="AN67"/>
  <c r="AJ66"/>
  <c r="AF65"/>
  <c r="AB64"/>
  <c r="X63"/>
  <c r="T62"/>
  <c r="P61"/>
  <c r="T75"/>
  <c r="T73"/>
  <c r="T71"/>
  <c r="T69"/>
  <c r="AJ55"/>
  <c r="K55"/>
  <c r="DZ55" s="1"/>
  <c r="AQ55"/>
  <c r="EH55" s="1"/>
  <c r="AA54"/>
  <c r="ED54" s="1"/>
  <c r="AA53"/>
  <c r="ED53" s="1"/>
  <c r="AQ52"/>
  <c r="EH52" s="1"/>
  <c r="S51"/>
  <c r="EB51" s="1"/>
  <c r="AM51"/>
  <c r="EG51" s="1"/>
  <c r="AI50"/>
  <c r="EF50" s="1"/>
  <c r="X49"/>
  <c r="AB47"/>
  <c r="AM47"/>
  <c r="EG47" s="1"/>
  <c r="AI46"/>
  <c r="EF46" s="1"/>
  <c r="X45"/>
  <c r="AB59"/>
  <c r="K59"/>
  <c r="DZ59" s="1"/>
  <c r="AN46"/>
  <c r="AM42"/>
  <c r="EG42" s="1"/>
  <c r="AQ36"/>
  <c r="EH36" s="1"/>
  <c r="AQ34"/>
  <c r="EH34" s="1"/>
  <c r="AQ30"/>
  <c r="EH30" s="1"/>
  <c r="AQ28"/>
  <c r="EH28" s="1"/>
  <c r="AQ26"/>
  <c r="EH26" s="1"/>
  <c r="AQ23"/>
  <c r="EH23" s="1"/>
  <c r="AQ21"/>
  <c r="EH21" s="1"/>
  <c r="AQ19"/>
  <c r="EH19" s="1"/>
  <c r="AQ17"/>
  <c r="EH17" s="1"/>
  <c r="AQ15"/>
  <c r="EH15" s="1"/>
  <c r="AQ13"/>
  <c r="EH13" s="1"/>
  <c r="AQ11"/>
  <c r="EH11" s="1"/>
  <c r="AK12"/>
  <c r="AC13"/>
  <c r="AG14"/>
  <c r="AK15"/>
  <c r="AO16"/>
  <c r="AK17"/>
  <c r="AO18"/>
  <c r="U22"/>
  <c r="T24"/>
  <c r="AK25"/>
  <c r="AO26"/>
  <c r="T28"/>
  <c r="AF24"/>
  <c r="P32"/>
  <c r="AG33"/>
  <c r="AK34"/>
  <c r="U37"/>
  <c r="AJ37"/>
  <c r="M31"/>
  <c r="AJ32"/>
  <c r="AJ35"/>
  <c r="U38"/>
  <c r="AG40"/>
  <c r="AF43"/>
  <c r="AO44"/>
  <c r="Y46"/>
  <c r="AO47"/>
  <c r="AF48"/>
  <c r="AG50"/>
  <c r="AJ50"/>
  <c r="H43"/>
  <c r="AW46"/>
  <c r="AG48"/>
  <c r="AJ48"/>
  <c r="AW49"/>
  <c r="Q51"/>
  <c r="AW51"/>
  <c r="P52"/>
  <c r="AC53"/>
  <c r="X53"/>
  <c r="AO54"/>
  <c r="M55"/>
  <c r="Y56"/>
  <c r="AS57"/>
  <c r="T58"/>
  <c r="M60"/>
  <c r="H60"/>
  <c r="AO61"/>
  <c r="Q63"/>
  <c r="AC64"/>
  <c r="I66"/>
  <c r="AG67"/>
  <c r="AS68"/>
  <c r="U70"/>
  <c r="AW71"/>
  <c r="Y73"/>
  <c r="AK74"/>
  <c r="AW11"/>
  <c r="AB52"/>
  <c r="AF53"/>
  <c r="Q55"/>
  <c r="AK56"/>
  <c r="I57"/>
  <c r="P57"/>
  <c r="AC58"/>
  <c r="X58"/>
  <c r="AO59"/>
  <c r="AB60"/>
  <c r="Q62"/>
  <c r="AC63"/>
  <c r="I65"/>
  <c r="AG66"/>
  <c r="AS67"/>
  <c r="U69"/>
  <c r="AW70"/>
  <c r="Y72"/>
  <c r="AK73"/>
  <c r="M75"/>
  <c r="H14"/>
  <c r="H22"/>
  <c r="H33"/>
  <c r="L12"/>
  <c r="AN13"/>
  <c r="AN15"/>
  <c r="AN17"/>
  <c r="AN19"/>
  <c r="AN21"/>
  <c r="AN23"/>
  <c r="AN26"/>
  <c r="AN29"/>
  <c r="AN31"/>
  <c r="AN36"/>
  <c r="X39"/>
  <c r="T41"/>
  <c r="T11"/>
  <c r="X12"/>
  <c r="L14"/>
  <c r="L16"/>
  <c r="L18"/>
  <c r="L20"/>
  <c r="L22"/>
  <c r="L25"/>
  <c r="L27"/>
  <c r="L30"/>
  <c r="L33"/>
  <c r="L38"/>
  <c r="AB39"/>
  <c r="P41"/>
  <c r="P11"/>
  <c r="AN75"/>
  <c r="X73"/>
  <c r="H71"/>
  <c r="AF70"/>
  <c r="P68"/>
  <c r="X67"/>
  <c r="T66"/>
  <c r="P65"/>
  <c r="L64"/>
  <c r="H63"/>
  <c r="AN63"/>
  <c r="AJ62"/>
  <c r="AF61"/>
  <c r="T74"/>
  <c r="T72"/>
  <c r="T70"/>
  <c r="T68"/>
  <c r="T55"/>
  <c r="AA55"/>
  <c r="ED55" s="1"/>
  <c r="AQ54"/>
  <c r="EH54" s="1"/>
  <c r="K53"/>
  <c r="DZ53" s="1"/>
  <c r="AQ53"/>
  <c r="EH53" s="1"/>
  <c r="AA52"/>
  <c r="ED52" s="1"/>
  <c r="O51"/>
  <c r="EA51" s="1"/>
  <c r="S50"/>
  <c r="EB50" s="1"/>
  <c r="AN49"/>
  <c r="H49"/>
  <c r="AQ47"/>
  <c r="EH47" s="1"/>
  <c r="W46"/>
  <c r="EC46" s="1"/>
  <c r="AN45"/>
  <c r="L51"/>
  <c r="H47"/>
  <c r="AB46"/>
  <c r="AF59"/>
  <c r="P51"/>
  <c r="T47"/>
  <c r="H46"/>
  <c r="T45"/>
  <c r="AE43"/>
  <c r="EE43" s="1"/>
  <c r="AM38"/>
  <c r="EG38" s="1"/>
  <c r="AI37"/>
  <c r="EF37" s="1"/>
  <c r="AQ35"/>
  <c r="EH35" s="1"/>
  <c r="AQ33"/>
  <c r="EH33" s="1"/>
  <c r="AI32"/>
  <c r="EF32" s="1"/>
  <c r="AI31"/>
  <c r="EF31" s="1"/>
  <c r="AQ29"/>
  <c r="EH29" s="1"/>
  <c r="AQ27"/>
  <c r="EH27" s="1"/>
  <c r="AQ25"/>
  <c r="EH25" s="1"/>
  <c r="AI24"/>
  <c r="EF24" s="1"/>
  <c r="AQ22"/>
  <c r="EH22" s="1"/>
  <c r="AQ20"/>
  <c r="EH20" s="1"/>
  <c r="AQ18"/>
  <c r="EH18" s="1"/>
  <c r="AQ16"/>
  <c r="EH16" s="1"/>
  <c r="AQ14"/>
  <c r="EH14" s="1"/>
  <c r="AO14"/>
  <c r="AK23"/>
  <c r="U24"/>
  <c r="AO33"/>
  <c r="H35"/>
  <c r="AG37"/>
  <c r="AG32"/>
  <c r="P34"/>
  <c r="AG38"/>
  <c r="AO40"/>
  <c r="AK43"/>
  <c r="T44"/>
  <c r="I47"/>
  <c r="Y49"/>
  <c r="M41"/>
  <c r="X43"/>
  <c r="M46"/>
  <c r="AO48"/>
  <c r="Y50"/>
  <c r="U52"/>
  <c r="AK53"/>
  <c r="P54"/>
  <c r="T56"/>
  <c r="AB58"/>
  <c r="AG63"/>
  <c r="U66"/>
  <c r="Y69"/>
  <c r="M72"/>
  <c r="Q75"/>
  <c r="AO51"/>
  <c r="Y54"/>
  <c r="AW56"/>
  <c r="L57"/>
  <c r="I59"/>
  <c r="I61"/>
  <c r="AS63"/>
  <c r="AW66"/>
  <c r="AK69"/>
  <c r="AO72"/>
  <c r="AC75"/>
  <c r="H25"/>
  <c r="AB12"/>
  <c r="X16"/>
  <c r="X20"/>
  <c r="X25"/>
  <c r="X30"/>
  <c r="X38"/>
  <c r="AJ41"/>
  <c r="AB14"/>
  <c r="AB18"/>
  <c r="AB22"/>
  <c r="AB27"/>
  <c r="AB33"/>
  <c r="L40"/>
  <c r="AF11"/>
  <c r="AN73"/>
  <c r="H69"/>
  <c r="AF67"/>
  <c r="X65"/>
  <c r="P63"/>
  <c r="H61"/>
  <c r="AJ74"/>
  <c r="AJ70"/>
  <c r="AI55"/>
  <c r="EF55" s="1"/>
  <c r="S53"/>
  <c r="EB53" s="1"/>
  <c r="AM52"/>
  <c r="EG52" s="1"/>
  <c r="AA50"/>
  <c r="ED50" s="1"/>
  <c r="AJ47"/>
  <c r="AA46"/>
  <c r="ED46" s="1"/>
  <c r="H45"/>
  <c r="AG16"/>
  <c r="AG18"/>
  <c r="AO20"/>
  <c r="AK27"/>
  <c r="AN28"/>
  <c r="T35"/>
  <c r="M43"/>
  <c r="AG44"/>
  <c r="H48"/>
  <c r="L50"/>
  <c r="U48"/>
  <c r="AK49"/>
  <c r="AC51"/>
  <c r="M53"/>
  <c r="AG54"/>
  <c r="AW55"/>
  <c r="Y58"/>
  <c r="AW60"/>
  <c r="AK62"/>
  <c r="AO65"/>
  <c r="AC68"/>
  <c r="AG71"/>
  <c r="U74"/>
  <c r="AO11"/>
  <c r="H53"/>
  <c r="AC56"/>
  <c r="AO57"/>
  <c r="AN58"/>
  <c r="AN60"/>
  <c r="M63"/>
  <c r="Q66"/>
  <c r="I69"/>
  <c r="AS71"/>
  <c r="AW74"/>
  <c r="H20"/>
  <c r="H42"/>
  <c r="X15"/>
  <c r="X19"/>
  <c r="X23"/>
  <c r="X29"/>
  <c r="X36"/>
  <c r="AJ40"/>
  <c r="AB13"/>
  <c r="AB17"/>
  <c r="AB21"/>
  <c r="AB26"/>
  <c r="AB31"/>
  <c r="L39"/>
  <c r="AF42"/>
  <c r="H73"/>
  <c r="P70"/>
  <c r="P67"/>
  <c r="H65"/>
  <c r="AJ64"/>
  <c r="AB62"/>
  <c r="AJ75"/>
  <c r="AJ71"/>
  <c r="S55"/>
  <c r="EB55" s="1"/>
  <c r="AM54"/>
  <c r="EG54" s="1"/>
  <c r="O52"/>
  <c r="EA52" s="1"/>
  <c r="K50"/>
  <c r="DZ50" s="1"/>
  <c r="P49"/>
  <c r="O46"/>
  <c r="EA46" s="1"/>
  <c r="L59"/>
  <c r="AE48"/>
  <c r="EE48" s="1"/>
  <c r="S46"/>
  <c r="EB46" s="1"/>
  <c r="AQ39"/>
  <c r="EH39" s="1"/>
  <c r="AI33"/>
  <c r="EF33" s="1"/>
  <c r="AI27"/>
  <c r="EF27" s="1"/>
  <c r="AE24"/>
  <c r="EE24" s="1"/>
  <c r="AI20"/>
  <c r="EF20" s="1"/>
  <c r="AI16"/>
  <c r="EF16" s="1"/>
  <c r="AK13"/>
  <c r="U20"/>
  <c r="AJ24"/>
  <c r="AJ28"/>
  <c r="H28"/>
  <c r="AF32"/>
  <c r="AG35"/>
  <c r="AK39"/>
  <c r="Q48"/>
  <c r="Y47"/>
  <c r="AS51"/>
  <c r="I54"/>
  <c r="H57"/>
  <c r="I62"/>
  <c r="AW67"/>
  <c r="AO73"/>
  <c r="Q53"/>
  <c r="U57"/>
  <c r="Q60"/>
  <c r="U65"/>
  <c r="M71"/>
  <c r="H16"/>
  <c r="X14"/>
  <c r="X22"/>
  <c r="X33"/>
  <c r="AJ11"/>
  <c r="AB16"/>
  <c r="AB25"/>
  <c r="P74"/>
  <c r="AF68"/>
  <c r="T64"/>
  <c r="AN61"/>
  <c r="AJ68"/>
  <c r="O54"/>
  <c r="EA54" s="1"/>
  <c r="AA51"/>
  <c r="ED51" s="1"/>
  <c r="AF45"/>
  <c r="L46"/>
  <c r="X46"/>
  <c r="AI44"/>
  <c r="EF44" s="1"/>
  <c r="AE41"/>
  <c r="EE41" s="1"/>
  <c r="AI34"/>
  <c r="EF34" s="1"/>
  <c r="AI30"/>
  <c r="EF30" s="1"/>
  <c r="AI25"/>
  <c r="EF25" s="1"/>
  <c r="AI21"/>
  <c r="EF21" s="1"/>
  <c r="AI15"/>
  <c r="EF15" s="1"/>
  <c r="AK19"/>
  <c r="AO24"/>
  <c r="AO28"/>
  <c r="AN35"/>
  <c r="AA43"/>
  <c r="ED43" s="1"/>
  <c r="AG47"/>
  <c r="AK46"/>
  <c r="AB50"/>
  <c r="AN53"/>
  <c r="Q57"/>
  <c r="Y61"/>
  <c r="Q67"/>
  <c r="AS72"/>
  <c r="T52"/>
  <c r="X56"/>
  <c r="AG59"/>
  <c r="AO64"/>
  <c r="AG70"/>
  <c r="H12"/>
  <c r="X13"/>
  <c r="X21"/>
  <c r="X31"/>
  <c r="AJ42"/>
  <c r="AB15"/>
  <c r="AB23"/>
  <c r="AB36"/>
  <c r="X75"/>
  <c r="AN69"/>
  <c r="AN65"/>
  <c r="X61"/>
  <c r="AJ69"/>
  <c r="S54"/>
  <c r="EB54" s="1"/>
  <c r="AQ51"/>
  <c r="EH51" s="1"/>
  <c r="AQ46"/>
  <c r="EH46" s="1"/>
  <c r="AB51"/>
  <c r="P59"/>
  <c r="K51"/>
  <c r="DZ51" s="1"/>
  <c r="W47"/>
  <c r="EC47" s="1"/>
  <c r="AI39"/>
  <c r="EF39" s="1"/>
  <c r="AI35"/>
  <c r="EF35" s="1"/>
  <c r="AI26"/>
  <c r="EF26" s="1"/>
  <c r="AI22"/>
  <c r="EF22" s="1"/>
  <c r="AI17"/>
  <c r="EF17" s="1"/>
  <c r="AI12"/>
  <c r="EF12" s="1"/>
  <c r="AG26"/>
  <c r="T37"/>
  <c r="AN44"/>
  <c r="Y44"/>
  <c r="AO52"/>
  <c r="AS59"/>
  <c r="I70"/>
  <c r="AB54"/>
  <c r="AK61"/>
  <c r="U73"/>
  <c r="X17"/>
  <c r="AB19"/>
  <c r="AF40"/>
  <c r="L66"/>
  <c r="AJ73"/>
  <c r="AB55"/>
  <c r="AQ50"/>
  <c r="EH50" s="1"/>
  <c r="AM41"/>
  <c r="EG41" s="1"/>
  <c r="AI14"/>
  <c r="EF14" s="1"/>
  <c r="AW75"/>
  <c r="L34"/>
  <c r="Y33"/>
  <c r="AG42"/>
  <c r="AO50"/>
  <c r="M49"/>
  <c r="AC55"/>
  <c r="AS64"/>
  <c r="AK58"/>
  <c r="Y68"/>
  <c r="H38"/>
  <c r="X27"/>
  <c r="AB30"/>
  <c r="X71"/>
  <c r="L62"/>
  <c r="S52"/>
  <c r="EB52" s="1"/>
  <c r="O47"/>
  <c r="EA47" s="1"/>
  <c r="AI36"/>
  <c r="EF36" s="1"/>
  <c r="AI28"/>
  <c r="EF28" s="1"/>
  <c r="AI18"/>
  <c r="EF18" s="1"/>
  <c r="P24"/>
  <c r="T32"/>
  <c r="U50"/>
  <c r="L48"/>
  <c r="AJ54"/>
  <c r="M64"/>
  <c r="M58"/>
  <c r="AC67"/>
  <c r="H30"/>
  <c r="X26"/>
  <c r="AB29"/>
  <c r="AF72"/>
  <c r="AF63"/>
  <c r="AI53"/>
  <c r="EF53" s="1"/>
  <c r="S47"/>
  <c r="EB47" s="1"/>
  <c r="AI43"/>
  <c r="EF43" s="1"/>
  <c r="AI29"/>
  <c r="EF29" s="1"/>
  <c r="AI19"/>
  <c r="EF19" s="1"/>
  <c r="AI11"/>
  <c r="EF11" s="1"/>
  <c r="AG22"/>
  <c r="AG30"/>
  <c r="P37"/>
  <c r="P44"/>
  <c r="L52"/>
  <c r="AC60"/>
  <c r="AK70"/>
  <c r="AS55"/>
  <c r="AG62"/>
  <c r="Q74"/>
  <c r="X18"/>
  <c r="AN39"/>
  <c r="AB20"/>
  <c r="AF41"/>
  <c r="AB66"/>
  <c r="AJ72"/>
  <c r="L55"/>
  <c r="AF49"/>
  <c r="AF51"/>
  <c r="AM40"/>
  <c r="EG40" s="1"/>
  <c r="AI23"/>
  <c r="EF23" s="1"/>
  <c r="AI13"/>
  <c r="EF13" s="1"/>
  <c r="C65" i="36"/>
  <c r="P65"/>
  <c r="D65"/>
  <c r="R65"/>
  <c r="O65"/>
  <c r="P62"/>
  <c r="O62"/>
  <c r="C62"/>
  <c r="R62"/>
  <c r="D62"/>
  <c r="R39"/>
  <c r="K39" i="1" s="1"/>
  <c r="DZ39" s="1"/>
  <c r="D39" i="36"/>
  <c r="C39"/>
  <c r="O39"/>
  <c r="I39" i="1" s="1"/>
  <c r="O18" i="36"/>
  <c r="I18" i="1" s="1"/>
  <c r="D18" i="36"/>
  <c r="R18"/>
  <c r="K18" i="1" s="1"/>
  <c r="DZ18" s="1"/>
  <c r="C18" i="36"/>
  <c r="O71"/>
  <c r="R71"/>
  <c r="D71"/>
  <c r="C71"/>
  <c r="P71"/>
  <c r="R66"/>
  <c r="O66"/>
  <c r="C66"/>
  <c r="D66"/>
  <c r="P66"/>
  <c r="O42"/>
  <c r="I42" i="1" s="1"/>
  <c r="D42" i="36"/>
  <c r="P42"/>
  <c r="C42"/>
  <c r="R42"/>
  <c r="K42" i="1" s="1"/>
  <c r="DZ42" s="1"/>
  <c r="O21" i="36"/>
  <c r="I21" i="1" s="1"/>
  <c r="C21" i="36"/>
  <c r="R21"/>
  <c r="K21" i="1" s="1"/>
  <c r="DZ21" s="1"/>
  <c r="D21" i="36"/>
  <c r="P67"/>
  <c r="C67"/>
  <c r="R67"/>
  <c r="O67"/>
  <c r="D67"/>
  <c r="C60"/>
  <c r="R60"/>
  <c r="O60"/>
  <c r="D60"/>
  <c r="P60"/>
  <c r="C40"/>
  <c r="R40"/>
  <c r="K40" i="1" s="1"/>
  <c r="DZ40" s="1"/>
  <c r="O40" i="36"/>
  <c r="I40" i="1" s="1"/>
  <c r="D40" i="36"/>
  <c r="C24"/>
  <c r="R24"/>
  <c r="K24" i="1" s="1"/>
  <c r="DZ24" s="1"/>
  <c r="O24" i="36"/>
  <c r="P24" s="1"/>
  <c r="D24"/>
  <c r="C12" i="38"/>
  <c r="R12"/>
  <c r="S12" i="1" s="1"/>
  <c r="EB12" s="1"/>
  <c r="O12" i="38"/>
  <c r="P12" s="1"/>
  <c r="D12"/>
  <c r="O16"/>
  <c r="Q16" i="1" s="1"/>
  <c r="R16" i="38"/>
  <c r="S16" i="1" s="1"/>
  <c r="EB16" s="1"/>
  <c r="C16" i="38"/>
  <c r="D16"/>
  <c r="O44"/>
  <c r="Q44" i="1" s="1"/>
  <c r="R44" i="38"/>
  <c r="S44" i="1" s="1"/>
  <c r="EB44" s="1"/>
  <c r="C44" i="38"/>
  <c r="D44"/>
  <c r="O29"/>
  <c r="Q29" i="1" s="1"/>
  <c r="R29" i="38"/>
  <c r="S29" i="1" s="1"/>
  <c r="EB29" s="1"/>
  <c r="C29" i="38"/>
  <c r="D29"/>
  <c r="P29"/>
  <c r="P67"/>
  <c r="O67"/>
  <c r="C67"/>
  <c r="R67"/>
  <c r="D67"/>
  <c r="R69"/>
  <c r="P69"/>
  <c r="O69"/>
  <c r="C69"/>
  <c r="D69"/>
  <c r="O55"/>
  <c r="R55"/>
  <c r="C55"/>
  <c r="P55"/>
  <c r="D55"/>
  <c r="O24"/>
  <c r="P24" s="1"/>
  <c r="R24"/>
  <c r="S24" i="1" s="1"/>
  <c r="EB24" s="1"/>
  <c r="C24" i="38"/>
  <c r="D24"/>
  <c r="O48"/>
  <c r="P48"/>
  <c r="R48"/>
  <c r="C48"/>
  <c r="D48"/>
  <c r="R18"/>
  <c r="S18" i="1" s="1"/>
  <c r="EB18" s="1"/>
  <c r="O18" i="38"/>
  <c r="Q18" i="1" s="1"/>
  <c r="C18" i="38"/>
  <c r="D18"/>
  <c r="O68"/>
  <c r="P68"/>
  <c r="R68"/>
  <c r="C68"/>
  <c r="D68"/>
  <c r="O23"/>
  <c r="P23" s="1"/>
  <c r="R23"/>
  <c r="S23" i="1" s="1"/>
  <c r="EB23" s="1"/>
  <c r="C23" i="38"/>
  <c r="D23"/>
  <c r="O42"/>
  <c r="Q42" i="1" s="1"/>
  <c r="R42" i="38"/>
  <c r="S42" i="1" s="1"/>
  <c r="EB42" s="1"/>
  <c r="C42" i="38"/>
  <c r="D42"/>
  <c r="O32"/>
  <c r="Q32" i="1" s="1"/>
  <c r="R32" i="38"/>
  <c r="S32" i="1" s="1"/>
  <c r="EB32" s="1"/>
  <c r="C32" i="38"/>
  <c r="D32"/>
  <c r="O14"/>
  <c r="Q14" i="1" s="1"/>
  <c r="R14" i="38"/>
  <c r="S14" i="1" s="1"/>
  <c r="EB14" s="1"/>
  <c r="C14" i="38"/>
  <c r="D14"/>
  <c r="R47"/>
  <c r="O47"/>
  <c r="P47"/>
  <c r="C47"/>
  <c r="D47"/>
  <c r="R36"/>
  <c r="S36" i="1" s="1"/>
  <c r="EB36" s="1"/>
  <c r="O36" i="38"/>
  <c r="Q36" i="1" s="1"/>
  <c r="C36" i="38"/>
  <c r="D36"/>
  <c r="R17"/>
  <c r="S17" i="1" s="1"/>
  <c r="EB17" s="1"/>
  <c r="O17" i="38"/>
  <c r="P17" s="1"/>
  <c r="C17"/>
  <c r="D17"/>
  <c r="O11" i="53"/>
  <c r="P11" s="1"/>
  <c r="D11"/>
  <c r="C11"/>
  <c r="O12"/>
  <c r="AS12" i="1" s="1"/>
  <c r="D12" i="53"/>
  <c r="C12"/>
  <c r="D61"/>
  <c r="O61"/>
  <c r="C61"/>
  <c r="P61"/>
  <c r="O52"/>
  <c r="P52"/>
  <c r="C52"/>
  <c r="D52"/>
  <c r="D67"/>
  <c r="P67"/>
  <c r="O67"/>
  <c r="C67"/>
  <c r="O49"/>
  <c r="D49"/>
  <c r="P49"/>
  <c r="C49"/>
  <c r="O35"/>
  <c r="P35" s="1"/>
  <c r="D35"/>
  <c r="C35"/>
  <c r="O64"/>
  <c r="P64"/>
  <c r="C64"/>
  <c r="D64"/>
  <c r="D39"/>
  <c r="C39"/>
  <c r="O39"/>
  <c r="AS39" i="1" s="1"/>
  <c r="O54" i="53"/>
  <c r="C54"/>
  <c r="D54"/>
  <c r="P54"/>
  <c r="O43"/>
  <c r="AS43" i="1" s="1"/>
  <c r="D43" i="53"/>
  <c r="C43"/>
  <c r="O28"/>
  <c r="AS28" i="1" s="1"/>
  <c r="C28" i="53"/>
  <c r="D28"/>
  <c r="O56"/>
  <c r="P56"/>
  <c r="C56"/>
  <c r="D56"/>
  <c r="O37"/>
  <c r="P37" s="1"/>
  <c r="D37"/>
  <c r="C37"/>
  <c r="O27"/>
  <c r="AS27" i="1" s="1"/>
  <c r="D27" i="53"/>
  <c r="C27"/>
  <c r="AS42" i="1" l="1"/>
  <c r="ER42" s="1"/>
  <c r="GA42" s="1"/>
  <c r="Y25"/>
  <c r="K22" i="51" s="1"/>
  <c r="AS41" i="1"/>
  <c r="Q26"/>
  <c r="AS21"/>
  <c r="ER21" s="1"/>
  <c r="GA21" s="1"/>
  <c r="M25"/>
  <c r="CF25" s="1"/>
  <c r="DO25" s="1"/>
  <c r="AC42"/>
  <c r="Q41"/>
  <c r="AW29"/>
  <c r="ES29" s="1"/>
  <c r="GB29" s="1"/>
  <c r="I35"/>
  <c r="CE35" s="1"/>
  <c r="AC21"/>
  <c r="AS18"/>
  <c r="M40"/>
  <c r="CF40" s="1"/>
  <c r="DO40" s="1"/>
  <c r="AW27"/>
  <c r="CC27" s="1"/>
  <c r="U25"/>
  <c r="AS40"/>
  <c r="P43" i="38"/>
  <c r="U21" i="1"/>
  <c r="EL21" s="1"/>
  <c r="FU21" s="1"/>
  <c r="P38" i="41"/>
  <c r="Q45" i="1"/>
  <c r="Q11"/>
  <c r="CG11" s="1"/>
  <c r="DP11" s="1"/>
  <c r="AC39"/>
  <c r="L36" i="51" s="1"/>
  <c r="AC35" i="1"/>
  <c r="AC32"/>
  <c r="I19"/>
  <c r="CE19" s="1"/>
  <c r="P26" i="40"/>
  <c r="U14" i="1"/>
  <c r="AW18"/>
  <c r="AW45"/>
  <c r="CC45" s="1"/>
  <c r="Y39"/>
  <c r="CI39" s="1"/>
  <c r="DR39" s="1"/>
  <c r="AS15"/>
  <c r="ER15" s="1"/>
  <c r="GA15" s="1"/>
  <c r="AS25"/>
  <c r="Q38"/>
  <c r="I35" i="51" s="1"/>
  <c r="I23" i="1"/>
  <c r="CE23" s="1"/>
  <c r="P43" i="36"/>
  <c r="AC19" i="1"/>
  <c r="CJ19" s="1"/>
  <c r="DS19" s="1"/>
  <c r="P18" i="41"/>
  <c r="AC36" i="1"/>
  <c r="CJ36" s="1"/>
  <c r="DS36" s="1"/>
  <c r="Y36"/>
  <c r="EM36" s="1"/>
  <c r="FV36" s="1"/>
  <c r="Y15"/>
  <c r="P42" i="40"/>
  <c r="P21"/>
  <c r="P37"/>
  <c r="Y40" i="1"/>
  <c r="CI40" s="1"/>
  <c r="DR40" s="1"/>
  <c r="Y35"/>
  <c r="K32" i="51" s="1"/>
  <c r="P30" i="40"/>
  <c r="P36" i="38"/>
  <c r="P14"/>
  <c r="Q24" i="1"/>
  <c r="I21" i="51" s="1"/>
  <c r="Q25" i="1"/>
  <c r="I22" i="51" s="1"/>
  <c r="M13" i="1"/>
  <c r="H10" i="51" s="1"/>
  <c r="P24" i="37"/>
  <c r="M27" i="1"/>
  <c r="CF27" s="1"/>
  <c r="DO27" s="1"/>
  <c r="M26"/>
  <c r="EJ26" s="1"/>
  <c r="FS26" s="1"/>
  <c r="P36" i="37"/>
  <c r="P36" i="36"/>
  <c r="I12" i="1"/>
  <c r="CE12" s="1"/>
  <c r="P44" i="36"/>
  <c r="P12" i="53"/>
  <c r="AS36" i="1"/>
  <c r="AW26"/>
  <c r="CC26" s="1"/>
  <c r="AW21"/>
  <c r="ES21" s="1"/>
  <c r="GB21" s="1"/>
  <c r="P37" i="54"/>
  <c r="AW44" i="1"/>
  <c r="U11"/>
  <c r="EL11" s="1"/>
  <c r="FU11" s="1"/>
  <c r="U29"/>
  <c r="CH29" s="1"/>
  <c r="DQ29" s="1"/>
  <c r="U27"/>
  <c r="EL27" s="1"/>
  <c r="FU27" s="1"/>
  <c r="U42"/>
  <c r="F77" i="54"/>
  <c r="F77" i="40"/>
  <c r="Q28" i="1"/>
  <c r="CG28" s="1"/>
  <c r="DP28" s="1"/>
  <c r="AS13"/>
  <c r="M23"/>
  <c r="H20" i="51" s="1"/>
  <c r="U28" i="1"/>
  <c r="EL28" s="1"/>
  <c r="FU28" s="1"/>
  <c r="AC14"/>
  <c r="L11" i="51" s="1"/>
  <c r="F77" i="36"/>
  <c r="F77" i="53"/>
  <c r="AC17" i="1"/>
  <c r="EN17" s="1"/>
  <c r="FW17" s="1"/>
  <c r="AC15"/>
  <c r="CJ15" s="1"/>
  <c r="DS15" s="1"/>
  <c r="AS14"/>
  <c r="Y34"/>
  <c r="CI34" s="1"/>
  <c r="DR34" s="1"/>
  <c r="AW31"/>
  <c r="CO31" s="1"/>
  <c r="DX31" s="1"/>
  <c r="AS26"/>
  <c r="CN26" s="1"/>
  <c r="DW26" s="1"/>
  <c r="M34"/>
  <c r="EJ34" s="1"/>
  <c r="FS34" s="1"/>
  <c r="U45"/>
  <c r="J42" i="51" s="1"/>
  <c r="AS31" i="1"/>
  <c r="ER31" s="1"/>
  <c r="GA31" s="1"/>
  <c r="AW28"/>
  <c r="Q25" i="51" s="1"/>
  <c r="AS44" i="1"/>
  <c r="Y18"/>
  <c r="K15" i="51" s="1"/>
  <c r="I15" i="1"/>
  <c r="CE15" s="1"/>
  <c r="P37" i="37"/>
  <c r="P42"/>
  <c r="I32" i="1"/>
  <c r="CE32" s="1"/>
  <c r="I33"/>
  <c r="CE33" s="1"/>
  <c r="I24"/>
  <c r="EI24" s="1"/>
  <c r="Q35"/>
  <c r="AS17"/>
  <c r="CN17" s="1"/>
  <c r="DW17" s="1"/>
  <c r="AS32"/>
  <c r="CB32" s="1"/>
  <c r="AW19"/>
  <c r="Q16" i="51" s="1"/>
  <c r="Y14" i="1"/>
  <c r="EM14" s="1"/>
  <c r="FV14" s="1"/>
  <c r="AS33"/>
  <c r="CB33" s="1"/>
  <c r="M30"/>
  <c r="CF30" s="1"/>
  <c r="DO30" s="1"/>
  <c r="Y20"/>
  <c r="K17" i="51" s="1"/>
  <c r="M22" i="1"/>
  <c r="H19" i="51" s="1"/>
  <c r="P30" i="38"/>
  <c r="L78" i="36"/>
  <c r="P21"/>
  <c r="I37" i="1"/>
  <c r="EI37" s="1"/>
  <c r="Q23"/>
  <c r="CG23" s="1"/>
  <c r="DP23" s="1"/>
  <c r="M45"/>
  <c r="H42" i="51" s="1"/>
  <c r="U30" i="1"/>
  <c r="CH30" s="1"/>
  <c r="DQ30" s="1"/>
  <c r="Q13"/>
  <c r="I10" i="51" s="1"/>
  <c r="I25" i="1"/>
  <c r="G22" i="51" s="1"/>
  <c r="P13" i="36"/>
  <c r="P15" i="54"/>
  <c r="P22"/>
  <c r="P14"/>
  <c r="L78" i="39"/>
  <c r="L81" i="38"/>
  <c r="AW32" i="1"/>
  <c r="CC32" s="1"/>
  <c r="Q17"/>
  <c r="I14" i="51" s="1"/>
  <c r="I38" i="1"/>
  <c r="CE38" s="1"/>
  <c r="AC12"/>
  <c r="EN12" s="1"/>
  <c r="FW12" s="1"/>
  <c r="M19"/>
  <c r="CF19" s="1"/>
  <c r="DO19" s="1"/>
  <c r="U32"/>
  <c r="CH32" s="1"/>
  <c r="DQ32" s="1"/>
  <c r="Y31"/>
  <c r="K28" i="51" s="1"/>
  <c r="AS23" i="1"/>
  <c r="ER23" s="1"/>
  <c r="GA23" s="1"/>
  <c r="I20"/>
  <c r="G17" i="51" s="1"/>
  <c r="AW36" i="1"/>
  <c r="Q33" i="51" s="1"/>
  <c r="Y32" i="1"/>
  <c r="CI32" s="1"/>
  <c r="DR32" s="1"/>
  <c r="U26"/>
  <c r="EL26" s="1"/>
  <c r="FU26" s="1"/>
  <c r="AS20"/>
  <c r="CN20" s="1"/>
  <c r="DW20" s="1"/>
  <c r="Y43"/>
  <c r="CI43" s="1"/>
  <c r="DR43" s="1"/>
  <c r="AC37"/>
  <c r="EN37" s="1"/>
  <c r="FW37" s="1"/>
  <c r="AW35"/>
  <c r="CO35" s="1"/>
  <c r="DX35" s="1"/>
  <c r="AC30"/>
  <c r="L27" i="51" s="1"/>
  <c r="M28" i="1"/>
  <c r="CF28" s="1"/>
  <c r="DO28" s="1"/>
  <c r="AW17"/>
  <c r="CO17" s="1"/>
  <c r="DX17" s="1"/>
  <c r="Y16"/>
  <c r="CI16" s="1"/>
  <c r="DR16" s="1"/>
  <c r="I17"/>
  <c r="EI17" s="1"/>
  <c r="AS38"/>
  <c r="ER38" s="1"/>
  <c r="GA38" s="1"/>
  <c r="AS24"/>
  <c r="CN24" s="1"/>
  <c r="DW24" s="1"/>
  <c r="AC20"/>
  <c r="CJ20" s="1"/>
  <c r="DS20" s="1"/>
  <c r="M18"/>
  <c r="CF18" s="1"/>
  <c r="DO18" s="1"/>
  <c r="U13"/>
  <c r="J10" i="51" s="1"/>
  <c r="P16" i="37"/>
  <c r="P12"/>
  <c r="P39"/>
  <c r="P31" i="38"/>
  <c r="P11" i="36"/>
  <c r="P43" i="54"/>
  <c r="P17" i="37"/>
  <c r="P16" i="53"/>
  <c r="L78" i="41"/>
  <c r="L81" i="37"/>
  <c r="Q40" i="1"/>
  <c r="I37" i="51" s="1"/>
  <c r="M11" i="1"/>
  <c r="EJ11" s="1"/>
  <c r="FS11" s="1"/>
  <c r="AW41"/>
  <c r="Q38" i="51" s="1"/>
  <c r="Y27" i="1"/>
  <c r="EM27" s="1"/>
  <c r="FV27" s="1"/>
  <c r="AW12"/>
  <c r="CO12" s="1"/>
  <c r="DX12" s="1"/>
  <c r="P17" i="40"/>
  <c r="L81"/>
  <c r="P11" i="37"/>
  <c r="F77" i="39"/>
  <c r="F77" i="38"/>
  <c r="P39" i="53"/>
  <c r="P18" i="36"/>
  <c r="P32" i="38"/>
  <c r="P44"/>
  <c r="Y38" i="1"/>
  <c r="EM38" s="1"/>
  <c r="FV38" s="1"/>
  <c r="I16"/>
  <c r="EI16" s="1"/>
  <c r="AS30"/>
  <c r="CN30" s="1"/>
  <c r="DW30" s="1"/>
  <c r="Q33"/>
  <c r="EK33" s="1"/>
  <c r="FT33" s="1"/>
  <c r="U31"/>
  <c r="EL31" s="1"/>
  <c r="FU31" s="1"/>
  <c r="AW23"/>
  <c r="Q20" i="51" s="1"/>
  <c r="AC22" i="1"/>
  <c r="EN22" s="1"/>
  <c r="FW22" s="1"/>
  <c r="M20"/>
  <c r="CF20" s="1"/>
  <c r="DO20" s="1"/>
  <c r="M14"/>
  <c r="CF14" s="1"/>
  <c r="DO14" s="1"/>
  <c r="Y45"/>
  <c r="CI45" s="1"/>
  <c r="DR45" s="1"/>
  <c r="AC28"/>
  <c r="L25" i="51" s="1"/>
  <c r="L81" i="41"/>
  <c r="P19" i="38"/>
  <c r="P13" i="54"/>
  <c r="P20" i="38"/>
  <c r="P19" i="53"/>
  <c r="L78" i="40"/>
  <c r="F77" i="37"/>
  <c r="F77" i="41"/>
  <c r="ET44" i="1"/>
  <c r="BA44" s="1"/>
  <c r="BD44" s="1"/>
  <c r="P23" i="40"/>
  <c r="L78" i="38"/>
  <c r="L78" i="37"/>
  <c r="P32"/>
  <c r="L81" i="39"/>
  <c r="P45" i="53"/>
  <c r="P28"/>
  <c r="P39" i="36"/>
  <c r="Q21" i="1"/>
  <c r="I18" i="51" s="1"/>
  <c r="Q22" i="1"/>
  <c r="I19" i="51" s="1"/>
  <c r="I30" i="1"/>
  <c r="G27" i="51" s="1"/>
  <c r="AC31" i="1"/>
  <c r="CJ31" s="1"/>
  <c r="DS31" s="1"/>
  <c r="U33"/>
  <c r="CH33" s="1"/>
  <c r="DQ33" s="1"/>
  <c r="Y24"/>
  <c r="CI24" s="1"/>
  <c r="DR24" s="1"/>
  <c r="AC43"/>
  <c r="CJ43" s="1"/>
  <c r="DS43" s="1"/>
  <c r="AW34"/>
  <c r="ES34" s="1"/>
  <c r="GB34" s="1"/>
  <c r="AW39"/>
  <c r="ES39" s="1"/>
  <c r="GB39" s="1"/>
  <c r="AS35"/>
  <c r="P32" i="51" s="1"/>
  <c r="I28" i="1"/>
  <c r="CE28" s="1"/>
  <c r="AC23"/>
  <c r="EN23" s="1"/>
  <c r="FW23" s="1"/>
  <c r="AC41"/>
  <c r="CJ41" s="1"/>
  <c r="DS41" s="1"/>
  <c r="AW33"/>
  <c r="ES33" s="1"/>
  <c r="GB33" s="1"/>
  <c r="AW38"/>
  <c r="CC38" s="1"/>
  <c r="AC27"/>
  <c r="CJ27" s="1"/>
  <c r="DS27" s="1"/>
  <c r="U18"/>
  <c r="J15" i="51" s="1"/>
  <c r="U16" i="1"/>
  <c r="EL16" s="1"/>
  <c r="FU16" s="1"/>
  <c r="I11"/>
  <c r="CE11" s="1"/>
  <c r="Q37"/>
  <c r="CG37" s="1"/>
  <c r="DP37" s="1"/>
  <c r="AC26"/>
  <c r="L23" i="51" s="1"/>
  <c r="AW20" i="1"/>
  <c r="ES20" s="1"/>
  <c r="GB20" s="1"/>
  <c r="U15"/>
  <c r="CH15" s="1"/>
  <c r="DQ15" s="1"/>
  <c r="AS37"/>
  <c r="P34" i="51" s="1"/>
  <c r="AW30" i="1"/>
  <c r="Q27" i="51" s="1"/>
  <c r="Y28" i="1"/>
  <c r="CI28" s="1"/>
  <c r="DR28" s="1"/>
  <c r="P34" i="38"/>
  <c r="P12" i="40"/>
  <c r="P12" i="39"/>
  <c r="F82" s="1"/>
  <c r="P39" i="38"/>
  <c r="P22" i="36"/>
  <c r="P33" i="41"/>
  <c r="P29" i="53"/>
  <c r="P27"/>
  <c r="P43"/>
  <c r="P42" i="38"/>
  <c r="P40" i="36"/>
  <c r="Q12" i="1"/>
  <c r="I9" i="51" s="1"/>
  <c r="AS11" i="1"/>
  <c r="CN11" s="1"/>
  <c r="DW11" s="1"/>
  <c r="L81" i="36"/>
  <c r="P16" i="41"/>
  <c r="P26" i="36"/>
  <c r="P38" i="37"/>
  <c r="P18" i="38"/>
  <c r="P16"/>
  <c r="F80" s="1"/>
  <c r="AC34" i="1"/>
  <c r="EN34" s="1"/>
  <c r="FW34" s="1"/>
  <c r="M29"/>
  <c r="CF29" s="1"/>
  <c r="DO29" s="1"/>
  <c r="M21"/>
  <c r="CF21" s="1"/>
  <c r="DO21" s="1"/>
  <c r="U44"/>
  <c r="J41" i="51" s="1"/>
  <c r="I14" i="1"/>
  <c r="EI14" s="1"/>
  <c r="AC44"/>
  <c r="CJ44" s="1"/>
  <c r="DS44" s="1"/>
  <c r="M33"/>
  <c r="CF33" s="1"/>
  <c r="DO33" s="1"/>
  <c r="I31"/>
  <c r="G28" i="51" s="1"/>
  <c r="AW25" i="1"/>
  <c r="CC25" s="1"/>
  <c r="U12"/>
  <c r="J9" i="51" s="1"/>
  <c r="U43" i="1"/>
  <c r="CH43" s="1"/>
  <c r="DQ43" s="1"/>
  <c r="Y19"/>
  <c r="EM19" s="1"/>
  <c r="FV19" s="1"/>
  <c r="U23"/>
  <c r="EL23" s="1"/>
  <c r="FU23" s="1"/>
  <c r="ET43"/>
  <c r="BA43" s="1"/>
  <c r="BD43" s="1"/>
  <c r="ET55"/>
  <c r="BA55" s="1"/>
  <c r="BD55" s="1"/>
  <c r="ET26"/>
  <c r="BA26" s="1"/>
  <c r="BD26" s="1"/>
  <c r="ET70"/>
  <c r="BA70" s="1"/>
  <c r="BD70" s="1"/>
  <c r="J78" i="53"/>
  <c r="EO49" i="1"/>
  <c r="FX49" s="1"/>
  <c r="BY49"/>
  <c r="I71" i="51"/>
  <c r="CG74" i="1"/>
  <c r="DP74" s="1"/>
  <c r="BU37"/>
  <c r="BW26"/>
  <c r="EM26"/>
  <c r="FV26" s="1"/>
  <c r="CE42"/>
  <c r="G39" i="51"/>
  <c r="BT62" i="1"/>
  <c r="EJ62"/>
  <c r="FS62" s="1"/>
  <c r="CN64"/>
  <c r="DW64" s="1"/>
  <c r="ER64"/>
  <c r="GA64" s="1"/>
  <c r="CB64"/>
  <c r="P61" i="51"/>
  <c r="EN55" i="1"/>
  <c r="FW55" s="1"/>
  <c r="BX55"/>
  <c r="EN54"/>
  <c r="FW54" s="1"/>
  <c r="BX54"/>
  <c r="CE30"/>
  <c r="BZ69"/>
  <c r="EP69"/>
  <c r="FY69" s="1"/>
  <c r="EP42"/>
  <c r="FY42" s="1"/>
  <c r="BZ42"/>
  <c r="BW56"/>
  <c r="EM56"/>
  <c r="FV56" s="1"/>
  <c r="N43" i="51"/>
  <c r="CL46" i="1"/>
  <c r="DU46" s="1"/>
  <c r="Q29" i="51"/>
  <c r="ES32" i="1"/>
  <c r="GB32" s="1"/>
  <c r="EN25"/>
  <c r="FW25" s="1"/>
  <c r="BX25"/>
  <c r="CH65"/>
  <c r="DQ65" s="1"/>
  <c r="J62" i="51"/>
  <c r="G51"/>
  <c r="CE54" i="1"/>
  <c r="ER14"/>
  <c r="GA14" s="1"/>
  <c r="CB14"/>
  <c r="CN14"/>
  <c r="DW14" s="1"/>
  <c r="P11" i="51"/>
  <c r="BU70" i="1"/>
  <c r="EK70"/>
  <c r="FT70" s="1"/>
  <c r="BX13"/>
  <c r="EN13"/>
  <c r="FW13" s="1"/>
  <c r="BS20"/>
  <c r="O54" i="51"/>
  <c r="CM57" i="1"/>
  <c r="DV57" s="1"/>
  <c r="CL62"/>
  <c r="DU62" s="1"/>
  <c r="N59" i="51"/>
  <c r="CH48" i="1"/>
  <c r="DQ48" s="1"/>
  <c r="J45" i="51"/>
  <c r="CO29" i="1"/>
  <c r="DX29" s="1"/>
  <c r="CN15"/>
  <c r="DW15" s="1"/>
  <c r="CB15"/>
  <c r="BY67"/>
  <c r="EO67"/>
  <c r="FX67" s="1"/>
  <c r="EN18"/>
  <c r="FW18" s="1"/>
  <c r="BX18"/>
  <c r="BX12"/>
  <c r="G56" i="51"/>
  <c r="CE59" i="1"/>
  <c r="BU54"/>
  <c r="EK54"/>
  <c r="FT54" s="1"/>
  <c r="K46" i="51"/>
  <c r="CI49" i="1"/>
  <c r="DR49" s="1"/>
  <c r="M29" i="51"/>
  <c r="CK32" i="1"/>
  <c r="DT32" s="1"/>
  <c r="CN16"/>
  <c r="DW16" s="1"/>
  <c r="CB16"/>
  <c r="ER16"/>
  <c r="GA16" s="1"/>
  <c r="P13" i="51"/>
  <c r="EO61" i="1"/>
  <c r="FX61" s="1"/>
  <c r="BY61"/>
  <c r="EK68"/>
  <c r="FT68" s="1"/>
  <c r="BU68"/>
  <c r="BT38"/>
  <c r="EJ38"/>
  <c r="FS38" s="1"/>
  <c r="BT16"/>
  <c r="EJ16"/>
  <c r="FS16" s="1"/>
  <c r="CA29"/>
  <c r="EQ29"/>
  <c r="FZ29" s="1"/>
  <c r="BT12"/>
  <c r="EJ12"/>
  <c r="FS12" s="1"/>
  <c r="J66" i="51"/>
  <c r="CH69" i="1"/>
  <c r="DQ69" s="1"/>
  <c r="EM58"/>
  <c r="FV58" s="1"/>
  <c r="BW58"/>
  <c r="ES11"/>
  <c r="GB11" s="1"/>
  <c r="CC11"/>
  <c r="CO11"/>
  <c r="DX11" s="1"/>
  <c r="Q8" i="51"/>
  <c r="CE66" i="1"/>
  <c r="G63" i="51"/>
  <c r="K53"/>
  <c r="CI56" i="1"/>
  <c r="DR56" s="1"/>
  <c r="ES49"/>
  <c r="GB49" s="1"/>
  <c r="CC49"/>
  <c r="CO49"/>
  <c r="DX49" s="1"/>
  <c r="Q46" i="51"/>
  <c r="BZ50" i="1"/>
  <c r="EP50"/>
  <c r="FY50" s="1"/>
  <c r="J35" i="51"/>
  <c r="CH38" i="1"/>
  <c r="DQ38" s="1"/>
  <c r="G25" i="51"/>
  <c r="L20"/>
  <c r="O13"/>
  <c r="CM16" i="1"/>
  <c r="DV16" s="1"/>
  <c r="BW45"/>
  <c r="BW49"/>
  <c r="EM49"/>
  <c r="FV49" s="1"/>
  <c r="EL73"/>
  <c r="FU73" s="1"/>
  <c r="BV73"/>
  <c r="EQ67"/>
  <c r="FZ67" s="1"/>
  <c r="CA67"/>
  <c r="EJ19"/>
  <c r="FS19" s="1"/>
  <c r="BT19"/>
  <c r="EQ30"/>
  <c r="FZ30" s="1"/>
  <c r="CA30"/>
  <c r="EQ12"/>
  <c r="FZ12" s="1"/>
  <c r="CA12"/>
  <c r="CG70"/>
  <c r="DP70" s="1"/>
  <c r="I67" i="51"/>
  <c r="CH59" i="1"/>
  <c r="DQ59" s="1"/>
  <c r="J56" i="51"/>
  <c r="K49"/>
  <c r="CI52" i="1"/>
  <c r="DR52" s="1"/>
  <c r="N63" i="51"/>
  <c r="CL66" i="1"/>
  <c r="DU66" s="1"/>
  <c r="BX56"/>
  <c r="EN56"/>
  <c r="FW56" s="1"/>
  <c r="EL50"/>
  <c r="FU50" s="1"/>
  <c r="BV50"/>
  <c r="O39" i="51"/>
  <c r="CM42" i="1"/>
  <c r="DV42" s="1"/>
  <c r="Q30" i="51"/>
  <c r="BX34" i="1"/>
  <c r="CN25"/>
  <c r="DW25" s="1"/>
  <c r="P22" i="51"/>
  <c r="CB25" i="1"/>
  <c r="ER25"/>
  <c r="GA25" s="1"/>
  <c r="P19" i="51"/>
  <c r="CN22" i="1"/>
  <c r="DW22" s="1"/>
  <c r="CB22"/>
  <c r="ER22"/>
  <c r="GA22" s="1"/>
  <c r="H9" i="51"/>
  <c r="CF12" i="1"/>
  <c r="DO12" s="1"/>
  <c r="EI51"/>
  <c r="FR51" s="1"/>
  <c r="BS51"/>
  <c r="BZ51"/>
  <c r="EP51"/>
  <c r="FY51" s="1"/>
  <c r="EM47"/>
  <c r="FV47" s="1"/>
  <c r="BW47"/>
  <c r="BU55"/>
  <c r="EK55"/>
  <c r="FT55" s="1"/>
  <c r="EN72"/>
  <c r="FW72" s="1"/>
  <c r="BX72"/>
  <c r="EI62"/>
  <c r="FR62" s="1"/>
  <c r="BS62"/>
  <c r="EM66"/>
  <c r="FV66" s="1"/>
  <c r="BW66"/>
  <c r="BU71"/>
  <c r="EK71"/>
  <c r="FT71" s="1"/>
  <c r="BW41"/>
  <c r="EM41"/>
  <c r="FV41" s="1"/>
  <c r="BV29"/>
  <c r="EL29"/>
  <c r="FU29" s="1"/>
  <c r="BV15"/>
  <c r="BX42"/>
  <c r="EN42"/>
  <c r="FW42" s="1"/>
  <c r="BU31"/>
  <c r="EK31"/>
  <c r="FT31" s="1"/>
  <c r="BU21"/>
  <c r="BU13"/>
  <c r="EK13"/>
  <c r="FT13" s="1"/>
  <c r="CI70"/>
  <c r="DR70" s="1"/>
  <c r="K67" i="51"/>
  <c r="CK64" i="1"/>
  <c r="DT64" s="1"/>
  <c r="M61" i="51"/>
  <c r="CJ59" i="1"/>
  <c r="DS59" s="1"/>
  <c r="L56" i="51"/>
  <c r="BT56" i="1"/>
  <c r="EJ56"/>
  <c r="FS56" s="1"/>
  <c r="CN52"/>
  <c r="DW52" s="1"/>
  <c r="CB52"/>
  <c r="P49" i="51"/>
  <c r="ER52" i="1"/>
  <c r="GA52" s="1"/>
  <c r="CL72"/>
  <c r="DU72" s="1"/>
  <c r="N69" i="51"/>
  <c r="CN66" i="1"/>
  <c r="DW66" s="1"/>
  <c r="P63" i="51"/>
  <c r="ER66" i="1"/>
  <c r="GA66" s="1"/>
  <c r="CB66"/>
  <c r="CG61"/>
  <c r="DP61" s="1"/>
  <c r="I58" i="51"/>
  <c r="BY56" i="1"/>
  <c r="EO56"/>
  <c r="FX56" s="1"/>
  <c r="BU53"/>
  <c r="EK53"/>
  <c r="FT53" s="1"/>
  <c r="EI50"/>
  <c r="FR50" s="1"/>
  <c r="BS50"/>
  <c r="CK46"/>
  <c r="DT46" s="1"/>
  <c r="M43" i="51"/>
  <c r="M38"/>
  <c r="CK41" i="1"/>
  <c r="DT41" s="1"/>
  <c r="L44" i="51"/>
  <c r="CJ47" i="1"/>
  <c r="DS47" s="1"/>
  <c r="BV43"/>
  <c r="G36" i="51"/>
  <c r="CE39" i="1"/>
  <c r="BT32"/>
  <c r="EJ32"/>
  <c r="FS32" s="1"/>
  <c r="BT37"/>
  <c r="EJ37"/>
  <c r="FS37" s="1"/>
  <c r="CH34"/>
  <c r="DQ34" s="1"/>
  <c r="J31" i="51"/>
  <c r="CM29" i="1"/>
  <c r="DV29" s="1"/>
  <c r="O26" i="51"/>
  <c r="BS24" i="1"/>
  <c r="O18" i="51"/>
  <c r="CM21" i="1"/>
  <c r="DV21" s="1"/>
  <c r="CH17"/>
  <c r="DQ17" s="1"/>
  <c r="J14" i="51"/>
  <c r="EN49" i="1"/>
  <c r="FW49" s="1"/>
  <c r="BX49"/>
  <c r="BT74"/>
  <c r="EJ74"/>
  <c r="FS74" s="1"/>
  <c r="CA64"/>
  <c r="EQ64"/>
  <c r="FZ64" s="1"/>
  <c r="EL67"/>
  <c r="FU67" s="1"/>
  <c r="BV67"/>
  <c r="BU73"/>
  <c r="EK73"/>
  <c r="FT73" s="1"/>
  <c r="EL39"/>
  <c r="FU39" s="1"/>
  <c r="BV39"/>
  <c r="EP25"/>
  <c r="FY25" s="1"/>
  <c r="BZ25"/>
  <c r="EP16"/>
  <c r="FY16" s="1"/>
  <c r="BZ16"/>
  <c r="EK40"/>
  <c r="FT40" s="1"/>
  <c r="BU40"/>
  <c r="EO27"/>
  <c r="FX27" s="1"/>
  <c r="BY27"/>
  <c r="EO18"/>
  <c r="FX18" s="1"/>
  <c r="BY18"/>
  <c r="EI39"/>
  <c r="BS39"/>
  <c r="K71" i="51"/>
  <c r="CI74" i="1"/>
  <c r="DR74" s="1"/>
  <c r="M65" i="51"/>
  <c r="CK68" i="1"/>
  <c r="DT68" s="1"/>
  <c r="O59" i="51"/>
  <c r="CM62" i="1"/>
  <c r="DV62" s="1"/>
  <c r="CM58"/>
  <c r="DV58" s="1"/>
  <c r="O55" i="51"/>
  <c r="CI53" i="1"/>
  <c r="DR53" s="1"/>
  <c r="K50" i="51"/>
  <c r="CO73" i="1"/>
  <c r="DX73" s="1"/>
  <c r="ES73"/>
  <c r="GB73" s="1"/>
  <c r="Q70" i="51"/>
  <c r="CC73" i="1"/>
  <c r="CE68"/>
  <c r="G65" i="51"/>
  <c r="CF62" i="1"/>
  <c r="DO62" s="1"/>
  <c r="H59" i="51"/>
  <c r="BX57" i="1"/>
  <c r="EN57"/>
  <c r="FW57" s="1"/>
  <c r="H51" i="51"/>
  <c r="CF54" i="1"/>
  <c r="DO54" s="1"/>
  <c r="CE52"/>
  <c r="G49" i="51"/>
  <c r="CN47" i="1"/>
  <c r="DW47" s="1"/>
  <c r="CB47"/>
  <c r="P44" i="51"/>
  <c r="ER47" i="1"/>
  <c r="GA47" s="1"/>
  <c r="CO42"/>
  <c r="DX42" s="1"/>
  <c r="CC42"/>
  <c r="ES42"/>
  <c r="GB42" s="1"/>
  <c r="Q39" i="51"/>
  <c r="CI48" i="1"/>
  <c r="DR48" s="1"/>
  <c r="K45" i="51"/>
  <c r="H41"/>
  <c r="CF44" i="1"/>
  <c r="DO44" s="1"/>
  <c r="CH39"/>
  <c r="DQ39" s="1"/>
  <c r="J36" i="51"/>
  <c r="H32"/>
  <c r="CF35" i="1"/>
  <c r="DO35" s="1"/>
  <c r="G33" i="51"/>
  <c r="CE36" i="1"/>
  <c r="BS32"/>
  <c r="BT28"/>
  <c r="BT24"/>
  <c r="EJ24"/>
  <c r="FS24" s="1"/>
  <c r="K14" i="51"/>
  <c r="CI17" i="1"/>
  <c r="DR17" s="1"/>
  <c r="O16" i="51"/>
  <c r="CM19" i="1"/>
  <c r="DV19" s="1"/>
  <c r="CO13"/>
  <c r="DX13" s="1"/>
  <c r="Q10" i="51"/>
  <c r="ES13" i="1"/>
  <c r="GB13" s="1"/>
  <c r="CC13"/>
  <c r="EO51"/>
  <c r="FX51" s="1"/>
  <c r="BY51"/>
  <c r="BW18"/>
  <c r="CJ45"/>
  <c r="DS45" s="1"/>
  <c r="L42" i="51"/>
  <c r="BX29" i="1"/>
  <c r="EN29"/>
  <c r="FW29" s="1"/>
  <c r="J47" i="51"/>
  <c r="CH50" i="1"/>
  <c r="DQ50" s="1"/>
  <c r="BU24"/>
  <c r="CI11"/>
  <c r="DR11" s="1"/>
  <c r="K8" i="51"/>
  <c r="N58"/>
  <c r="CL61" i="1"/>
  <c r="DU61" s="1"/>
  <c r="EL37"/>
  <c r="FU37" s="1"/>
  <c r="BV37"/>
  <c r="BU59"/>
  <c r="EK59"/>
  <c r="FT59" s="1"/>
  <c r="CA69"/>
  <c r="EQ69"/>
  <c r="FZ69" s="1"/>
  <c r="BW13"/>
  <c r="EM13"/>
  <c r="FV13" s="1"/>
  <c r="I64" i="51"/>
  <c r="CG67" i="1"/>
  <c r="DP67" s="1"/>
  <c r="EN50"/>
  <c r="FW50" s="1"/>
  <c r="BX50"/>
  <c r="CA35"/>
  <c r="EQ35"/>
  <c r="FZ35" s="1"/>
  <c r="CA61"/>
  <c r="EQ61"/>
  <c r="FZ61" s="1"/>
  <c r="EM33"/>
  <c r="FV33" s="1"/>
  <c r="BW33"/>
  <c r="CG53"/>
  <c r="DP53" s="1"/>
  <c r="I50" i="51"/>
  <c r="CN42" i="1"/>
  <c r="DW42" s="1"/>
  <c r="BS28"/>
  <c r="J17" i="51"/>
  <c r="CH20" i="1"/>
  <c r="DQ20" s="1"/>
  <c r="BU67"/>
  <c r="EK67"/>
  <c r="FT67" s="1"/>
  <c r="BX17"/>
  <c r="BS42"/>
  <c r="EI42"/>
  <c r="EQ58"/>
  <c r="FZ58" s="1"/>
  <c r="CA58"/>
  <c r="O62" i="51"/>
  <c r="CM65" i="1"/>
  <c r="DV65" s="1"/>
  <c r="CL49"/>
  <c r="DU49" s="1"/>
  <c r="N46" i="51"/>
  <c r="CF43" i="1"/>
  <c r="DO43" s="1"/>
  <c r="H40" i="51"/>
  <c r="I32"/>
  <c r="CG35" i="1"/>
  <c r="DP35" s="1"/>
  <c r="BW65"/>
  <c r="EM65"/>
  <c r="FV65" s="1"/>
  <c r="BX22"/>
  <c r="BW16"/>
  <c r="G58" i="51"/>
  <c r="CE61" i="1"/>
  <c r="CI69"/>
  <c r="DR69" s="1"/>
  <c r="K66" i="51"/>
  <c r="K47"/>
  <c r="CI50" i="1"/>
  <c r="DR50" s="1"/>
  <c r="N40" i="51"/>
  <c r="CL43" i="1"/>
  <c r="DU43" s="1"/>
  <c r="BS35"/>
  <c r="J21" i="51"/>
  <c r="CH24" i="1"/>
  <c r="DQ24" s="1"/>
  <c r="BY59"/>
  <c r="EO59"/>
  <c r="FX59" s="1"/>
  <c r="EL74"/>
  <c r="FU74" s="1"/>
  <c r="BV74"/>
  <c r="EM67"/>
  <c r="FV67" s="1"/>
  <c r="BW67"/>
  <c r="BX39"/>
  <c r="EN39"/>
  <c r="FW39" s="1"/>
  <c r="BT18"/>
  <c r="CA31"/>
  <c r="EQ31"/>
  <c r="FZ31" s="1"/>
  <c r="CA13"/>
  <c r="EQ13"/>
  <c r="FZ13" s="1"/>
  <c r="Q67" i="51"/>
  <c r="CC70" i="1"/>
  <c r="CO70"/>
  <c r="DX70" s="1"/>
  <c r="ES70"/>
  <c r="GB70" s="1"/>
  <c r="O56" i="51"/>
  <c r="CM59" i="1"/>
  <c r="DV59" s="1"/>
  <c r="EN52"/>
  <c r="FW52" s="1"/>
  <c r="BX52"/>
  <c r="CK67"/>
  <c r="DT67" s="1"/>
  <c r="M64" i="51"/>
  <c r="CN57" i="1"/>
  <c r="DW57" s="1"/>
  <c r="CB57"/>
  <c r="P54" i="51"/>
  <c r="ER57" i="1"/>
  <c r="GA57" s="1"/>
  <c r="I48" i="51"/>
  <c r="CG51" i="1"/>
  <c r="DP51" s="1"/>
  <c r="I39" i="51"/>
  <c r="CG42" i="1"/>
  <c r="DP42" s="1"/>
  <c r="BY43"/>
  <c r="EO43"/>
  <c r="FX43" s="1"/>
  <c r="CH35"/>
  <c r="DQ35" s="1"/>
  <c r="J32" i="51"/>
  <c r="CF36" i="1"/>
  <c r="DO36" s="1"/>
  <c r="H33" i="51"/>
  <c r="ER28" i="1"/>
  <c r="GA28" s="1"/>
  <c r="CN28"/>
  <c r="DW28" s="1"/>
  <c r="P25" i="51"/>
  <c r="CB28" i="1"/>
  <c r="BV24"/>
  <c r="EL24"/>
  <c r="FU24" s="1"/>
  <c r="EN59"/>
  <c r="FW59" s="1"/>
  <c r="BX59"/>
  <c r="EL71"/>
  <c r="FU71" s="1"/>
  <c r="BV71"/>
  <c r="EP66"/>
  <c r="FY66" s="1"/>
  <c r="BZ66"/>
  <c r="EK42"/>
  <c r="FT42" s="1"/>
  <c r="BU42"/>
  <c r="BT21"/>
  <c r="EQ33"/>
  <c r="FZ33" s="1"/>
  <c r="CA33"/>
  <c r="EQ14"/>
  <c r="FZ14" s="1"/>
  <c r="CA14"/>
  <c r="CJ71"/>
  <c r="DS71" s="1"/>
  <c r="L68" i="51"/>
  <c r="P57"/>
  <c r="CB60" i="1"/>
  <c r="ER60"/>
  <c r="GA60" s="1"/>
  <c r="CN60"/>
  <c r="DW60" s="1"/>
  <c r="P50" i="51"/>
  <c r="ER53" i="1"/>
  <c r="GA53" s="1"/>
  <c r="CB53"/>
  <c r="CN53"/>
  <c r="DW53" s="1"/>
  <c r="H65" i="51"/>
  <c r="CF68" i="1"/>
  <c r="DO68" s="1"/>
  <c r="BY57"/>
  <c r="EO57"/>
  <c r="FX57" s="1"/>
  <c r="CF51"/>
  <c r="DO51" s="1"/>
  <c r="H48" i="51"/>
  <c r="I40"/>
  <c r="CG43" i="1"/>
  <c r="DP43" s="1"/>
  <c r="EJ43"/>
  <c r="FS43" s="1"/>
  <c r="BT43"/>
  <c r="CM38"/>
  <c r="DV38" s="1"/>
  <c r="O35" i="51"/>
  <c r="ES40" i="1"/>
  <c r="GB40" s="1"/>
  <c r="CO40"/>
  <c r="DX40" s="1"/>
  <c r="Q37" i="51"/>
  <c r="CC40" i="1"/>
  <c r="M25" i="51"/>
  <c r="CK28" i="1"/>
  <c r="DT28" s="1"/>
  <c r="CG13"/>
  <c r="DP13" s="1"/>
  <c r="BW20"/>
  <c r="ET53"/>
  <c r="BA53" s="1"/>
  <c r="BD53" s="1"/>
  <c r="ET20"/>
  <c r="BA20" s="1"/>
  <c r="BD20" s="1"/>
  <c r="ET58"/>
  <c r="BA58" s="1"/>
  <c r="BD58" s="1"/>
  <c r="ET67"/>
  <c r="BA67" s="1"/>
  <c r="BD67" s="1"/>
  <c r="DY6"/>
  <c r="ET41"/>
  <c r="BA41" s="1"/>
  <c r="BD41" s="1"/>
  <c r="ET14"/>
  <c r="BA14" s="1"/>
  <c r="BD14" s="1"/>
  <c r="ET22"/>
  <c r="BA22" s="1"/>
  <c r="BD22" s="1"/>
  <c r="ET28"/>
  <c r="BA28" s="1"/>
  <c r="BD28" s="1"/>
  <c r="BY41"/>
  <c r="EO41"/>
  <c r="FX41" s="1"/>
  <c r="L57" i="51"/>
  <c r="CJ60" i="1"/>
  <c r="DS60" s="1"/>
  <c r="M19" i="51"/>
  <c r="CK22" i="1"/>
  <c r="DT22" s="1"/>
  <c r="H61" i="51"/>
  <c r="CF64" i="1"/>
  <c r="DO64" s="1"/>
  <c r="BS38"/>
  <c r="M39" i="51"/>
  <c r="CK42" i="1"/>
  <c r="DT42" s="1"/>
  <c r="BX19"/>
  <c r="CI44"/>
  <c r="DR44" s="1"/>
  <c r="K41" i="51"/>
  <c r="BX51" i="1"/>
  <c r="EN51"/>
  <c r="FW51" s="1"/>
  <c r="BW75"/>
  <c r="EM75"/>
  <c r="FV75" s="1"/>
  <c r="BS12"/>
  <c r="EI12"/>
  <c r="K58" i="51"/>
  <c r="CI61" i="1"/>
  <c r="DR61" s="1"/>
  <c r="H36" i="51"/>
  <c r="CF39" i="1"/>
  <c r="DO39" s="1"/>
  <c r="BV64"/>
  <c r="EL64"/>
  <c r="FU64" s="1"/>
  <c r="EM22"/>
  <c r="FV22" s="1"/>
  <c r="BW22"/>
  <c r="O70" i="51"/>
  <c r="CM73" i="1"/>
  <c r="DV73" s="1"/>
  <c r="CG48"/>
  <c r="DP48" s="1"/>
  <c r="I45" i="51"/>
  <c r="EP28" i="1"/>
  <c r="FY28" s="1"/>
  <c r="BZ28"/>
  <c r="BX62"/>
  <c r="EN62"/>
  <c r="FW62" s="1"/>
  <c r="BX31"/>
  <c r="BW23"/>
  <c r="EM23"/>
  <c r="FV23" s="1"/>
  <c r="I63" i="51"/>
  <c r="CG66" i="1"/>
  <c r="DP66" s="1"/>
  <c r="J71" i="51"/>
  <c r="CH74" i="1"/>
  <c r="DQ74" s="1"/>
  <c r="M51" i="51"/>
  <c r="CK54" i="1"/>
  <c r="DT54" s="1"/>
  <c r="EI48"/>
  <c r="FR48" s="1"/>
  <c r="BS48"/>
  <c r="CH40"/>
  <c r="DQ40" s="1"/>
  <c r="J37" i="51"/>
  <c r="CG19" i="1"/>
  <c r="DP19" s="1"/>
  <c r="I16" i="51"/>
  <c r="EI45" i="1"/>
  <c r="BS45"/>
  <c r="BZ74"/>
  <c r="EP74"/>
  <c r="FY74" s="1"/>
  <c r="EJ40"/>
  <c r="FS40" s="1"/>
  <c r="BT40"/>
  <c r="EM30"/>
  <c r="FV30" s="1"/>
  <c r="BW30"/>
  <c r="N66" i="51"/>
  <c r="CL69" i="1"/>
  <c r="DU69" s="1"/>
  <c r="CM51"/>
  <c r="DV51" s="1"/>
  <c r="O48" i="51"/>
  <c r="CH66" i="1"/>
  <c r="DQ66" s="1"/>
  <c r="J63" i="51"/>
  <c r="O45"/>
  <c r="CM48" i="1"/>
  <c r="DV48" s="1"/>
  <c r="O37" i="51"/>
  <c r="CM40" i="1"/>
  <c r="DV40" s="1"/>
  <c r="CM33"/>
  <c r="DV33" s="1"/>
  <c r="O30" i="51"/>
  <c r="I17"/>
  <c r="CG20" i="1"/>
  <c r="DP20" s="1"/>
  <c r="EI46"/>
  <c r="FR46" s="1"/>
  <c r="BS46"/>
  <c r="BX46"/>
  <c r="EN46"/>
  <c r="FW46" s="1"/>
  <c r="EL68"/>
  <c r="FU68" s="1"/>
  <c r="BV68"/>
  <c r="EJ64"/>
  <c r="FS64" s="1"/>
  <c r="BT64"/>
  <c r="EQ75"/>
  <c r="FZ75" s="1"/>
  <c r="CA75"/>
  <c r="EJ25"/>
  <c r="FS25" s="1"/>
  <c r="BT25"/>
  <c r="BV41"/>
  <c r="EL41"/>
  <c r="FU41" s="1"/>
  <c r="EQ19"/>
  <c r="FZ19" s="1"/>
  <c r="CA19"/>
  <c r="H72" i="51"/>
  <c r="CF75" i="1"/>
  <c r="DO75" s="1"/>
  <c r="L60" i="51"/>
  <c r="CJ63" i="1"/>
  <c r="DS63" s="1"/>
  <c r="N53" i="51"/>
  <c r="CL56" i="1"/>
  <c r="DU56" s="1"/>
  <c r="CO71"/>
  <c r="DX71" s="1"/>
  <c r="ES71"/>
  <c r="GB71" s="1"/>
  <c r="CC71"/>
  <c r="Q68" i="51"/>
  <c r="BS60" i="1"/>
  <c r="EI60"/>
  <c r="FR60" s="1"/>
  <c r="CJ53"/>
  <c r="DS53" s="1"/>
  <c r="L50" i="51"/>
  <c r="P42"/>
  <c r="ER45" i="1"/>
  <c r="GA45" s="1"/>
  <c r="CB45"/>
  <c r="CN45"/>
  <c r="DW45" s="1"/>
  <c r="K43" i="51"/>
  <c r="CI46" i="1"/>
  <c r="DR46" s="1"/>
  <c r="CB26"/>
  <c r="CM18"/>
  <c r="DV18" s="1"/>
  <c r="O15" i="51"/>
  <c r="CL12" i="1"/>
  <c r="DU12" s="1"/>
  <c r="N9" i="51"/>
  <c r="EM63" i="1"/>
  <c r="FV63" s="1"/>
  <c r="BW63"/>
  <c r="EK72"/>
  <c r="FT72" s="1"/>
  <c r="BU72"/>
  <c r="EJ29"/>
  <c r="FS29" s="1"/>
  <c r="BT29"/>
  <c r="EL42"/>
  <c r="FU42" s="1"/>
  <c r="BV42"/>
  <c r="CA20"/>
  <c r="EQ20"/>
  <c r="FZ20" s="1"/>
  <c r="P72" i="51"/>
  <c r="ER75" i="1"/>
  <c r="GA75" s="1"/>
  <c r="CB75"/>
  <c r="CN75"/>
  <c r="DW75" s="1"/>
  <c r="CI64"/>
  <c r="DR64" s="1"/>
  <c r="K61" i="51"/>
  <c r="CA56" i="1"/>
  <c r="EQ56"/>
  <c r="FZ56" s="1"/>
  <c r="L69" i="51"/>
  <c r="CJ72" i="1"/>
  <c r="DS72" s="1"/>
  <c r="BZ60"/>
  <c r="EP60"/>
  <c r="FY60" s="1"/>
  <c r="Q50" i="51"/>
  <c r="CO53" i="1"/>
  <c r="DX53" s="1"/>
  <c r="ES53"/>
  <c r="GB53" s="1"/>
  <c r="CC53"/>
  <c r="L43" i="51"/>
  <c r="CJ46" i="1"/>
  <c r="DS46" s="1"/>
  <c r="J44" i="51"/>
  <c r="CH47" i="1"/>
  <c r="DQ47" s="1"/>
  <c r="EO37"/>
  <c r="FX37" s="1"/>
  <c r="BY37"/>
  <c r="Q35" i="51"/>
  <c r="O27"/>
  <c r="CM30" i="1"/>
  <c r="DV30" s="1"/>
  <c r="CM22"/>
  <c r="DV22" s="1"/>
  <c r="O19" i="51"/>
  <c r="CH16" i="1"/>
  <c r="DQ16" s="1"/>
  <c r="BT47"/>
  <c r="EJ47"/>
  <c r="FS47" s="1"/>
  <c r="EN68"/>
  <c r="FW68" s="1"/>
  <c r="BX68"/>
  <c r="EP61"/>
  <c r="FY61" s="1"/>
  <c r="BZ61"/>
  <c r="EK64"/>
  <c r="FT64" s="1"/>
  <c r="BU64"/>
  <c r="EM68"/>
  <c r="FV68" s="1"/>
  <c r="BW68"/>
  <c r="BS74"/>
  <c r="EI74"/>
  <c r="FR74" s="1"/>
  <c r="BV36"/>
  <c r="EL36"/>
  <c r="FU36" s="1"/>
  <c r="BV23"/>
  <c r="BV19"/>
  <c r="EL19"/>
  <c r="FU19" s="1"/>
  <c r="BU26"/>
  <c r="EK26"/>
  <c r="FT26" s="1"/>
  <c r="BU17"/>
  <c r="BS29"/>
  <c r="EI29"/>
  <c r="H70" i="51"/>
  <c r="CF73" i="1"/>
  <c r="DO73" s="1"/>
  <c r="J64" i="51"/>
  <c r="CH67" i="1"/>
  <c r="DQ67" s="1"/>
  <c r="L58" i="51"/>
  <c r="CJ61" i="1"/>
  <c r="DS61" s="1"/>
  <c r="CE58"/>
  <c r="G55" i="51"/>
  <c r="BS54" i="1"/>
  <c r="EI54"/>
  <c r="FR54" s="1"/>
  <c r="O72" i="51"/>
  <c r="CM75" i="1"/>
  <c r="DV75" s="1"/>
  <c r="CC69"/>
  <c r="Q66" i="51"/>
  <c r="CO69" i="1"/>
  <c r="DX69" s="1"/>
  <c r="ES69"/>
  <c r="GB69" s="1"/>
  <c r="G61" i="51"/>
  <c r="CE64" i="1"/>
  <c r="CI59"/>
  <c r="DR59" s="1"/>
  <c r="K56" i="51"/>
  <c r="EM54" i="1"/>
  <c r="FV54" s="1"/>
  <c r="BW54"/>
  <c r="CL52"/>
  <c r="DU52" s="1"/>
  <c r="N49" i="51"/>
  <c r="CA48" i="1"/>
  <c r="EQ48"/>
  <c r="FZ48" s="1"/>
  <c r="I41" i="51"/>
  <c r="CG44" i="1"/>
  <c r="DP44" s="1"/>
  <c r="CF50"/>
  <c r="DO50" s="1"/>
  <c r="H47" i="51"/>
  <c r="EO44" i="1"/>
  <c r="FX44" s="1"/>
  <c r="BY44"/>
  <c r="CM41"/>
  <c r="DV41" s="1"/>
  <c r="O38" i="51"/>
  <c r="EQ34" i="1"/>
  <c r="FZ34" s="1"/>
  <c r="CA34"/>
  <c r="CG41"/>
  <c r="DP41" s="1"/>
  <c r="I38" i="51"/>
  <c r="EO35" i="1"/>
  <c r="FX35" s="1"/>
  <c r="BY35"/>
  <c r="P29" i="51"/>
  <c r="ES27" i="1"/>
  <c r="GB27" s="1"/>
  <c r="Q24" i="51"/>
  <c r="N25"/>
  <c r="CL28" i="1"/>
  <c r="DU28" s="1"/>
  <c r="N21" i="51"/>
  <c r="CL24" i="1"/>
  <c r="DU24" s="1"/>
  <c r="H21" i="51"/>
  <c r="CF24" i="1"/>
  <c r="DO24" s="1"/>
  <c r="CK19"/>
  <c r="DT19" s="1"/>
  <c r="M16" i="51"/>
  <c r="CI13" i="1"/>
  <c r="DR13" s="1"/>
  <c r="K10" i="51"/>
  <c r="G10"/>
  <c r="CE13" i="1"/>
  <c r="CA59"/>
  <c r="EQ59"/>
  <c r="FZ59" s="1"/>
  <c r="EK47"/>
  <c r="FT47" s="1"/>
  <c r="BU47"/>
  <c r="BT70"/>
  <c r="EJ70"/>
  <c r="FS70" s="1"/>
  <c r="BY62"/>
  <c r="EO62"/>
  <c r="FX62" s="1"/>
  <c r="EJ65"/>
  <c r="FS65" s="1"/>
  <c r="BT65"/>
  <c r="EM70"/>
  <c r="FV70" s="1"/>
  <c r="BW70"/>
  <c r="EQ42"/>
  <c r="FZ42" s="1"/>
  <c r="CA42"/>
  <c r="EP30"/>
  <c r="FY30" s="1"/>
  <c r="BZ30"/>
  <c r="EP20"/>
  <c r="FY20" s="1"/>
  <c r="BZ20"/>
  <c r="EP12"/>
  <c r="FY12" s="1"/>
  <c r="BZ12"/>
  <c r="EO33"/>
  <c r="FX33" s="1"/>
  <c r="BY33"/>
  <c r="EO22"/>
  <c r="FX22" s="1"/>
  <c r="BY22"/>
  <c r="EO14"/>
  <c r="FX14" s="1"/>
  <c r="BY14"/>
  <c r="BS17"/>
  <c r="CH71"/>
  <c r="DQ71" s="1"/>
  <c r="J68" i="51"/>
  <c r="CJ65" i="1"/>
  <c r="DS65" s="1"/>
  <c r="L62" i="51"/>
  <c r="CI60" i="1"/>
  <c r="DR60" s="1"/>
  <c r="K57" i="51"/>
  <c r="L54"/>
  <c r="CJ57" i="1"/>
  <c r="DS57" s="1"/>
  <c r="CE56"/>
  <c r="G53" i="51"/>
  <c r="L8"/>
  <c r="CJ11" i="1"/>
  <c r="DS11" s="1"/>
  <c r="CB70"/>
  <c r="ER70"/>
  <c r="GA70" s="1"/>
  <c r="P67" i="51"/>
  <c r="CN70" i="1"/>
  <c r="DW70" s="1"/>
  <c r="I62" i="51"/>
  <c r="CG65" i="1"/>
  <c r="DP65" s="1"/>
  <c r="M57" i="51"/>
  <c r="CK60" i="1"/>
  <c r="DT60" s="1"/>
  <c r="CK55"/>
  <c r="DT55" s="1"/>
  <c r="M52" i="51"/>
  <c r="EM52" i="1"/>
  <c r="FV52" s="1"/>
  <c r="BW52"/>
  <c r="J46" i="51"/>
  <c r="CH49" i="1"/>
  <c r="DQ49" s="1"/>
  <c r="BW44"/>
  <c r="EM44"/>
  <c r="FV44" s="1"/>
  <c r="Q47" i="51"/>
  <c r="CC50" i="1"/>
  <c r="CO50"/>
  <c r="DX50" s="1"/>
  <c r="ES50"/>
  <c r="GB50" s="1"/>
  <c r="CK45"/>
  <c r="DT45" s="1"/>
  <c r="M42" i="51"/>
  <c r="CF42" i="1"/>
  <c r="DO42" s="1"/>
  <c r="H39" i="51"/>
  <c r="EN32" i="1"/>
  <c r="FW32" s="1"/>
  <c r="BX32"/>
  <c r="BX37"/>
  <c r="CK34"/>
  <c r="DT34" s="1"/>
  <c r="M31" i="51"/>
  <c r="BW24" i="1"/>
  <c r="N23" i="51"/>
  <c r="CL26" i="1"/>
  <c r="DU26" s="1"/>
  <c r="CI21"/>
  <c r="DR21" s="1"/>
  <c r="K18" i="51"/>
  <c r="CF22" i="1"/>
  <c r="DO22" s="1"/>
  <c r="CK17"/>
  <c r="DT17" s="1"/>
  <c r="M14" i="51"/>
  <c r="M12"/>
  <c r="CK15" i="1"/>
  <c r="DT15" s="1"/>
  <c r="BX66"/>
  <c r="EN66"/>
  <c r="FW66" s="1"/>
  <c r="CL70"/>
  <c r="DU70" s="1"/>
  <c r="N67" i="51"/>
  <c r="H55"/>
  <c r="CF58" i="1"/>
  <c r="DO58" s="1"/>
  <c r="BW27"/>
  <c r="O47" i="51"/>
  <c r="CM50" i="1"/>
  <c r="DV50" s="1"/>
  <c r="EO40"/>
  <c r="FX40" s="1"/>
  <c r="BY40"/>
  <c r="O49" i="51"/>
  <c r="CM52" i="1"/>
  <c r="DV52" s="1"/>
  <c r="L12" i="51"/>
  <c r="BX15" i="1"/>
  <c r="CK59"/>
  <c r="DT59" s="1"/>
  <c r="M56" i="51"/>
  <c r="O21"/>
  <c r="CM24" i="1"/>
  <c r="DV24" s="1"/>
  <c r="BY45"/>
  <c r="EO45"/>
  <c r="FX45" s="1"/>
  <c r="CF71"/>
  <c r="DO71" s="1"/>
  <c r="H68" i="51"/>
  <c r="BS57" i="1"/>
  <c r="EI57"/>
  <c r="FR57" s="1"/>
  <c r="M32" i="51"/>
  <c r="CK35" i="1"/>
  <c r="DT35" s="1"/>
  <c r="EJ59"/>
  <c r="FS59" s="1"/>
  <c r="BT59"/>
  <c r="BZ75"/>
  <c r="EP75"/>
  <c r="FY75" s="1"/>
  <c r="BT39"/>
  <c r="EJ39"/>
  <c r="FS39" s="1"/>
  <c r="BW29"/>
  <c r="EM29"/>
  <c r="FV29" s="1"/>
  <c r="G66" i="51"/>
  <c r="CE69" i="1"/>
  <c r="O8" i="51"/>
  <c r="CM11" i="1"/>
  <c r="DV11" s="1"/>
  <c r="ES55"/>
  <c r="GB55" s="1"/>
  <c r="CC55"/>
  <c r="CO55"/>
  <c r="DX55" s="1"/>
  <c r="Q52" i="51"/>
  <c r="EJ50" i="1"/>
  <c r="FS50" s="1"/>
  <c r="BT50"/>
  <c r="K31" i="51"/>
  <c r="I23"/>
  <c r="CG26" i="1"/>
  <c r="DP26" s="1"/>
  <c r="M15" i="51"/>
  <c r="CK18" i="1"/>
  <c r="DT18" s="1"/>
  <c r="BZ70"/>
  <c r="EP70"/>
  <c r="FY70" s="1"/>
  <c r="BY11"/>
  <c r="EO11"/>
  <c r="FX11" s="1"/>
  <c r="BW38"/>
  <c r="O69" i="51"/>
  <c r="CM72" i="1"/>
  <c r="DV72" s="1"/>
  <c r="K51" i="51"/>
  <c r="CI54" i="1"/>
  <c r="DR54" s="1"/>
  <c r="EL56"/>
  <c r="FU56" s="1"/>
  <c r="BV56"/>
  <c r="CF41"/>
  <c r="DO41" s="1"/>
  <c r="H38" i="51"/>
  <c r="EK34" i="1"/>
  <c r="FT34" s="1"/>
  <c r="BU34"/>
  <c r="CG27"/>
  <c r="DP27" s="1"/>
  <c r="I24" i="51"/>
  <c r="H16"/>
  <c r="CG12" i="1"/>
  <c r="DP12" s="1"/>
  <c r="EL45"/>
  <c r="FU45" s="1"/>
  <c r="BV45"/>
  <c r="EQ45"/>
  <c r="FZ45" s="1"/>
  <c r="CA45"/>
  <c r="CA49"/>
  <c r="EQ49"/>
  <c r="FZ49" s="1"/>
  <c r="BV55"/>
  <c r="EL55"/>
  <c r="FU55" s="1"/>
  <c r="EI63"/>
  <c r="FR63" s="1"/>
  <c r="BS63"/>
  <c r="EM73"/>
  <c r="FV73" s="1"/>
  <c r="BW73"/>
  <c r="BT27"/>
  <c r="BV11"/>
  <c r="CA21"/>
  <c r="EQ21"/>
  <c r="FZ21" s="1"/>
  <c r="BS14"/>
  <c r="G62" i="51"/>
  <c r="CE65" i="1"/>
  <c r="CE57"/>
  <c r="G54" i="51"/>
  <c r="K70"/>
  <c r="CI73" i="1"/>
  <c r="DR73" s="1"/>
  <c r="CM61"/>
  <c r="DV61" s="1"/>
  <c r="O58" i="51"/>
  <c r="EM53" i="1"/>
  <c r="FV53" s="1"/>
  <c r="BW53"/>
  <c r="CO46"/>
  <c r="DX46" s="1"/>
  <c r="ES46"/>
  <c r="GB46" s="1"/>
  <c r="Q43" i="51"/>
  <c r="CC46" i="1"/>
  <c r="CM47"/>
  <c r="DV47" s="1"/>
  <c r="O44" i="51"/>
  <c r="CF31" i="1"/>
  <c r="DO31" s="1"/>
  <c r="H28" i="51"/>
  <c r="BU32" i="1"/>
  <c r="EK32"/>
  <c r="FT32" s="1"/>
  <c r="BV28"/>
  <c r="P14" i="51"/>
  <c r="CG14" i="1"/>
  <c r="DP14" s="1"/>
  <c r="I11" i="51"/>
  <c r="CJ13" i="1"/>
  <c r="DS13" s="1"/>
  <c r="L10" i="51"/>
  <c r="EN47" i="1"/>
  <c r="FW47" s="1"/>
  <c r="BX47"/>
  <c r="EL62"/>
  <c r="FU62" s="1"/>
  <c r="BV62"/>
  <c r="EQ71"/>
  <c r="FZ71" s="1"/>
  <c r="CA71"/>
  <c r="EJ31"/>
  <c r="FS31" s="1"/>
  <c r="BT31"/>
  <c r="BT13"/>
  <c r="EQ22"/>
  <c r="FZ22" s="1"/>
  <c r="CA22"/>
  <c r="EI18"/>
  <c r="BS18"/>
  <c r="CL65"/>
  <c r="DU65" s="1"/>
  <c r="N62" i="51"/>
  <c r="M54"/>
  <c r="CK57" i="1"/>
  <c r="DT57" s="1"/>
  <c r="CE74"/>
  <c r="G71" i="51"/>
  <c r="J59"/>
  <c r="CH62" i="1"/>
  <c r="DQ62" s="1"/>
  <c r="CH54"/>
  <c r="DQ54" s="1"/>
  <c r="J51" i="51"/>
  <c r="G45"/>
  <c r="CE48" i="1"/>
  <c r="P45" i="51"/>
  <c r="CN48" i="1"/>
  <c r="DW48" s="1"/>
  <c r="CB48"/>
  <c r="ER48"/>
  <c r="GA48" s="1"/>
  <c r="EO34"/>
  <c r="FX34" s="1"/>
  <c r="BY34"/>
  <c r="BW35"/>
  <c r="P24" i="51"/>
  <c r="ER27" i="1"/>
  <c r="GA27" s="1"/>
  <c r="CB27"/>
  <c r="CN27"/>
  <c r="DW27" s="1"/>
  <c r="CK24"/>
  <c r="DT24" s="1"/>
  <c r="M21" i="51"/>
  <c r="O9"/>
  <c r="CM12" i="1"/>
  <c r="DV12" s="1"/>
  <c r="BY46"/>
  <c r="EO46"/>
  <c r="FX46" s="1"/>
  <c r="BZ72"/>
  <c r="EP72"/>
  <c r="FY72" s="1"/>
  <c r="CA39"/>
  <c r="EQ39"/>
  <c r="FZ39" s="1"/>
  <c r="P52" i="51"/>
  <c r="ER55" i="1"/>
  <c r="GA55" s="1"/>
  <c r="CB55"/>
  <c r="CN55"/>
  <c r="DW55" s="1"/>
  <c r="EK44"/>
  <c r="FT44" s="1"/>
  <c r="BU44"/>
  <c r="CK30"/>
  <c r="DT30" s="1"/>
  <c r="M27" i="51"/>
  <c r="BY72" i="1"/>
  <c r="EO72"/>
  <c r="FX72" s="1"/>
  <c r="L64" i="51"/>
  <c r="CJ67" i="1"/>
  <c r="DS67" s="1"/>
  <c r="EJ48"/>
  <c r="FS48" s="1"/>
  <c r="BT48"/>
  <c r="BX30"/>
  <c r="N55" i="51"/>
  <c r="CL58" i="1"/>
  <c r="DU58" s="1"/>
  <c r="H46" i="51"/>
  <c r="CF49" i="1"/>
  <c r="DO49" s="1"/>
  <c r="BT34"/>
  <c r="CC75"/>
  <c r="CO75"/>
  <c r="DX75" s="1"/>
  <c r="ES75"/>
  <c r="GB75" s="1"/>
  <c r="Q72" i="51"/>
  <c r="BT66" i="1"/>
  <c r="EJ66"/>
  <c r="FS66" s="1"/>
  <c r="CH73"/>
  <c r="DQ73" s="1"/>
  <c r="J70" i="51"/>
  <c r="CN59" i="1"/>
  <c r="DW59" s="1"/>
  <c r="CB59"/>
  <c r="ER59"/>
  <c r="GA59" s="1"/>
  <c r="P56" i="51"/>
  <c r="CI37" i="1"/>
  <c r="DR37" s="1"/>
  <c r="K34" i="51"/>
  <c r="G19"/>
  <c r="CE22" i="1"/>
  <c r="CA65"/>
  <c r="EQ65"/>
  <c r="FZ65" s="1"/>
  <c r="BX23"/>
  <c r="BW21"/>
  <c r="EM21"/>
  <c r="FV21" s="1"/>
  <c r="CM64"/>
  <c r="DV64" s="1"/>
  <c r="O61" i="51"/>
  <c r="CN72" i="1"/>
  <c r="DW72" s="1"/>
  <c r="ER72"/>
  <c r="GA72" s="1"/>
  <c r="CB72"/>
  <c r="P69" i="51"/>
  <c r="EQ53" i="1"/>
  <c r="FZ53" s="1"/>
  <c r="CA53"/>
  <c r="M44" i="51"/>
  <c r="CK47" i="1"/>
  <c r="DT47" s="1"/>
  <c r="K38" i="51"/>
  <c r="CI41" i="1"/>
  <c r="DR41" s="1"/>
  <c r="CM28"/>
  <c r="DV28" s="1"/>
  <c r="O25" i="51"/>
  <c r="P10"/>
  <c r="ER13" i="1"/>
  <c r="GA13" s="1"/>
  <c r="CN13"/>
  <c r="DW13" s="1"/>
  <c r="CB13"/>
  <c r="EJ46"/>
  <c r="FS46" s="1"/>
  <c r="BT46"/>
  <c r="BZ68"/>
  <c r="EP68"/>
  <c r="FY68" s="1"/>
  <c r="BU74"/>
  <c r="EK74"/>
  <c r="FT74" s="1"/>
  <c r="BZ11"/>
  <c r="EP11"/>
  <c r="FY11" s="1"/>
  <c r="BS16"/>
  <c r="CH57"/>
  <c r="DQ57" s="1"/>
  <c r="J54" i="51"/>
  <c r="CE62" i="1"/>
  <c r="G59" i="51"/>
  <c r="K44"/>
  <c r="CI47" i="1"/>
  <c r="DR47" s="1"/>
  <c r="CL39"/>
  <c r="DU39" s="1"/>
  <c r="N36" i="51"/>
  <c r="EO32" i="1"/>
  <c r="FX32" s="1"/>
  <c r="BY32"/>
  <c r="CG18"/>
  <c r="DP18" s="1"/>
  <c r="I15" i="51"/>
  <c r="BZ71" i="1"/>
  <c r="EP71"/>
  <c r="FY71" s="1"/>
  <c r="BS65"/>
  <c r="EI65"/>
  <c r="FR65" s="1"/>
  <c r="EO42"/>
  <c r="FX42" s="1"/>
  <c r="BY42"/>
  <c r="BX21"/>
  <c r="EN21"/>
  <c r="FW21" s="1"/>
  <c r="BW36"/>
  <c r="BW15"/>
  <c r="EM15"/>
  <c r="FV15" s="1"/>
  <c r="P68" i="51"/>
  <c r="CN71" i="1"/>
  <c r="DW71" s="1"/>
  <c r="ER71"/>
  <c r="GA71" s="1"/>
  <c r="CB71"/>
  <c r="CA60"/>
  <c r="EQ60"/>
  <c r="FZ60" s="1"/>
  <c r="EI53"/>
  <c r="FR53" s="1"/>
  <c r="BS53"/>
  <c r="CJ68"/>
  <c r="DS68" s="1"/>
  <c r="L65" i="51"/>
  <c r="K55"/>
  <c r="CI58" i="1"/>
  <c r="DR58" s="1"/>
  <c r="L48" i="51"/>
  <c r="CJ51" i="1"/>
  <c r="DS51" s="1"/>
  <c r="CN43"/>
  <c r="DW43" s="1"/>
  <c r="CB43"/>
  <c r="P40" i="51"/>
  <c r="ER43" i="1"/>
  <c r="GA43" s="1"/>
  <c r="M41" i="51"/>
  <c r="CK44" i="1"/>
  <c r="DT44" s="1"/>
  <c r="BV35"/>
  <c r="EL35"/>
  <c r="FU35" s="1"/>
  <c r="CE37"/>
  <c r="CA28"/>
  <c r="EQ28"/>
  <c r="FZ28" s="1"/>
  <c r="L22" i="51"/>
  <c r="CJ25" i="1"/>
  <c r="DS25" s="1"/>
  <c r="CM20"/>
  <c r="DV20" s="1"/>
  <c r="O17" i="51"/>
  <c r="CH14" i="1"/>
  <c r="DQ14" s="1"/>
  <c r="J11" i="51"/>
  <c r="BZ47" i="1"/>
  <c r="EP47"/>
  <c r="FY47" s="1"/>
  <c r="BU63"/>
  <c r="EK63"/>
  <c r="FT63" s="1"/>
  <c r="CA73"/>
  <c r="EQ73"/>
  <c r="FZ73" s="1"/>
  <c r="EN27"/>
  <c r="FW27" s="1"/>
  <c r="BX27"/>
  <c r="BZ41"/>
  <c r="EP41"/>
  <c r="FY41" s="1"/>
  <c r="CJ75"/>
  <c r="DS75" s="1"/>
  <c r="L72" i="51"/>
  <c r="P60"/>
  <c r="CB63" i="1"/>
  <c r="CN63"/>
  <c r="DW63" s="1"/>
  <c r="ER63"/>
  <c r="GA63" s="1"/>
  <c r="J81" i="54"/>
  <c r="J78"/>
  <c r="EJ55" i="1"/>
  <c r="FS55" s="1"/>
  <c r="BT55"/>
  <c r="BX20"/>
  <c r="CK62"/>
  <c r="DT62" s="1"/>
  <c r="M59" i="51"/>
  <c r="BT52" i="1"/>
  <c r="EJ52"/>
  <c r="FS52" s="1"/>
  <c r="CE16"/>
  <c r="BY63"/>
  <c r="EO63"/>
  <c r="FX63" s="1"/>
  <c r="BS30"/>
  <c r="EP54"/>
  <c r="FY54" s="1"/>
  <c r="BZ54"/>
  <c r="BV32"/>
  <c r="BW71"/>
  <c r="EM71"/>
  <c r="FV71" s="1"/>
  <c r="K65" i="51"/>
  <c r="CI68" i="1"/>
  <c r="DR68" s="1"/>
  <c r="CJ55"/>
  <c r="DS55" s="1"/>
  <c r="L52" i="51"/>
  <c r="K30"/>
  <c r="CI33" i="1"/>
  <c r="DR33" s="1"/>
  <c r="G15" i="51"/>
  <c r="CE18" i="1"/>
  <c r="BZ73"/>
  <c r="EP73"/>
  <c r="FY73" s="1"/>
  <c r="BW17"/>
  <c r="EM17"/>
  <c r="FV17" s="1"/>
  <c r="CE70"/>
  <c r="G67" i="51"/>
  <c r="EQ44" i="1"/>
  <c r="FZ44" s="1"/>
  <c r="CA44"/>
  <c r="M23" i="51"/>
  <c r="CK26" i="1"/>
  <c r="DT26" s="1"/>
  <c r="BW61"/>
  <c r="EM61"/>
  <c r="FV61" s="1"/>
  <c r="BX36"/>
  <c r="BW31"/>
  <c r="M67" i="51"/>
  <c r="CK70" i="1"/>
  <c r="DT70" s="1"/>
  <c r="BV52"/>
  <c r="EL52"/>
  <c r="FU52" s="1"/>
  <c r="I54" i="51"/>
  <c r="CG57" i="1"/>
  <c r="DP57" s="1"/>
  <c r="ER41"/>
  <c r="GA41" s="1"/>
  <c r="CB41"/>
  <c r="CN41"/>
  <c r="DW41" s="1"/>
  <c r="P38" i="51"/>
  <c r="CL19" i="1"/>
  <c r="DU19" s="1"/>
  <c r="N16" i="51"/>
  <c r="EM46" i="1"/>
  <c r="FV46" s="1"/>
  <c r="BW46"/>
  <c r="BY68"/>
  <c r="EO68"/>
  <c r="FX68" s="1"/>
  <c r="EN16"/>
  <c r="FW16" s="1"/>
  <c r="BX16"/>
  <c r="BW14"/>
  <c r="CG60"/>
  <c r="DP60" s="1"/>
  <c r="I57" i="51"/>
  <c r="CC67" i="1"/>
  <c r="CO67"/>
  <c r="DX67" s="1"/>
  <c r="ES67"/>
  <c r="GB67" s="1"/>
  <c r="Q64" i="51"/>
  <c r="CN51" i="1"/>
  <c r="DW51" s="1"/>
  <c r="CB51"/>
  <c r="ER51"/>
  <c r="GA51" s="1"/>
  <c r="P48" i="51"/>
  <c r="CE44" i="1"/>
  <c r="G41" i="51"/>
  <c r="L33"/>
  <c r="EP24" i="1"/>
  <c r="FY24" s="1"/>
  <c r="BZ24"/>
  <c r="CL13"/>
  <c r="DU13" s="1"/>
  <c r="N10" i="51"/>
  <c r="EK49" i="1"/>
  <c r="FT49" s="1"/>
  <c r="BU49"/>
  <c r="BZ64"/>
  <c r="EP64"/>
  <c r="FY64" s="1"/>
  <c r="BS73"/>
  <c r="EI73"/>
  <c r="FR73" s="1"/>
  <c r="BX26"/>
  <c r="EP40"/>
  <c r="FY40" s="1"/>
  <c r="BZ40"/>
  <c r="BW19"/>
  <c r="Q71" i="51"/>
  <c r="CO74" i="1"/>
  <c r="DX74" s="1"/>
  <c r="ES74"/>
  <c r="GB74" s="1"/>
  <c r="CC74"/>
  <c r="CF63"/>
  <c r="DO63" s="1"/>
  <c r="H60" i="51"/>
  <c r="CJ56" i="1"/>
  <c r="DS56" s="1"/>
  <c r="L53" i="51"/>
  <c r="M68"/>
  <c r="CK71" i="1"/>
  <c r="DT71" s="1"/>
  <c r="ES60"/>
  <c r="GB60" s="1"/>
  <c r="Q57" i="51"/>
  <c r="CO60" i="1"/>
  <c r="DX60" s="1"/>
  <c r="CC60"/>
  <c r="H50" i="51"/>
  <c r="CF53" i="1"/>
  <c r="DO53" s="1"/>
  <c r="CG45"/>
  <c r="DP45" s="1"/>
  <c r="I42" i="51"/>
  <c r="CO45" i="1"/>
  <c r="DX45" s="1"/>
  <c r="P27" i="51"/>
  <c r="ER30" i="1"/>
  <c r="GA30" s="1"/>
  <c r="N24" i="51"/>
  <c r="CL27" i="1"/>
  <c r="DU27" s="1"/>
  <c r="CK16"/>
  <c r="DT16" s="1"/>
  <c r="M13" i="51"/>
  <c r="BS61" i="1"/>
  <c r="EI61"/>
  <c r="FR61" s="1"/>
  <c r="BS69"/>
  <c r="EI69"/>
  <c r="FR69" s="1"/>
  <c r="EN33"/>
  <c r="FW33" s="1"/>
  <c r="BX33"/>
  <c r="BX14"/>
  <c r="EM25"/>
  <c r="FV25" s="1"/>
  <c r="BW25"/>
  <c r="BS25"/>
  <c r="Q63" i="51"/>
  <c r="ES66" i="1"/>
  <c r="GB66" s="1"/>
  <c r="CC66"/>
  <c r="CO66"/>
  <c r="DX66" s="1"/>
  <c r="EJ57"/>
  <c r="FS57" s="1"/>
  <c r="BT57"/>
  <c r="I72" i="51"/>
  <c r="CG75" i="1"/>
  <c r="DP75" s="1"/>
  <c r="M60" i="51"/>
  <c r="CK63" i="1"/>
  <c r="DT63" s="1"/>
  <c r="CL53"/>
  <c r="DU53" s="1"/>
  <c r="N50" i="51"/>
  <c r="ET62" i="1"/>
  <c r="BA62" s="1"/>
  <c r="BD62" s="1"/>
  <c r="ET17"/>
  <c r="BA17" s="1"/>
  <c r="BD17" s="1"/>
  <c r="ET35"/>
  <c r="BA35" s="1"/>
  <c r="BD35" s="1"/>
  <c r="ET75"/>
  <c r="BA75" s="1"/>
  <c r="BD75" s="1"/>
  <c r="ET60"/>
  <c r="BA60" s="1"/>
  <c r="BD60" s="1"/>
  <c r="ET40"/>
  <c r="BA40" s="1"/>
  <c r="BD40" s="1"/>
  <c r="J81" i="53"/>
  <c r="ET51" i="1"/>
  <c r="BA51" s="1"/>
  <c r="BD51" s="1"/>
  <c r="ET50"/>
  <c r="BA50" s="1"/>
  <c r="BD50" s="1"/>
  <c r="ET42"/>
  <c r="BA42" s="1"/>
  <c r="BD42" s="1"/>
  <c r="CO56"/>
  <c r="DX56" s="1"/>
  <c r="CC56"/>
  <c r="ES56"/>
  <c r="GB56" s="1"/>
  <c r="Q53" i="51"/>
  <c r="CF72" i="1"/>
  <c r="DO72" s="1"/>
  <c r="H69" i="51"/>
  <c r="EN58" i="1"/>
  <c r="FW58" s="1"/>
  <c r="BX58"/>
  <c r="J49" i="51"/>
  <c r="CH52" i="1"/>
  <c r="DQ52" s="1"/>
  <c r="BW43"/>
  <c r="EM43"/>
  <c r="FV43" s="1"/>
  <c r="BV44"/>
  <c r="CI36"/>
  <c r="DR36" s="1"/>
  <c r="M34" i="51"/>
  <c r="CK37" i="1"/>
  <c r="DT37" s="1"/>
  <c r="L26" i="51"/>
  <c r="CJ29" i="1"/>
  <c r="DS29" s="1"/>
  <c r="CE26"/>
  <c r="G23" i="51"/>
  <c r="L18"/>
  <c r="CJ21" i="1"/>
  <c r="DS21" s="1"/>
  <c r="O11" i="51"/>
  <c r="CM14" i="1"/>
  <c r="DV14" s="1"/>
  <c r="EK51"/>
  <c r="FT51" s="1"/>
  <c r="BU51"/>
  <c r="EJ51"/>
  <c r="FS51" s="1"/>
  <c r="BT51"/>
  <c r="BS49"/>
  <c r="EI49"/>
  <c r="FR49" s="1"/>
  <c r="EL72"/>
  <c r="FU72" s="1"/>
  <c r="BV72"/>
  <c r="EQ63"/>
  <c r="FZ63" s="1"/>
  <c r="CA63"/>
  <c r="EL66"/>
  <c r="FU66" s="1"/>
  <c r="BV66"/>
  <c r="EI71"/>
  <c r="FR71" s="1"/>
  <c r="BS71"/>
  <c r="EK41"/>
  <c r="FT41" s="1"/>
  <c r="BU41"/>
  <c r="BT30"/>
  <c r="BT20"/>
  <c r="EM12"/>
  <c r="FV12" s="1"/>
  <c r="BW12"/>
  <c r="EQ36"/>
  <c r="FZ36" s="1"/>
  <c r="CA36"/>
  <c r="CA23"/>
  <c r="EQ23"/>
  <c r="FZ23" s="1"/>
  <c r="EQ15"/>
  <c r="FZ15" s="1"/>
  <c r="CA15"/>
  <c r="BS22"/>
  <c r="EI22"/>
  <c r="CI72"/>
  <c r="DR72" s="1"/>
  <c r="K69" i="51"/>
  <c r="CK66" i="1"/>
  <c r="DT66" s="1"/>
  <c r="M63" i="51"/>
  <c r="BX60" i="1"/>
  <c r="EN60"/>
  <c r="FW60" s="1"/>
  <c r="EK57"/>
  <c r="FT57" s="1"/>
  <c r="BU57"/>
  <c r="EO53"/>
  <c r="FX53" s="1"/>
  <c r="BY53"/>
  <c r="N71" i="51"/>
  <c r="CL74" i="1"/>
  <c r="DU74" s="1"/>
  <c r="CB68"/>
  <c r="CN68"/>
  <c r="DW68" s="1"/>
  <c r="ER68"/>
  <c r="GA68" s="1"/>
  <c r="P65" i="51"/>
  <c r="CG63" i="1"/>
  <c r="DP63" s="1"/>
  <c r="I60" i="51"/>
  <c r="EL58" i="1"/>
  <c r="FU58" s="1"/>
  <c r="BV58"/>
  <c r="O51" i="51"/>
  <c r="CM54" i="1"/>
  <c r="DV54" s="1"/>
  <c r="CO51"/>
  <c r="DX51" s="1"/>
  <c r="CC51"/>
  <c r="Q48" i="51"/>
  <c r="ES51" i="1"/>
  <c r="GB51" s="1"/>
  <c r="CK48"/>
  <c r="DT48" s="1"/>
  <c r="M45" i="51"/>
  <c r="BS43" i="1"/>
  <c r="EI43"/>
  <c r="EO48"/>
  <c r="FX48" s="1"/>
  <c r="BY48"/>
  <c r="O41" i="51"/>
  <c r="CM44" i="1"/>
  <c r="DV44" s="1"/>
  <c r="CK40"/>
  <c r="DT40" s="1"/>
  <c r="M37" i="51"/>
  <c r="EP35" i="1"/>
  <c r="FY35" s="1"/>
  <c r="BZ35"/>
  <c r="CH37"/>
  <c r="DQ37" s="1"/>
  <c r="J34" i="51"/>
  <c r="CK33" i="1"/>
  <c r="DT33" s="1"/>
  <c r="M30" i="51"/>
  <c r="H26"/>
  <c r="K27"/>
  <c r="CI30" i="1"/>
  <c r="DR30" s="1"/>
  <c r="N22" i="51"/>
  <c r="CL25" i="1"/>
  <c r="DU25" s="1"/>
  <c r="ER19"/>
  <c r="GA19" s="1"/>
  <c r="CN19"/>
  <c r="DW19" s="1"/>
  <c r="P16" i="51"/>
  <c r="CB19" i="1"/>
  <c r="I13" i="51"/>
  <c r="CG16" i="1"/>
  <c r="DP16" s="1"/>
  <c r="M11" i="51"/>
  <c r="CK14" i="1"/>
  <c r="DT14" s="1"/>
  <c r="EL69"/>
  <c r="FU69" s="1"/>
  <c r="BV69"/>
  <c r="EK61"/>
  <c r="FT61" s="1"/>
  <c r="BU61"/>
  <c r="EO65"/>
  <c r="FX65" s="1"/>
  <c r="BY65"/>
  <c r="EM69"/>
  <c r="FV69" s="1"/>
  <c r="BW69"/>
  <c r="EI75"/>
  <c r="FR75" s="1"/>
  <c r="BS75"/>
  <c r="EJ36"/>
  <c r="FS36" s="1"/>
  <c r="BT36"/>
  <c r="BT23"/>
  <c r="EJ15"/>
  <c r="FS15" s="1"/>
  <c r="BT15"/>
  <c r="BZ38"/>
  <c r="EP38"/>
  <c r="FY38" s="1"/>
  <c r="EQ25"/>
  <c r="FZ25" s="1"/>
  <c r="CA25"/>
  <c r="CA16"/>
  <c r="EQ16"/>
  <c r="FZ16" s="1"/>
  <c r="BS27"/>
  <c r="EI27"/>
  <c r="G70" i="51"/>
  <c r="CE73" i="1"/>
  <c r="H64" i="51"/>
  <c r="CF67" i="1"/>
  <c r="DO67" s="1"/>
  <c r="J58" i="51"/>
  <c r="CH61" i="1"/>
  <c r="DQ61" s="1"/>
  <c r="BZ57"/>
  <c r="EP57"/>
  <c r="FY57" s="1"/>
  <c r="BV54"/>
  <c r="EL54"/>
  <c r="FU54" s="1"/>
  <c r="CK75"/>
  <c r="DT75" s="1"/>
  <c r="M72" i="51"/>
  <c r="CM69" i="1"/>
  <c r="DV69" s="1"/>
  <c r="O66" i="51"/>
  <c r="CO63" i="1"/>
  <c r="DX63" s="1"/>
  <c r="ES63"/>
  <c r="GB63" s="1"/>
  <c r="CC63"/>
  <c r="Q60" i="51"/>
  <c r="I56"/>
  <c r="CG59" i="1"/>
  <c r="DP59" s="1"/>
  <c r="EJ54"/>
  <c r="FS54" s="1"/>
  <c r="BT54"/>
  <c r="M49" i="51"/>
  <c r="CK52" i="1"/>
  <c r="DT52" s="1"/>
  <c r="BU48"/>
  <c r="EK48"/>
  <c r="FT48" s="1"/>
  <c r="BZ43"/>
  <c r="EP43"/>
  <c r="FY43" s="1"/>
  <c r="CE50"/>
  <c r="G47" i="51"/>
  <c r="CE40" i="1"/>
  <c r="G37" i="51"/>
  <c r="O32"/>
  <c r="CM35" i="1"/>
  <c r="DV35" s="1"/>
  <c r="N28" i="51"/>
  <c r="CL31" i="1"/>
  <c r="DU31" s="1"/>
  <c r="N33" i="51"/>
  <c r="CL36" i="1"/>
  <c r="DU36" s="1"/>
  <c r="BW28"/>
  <c r="K26" i="51"/>
  <c r="CI29" i="1"/>
  <c r="DR29" s="1"/>
  <c r="H22" i="51"/>
  <c r="P15"/>
  <c r="ER18" i="1"/>
  <c r="GA18" s="1"/>
  <c r="CB18"/>
  <c r="CN18"/>
  <c r="DW18" s="1"/>
  <c r="CK20"/>
  <c r="DT20" s="1"/>
  <c r="M17" i="51"/>
  <c r="I12"/>
  <c r="CG15" i="1"/>
  <c r="DP15" s="1"/>
  <c r="EL59"/>
  <c r="FU59" s="1"/>
  <c r="BV59"/>
  <c r="EL49"/>
  <c r="FU49" s="1"/>
  <c r="BV49"/>
  <c r="EN70"/>
  <c r="FW70" s="1"/>
  <c r="BX70"/>
  <c r="EN74"/>
  <c r="FW74" s="1"/>
  <c r="BX74"/>
  <c r="EQ62"/>
  <c r="FZ62" s="1"/>
  <c r="CA62"/>
  <c r="EJ63"/>
  <c r="FS63" s="1"/>
  <c r="BT63"/>
  <c r="EL65"/>
  <c r="FU65" s="1"/>
  <c r="BV65"/>
  <c r="EN67"/>
  <c r="FW67" s="1"/>
  <c r="BX67"/>
  <c r="CA70"/>
  <c r="EQ70"/>
  <c r="FZ70" s="1"/>
  <c r="BY73"/>
  <c r="EO73"/>
  <c r="FX73" s="1"/>
  <c r="BW11"/>
  <c r="EM11"/>
  <c r="FV11" s="1"/>
  <c r="EQ38"/>
  <c r="FZ38" s="1"/>
  <c r="CA38"/>
  <c r="BV31"/>
  <c r="BV26"/>
  <c r="BV21"/>
  <c r="BV17"/>
  <c r="EL17"/>
  <c r="FU17" s="1"/>
  <c r="BV13"/>
  <c r="EN40"/>
  <c r="FW40" s="1"/>
  <c r="BX40"/>
  <c r="BU36"/>
  <c r="EK36"/>
  <c r="FT36" s="1"/>
  <c r="BU29"/>
  <c r="EK29"/>
  <c r="FT29" s="1"/>
  <c r="BU23"/>
  <c r="BU19"/>
  <c r="EK19"/>
  <c r="FT19" s="1"/>
  <c r="BU15"/>
  <c r="EK15"/>
  <c r="FT15" s="1"/>
  <c r="BS41"/>
  <c r="EI41"/>
  <c r="BS19"/>
  <c r="CM74"/>
  <c r="DV74" s="1"/>
  <c r="O71" i="51"/>
  <c r="N68"/>
  <c r="CL71" i="1"/>
  <c r="DU71" s="1"/>
  <c r="CO68"/>
  <c r="DX68" s="1"/>
  <c r="ES68"/>
  <c r="GB68" s="1"/>
  <c r="Q65" i="51"/>
  <c r="CC68" i="1"/>
  <c r="P62" i="51"/>
  <c r="CB65" i="1"/>
  <c r="ER65"/>
  <c r="GA65" s="1"/>
  <c r="CN65"/>
  <c r="DW65" s="1"/>
  <c r="G60" i="51"/>
  <c r="CE63" i="1"/>
  <c r="BU60"/>
  <c r="EK60"/>
  <c r="FT60" s="1"/>
  <c r="EK58"/>
  <c r="FT58" s="1"/>
  <c r="BU58"/>
  <c r="N54" i="51"/>
  <c r="CL57" i="1"/>
  <c r="DU57" s="1"/>
  <c r="J53" i="51"/>
  <c r="CH56" i="1"/>
  <c r="DQ56" s="1"/>
  <c r="EL53"/>
  <c r="FU53" s="1"/>
  <c r="BV53"/>
  <c r="N8" i="51"/>
  <c r="CL11" i="1"/>
  <c r="DU11" s="1"/>
  <c r="H71" i="51"/>
  <c r="CF74" i="1"/>
  <c r="DO74" s="1"/>
  <c r="CI71"/>
  <c r="DR71" s="1"/>
  <c r="K68" i="51"/>
  <c r="J65"/>
  <c r="CH68" i="1"/>
  <c r="DQ68" s="1"/>
  <c r="M62" i="51"/>
  <c r="CK65" i="1"/>
  <c r="DT65" s="1"/>
  <c r="CJ62"/>
  <c r="DS62" s="1"/>
  <c r="L59" i="51"/>
  <c r="CM60" i="1"/>
  <c r="DV60" s="1"/>
  <c r="O57" i="51"/>
  <c r="I55"/>
  <c r="CG58" i="1"/>
  <c r="DP58" s="1"/>
  <c r="CM55"/>
  <c r="DV55" s="1"/>
  <c r="O52" i="51"/>
  <c r="L51"/>
  <c r="CJ54" i="1"/>
  <c r="DS54" s="1"/>
  <c r="G50" i="51"/>
  <c r="CE53" i="1"/>
  <c r="CH51"/>
  <c r="DQ51" s="1"/>
  <c r="J48" i="51"/>
  <c r="M46"/>
  <c r="CK49" i="1"/>
  <c r="DT49" s="1"/>
  <c r="CF48"/>
  <c r="DO48" s="1"/>
  <c r="H45" i="51"/>
  <c r="BZ44" i="1"/>
  <c r="EP44"/>
  <c r="FY44" s="1"/>
  <c r="K40" i="51"/>
  <c r="CA50" i="1"/>
  <c r="EQ50"/>
  <c r="FZ50" s="1"/>
  <c r="EL48"/>
  <c r="FU48" s="1"/>
  <c r="BV48"/>
  <c r="O42" i="51"/>
  <c r="CM45" i="1"/>
  <c r="DV45" s="1"/>
  <c r="L41" i="51"/>
  <c r="G40"/>
  <c r="CE43" i="1"/>
  <c r="CA37"/>
  <c r="EQ37"/>
  <c r="FZ37" s="1"/>
  <c r="EJ35"/>
  <c r="FS35" s="1"/>
  <c r="BT35"/>
  <c r="I31" i="51"/>
  <c r="CG34" i="1"/>
  <c r="DP34" s="1"/>
  <c r="O28" i="51"/>
  <c r="CM31" i="1"/>
  <c r="DV31" s="1"/>
  <c r="I36" i="51"/>
  <c r="CG39" i="1"/>
  <c r="DP39" s="1"/>
  <c r="O33" i="51"/>
  <c r="CM36" i="1"/>
  <c r="DV36" s="1"/>
  <c r="EP34"/>
  <c r="FY34" s="1"/>
  <c r="BZ34"/>
  <c r="BY28"/>
  <c r="EO28"/>
  <c r="FX28" s="1"/>
  <c r="CN29"/>
  <c r="DW29" s="1"/>
  <c r="CB29"/>
  <c r="P26" i="51"/>
  <c r="ER29" i="1"/>
  <c r="GA29" s="1"/>
  <c r="CK27"/>
  <c r="DT27" s="1"/>
  <c r="M24" i="51"/>
  <c r="J22"/>
  <c r="CH25" i="1"/>
  <c r="DQ25" s="1"/>
  <c r="CO22"/>
  <c r="DX22" s="1"/>
  <c r="CC22"/>
  <c r="Q19" i="51"/>
  <c r="ES22" i="1"/>
  <c r="GB22" s="1"/>
  <c r="CO18"/>
  <c r="DX18" s="1"/>
  <c r="CC18"/>
  <c r="Q15" i="51"/>
  <c r="ES18" i="1"/>
  <c r="GB18" s="1"/>
  <c r="CL20"/>
  <c r="DU20" s="1"/>
  <c r="N17" i="51"/>
  <c r="CJ18" i="1"/>
  <c r="DS18" s="1"/>
  <c r="L15" i="51"/>
  <c r="K12"/>
  <c r="CI15" i="1"/>
  <c r="DR15" s="1"/>
  <c r="CJ16"/>
  <c r="DS16" s="1"/>
  <c r="L13" i="51"/>
  <c r="CH12" i="1"/>
  <c r="DQ12" s="1"/>
  <c r="BZ46"/>
  <c r="EP46"/>
  <c r="FY46" s="1"/>
  <c r="EL51"/>
  <c r="FU51" s="1"/>
  <c r="BV51"/>
  <c r="BY47"/>
  <c r="EO47"/>
  <c r="FX47" s="1"/>
  <c r="EM55"/>
  <c r="FV55" s="1"/>
  <c r="BW55"/>
  <c r="BT68"/>
  <c r="EJ68"/>
  <c r="FS68" s="1"/>
  <c r="EJ72"/>
  <c r="FS72" s="1"/>
  <c r="BT72"/>
  <c r="EN61"/>
  <c r="FW61" s="1"/>
  <c r="BX61"/>
  <c r="BZ63"/>
  <c r="EP63"/>
  <c r="FY63" s="1"/>
  <c r="EI64"/>
  <c r="FR64" s="1"/>
  <c r="BS64"/>
  <c r="EK66"/>
  <c r="FT66" s="1"/>
  <c r="BU66"/>
  <c r="EI68"/>
  <c r="FR68" s="1"/>
  <c r="BS68"/>
  <c r="EQ72"/>
  <c r="FZ72" s="1"/>
  <c r="CA72"/>
  <c r="BY75"/>
  <c r="EO75"/>
  <c r="FX75" s="1"/>
  <c r="EQ40"/>
  <c r="FZ40" s="1"/>
  <c r="CA40"/>
  <c r="EP33"/>
  <c r="FY33" s="1"/>
  <c r="BZ33"/>
  <c r="EP27"/>
  <c r="FY27" s="1"/>
  <c r="BZ27"/>
  <c r="EP22"/>
  <c r="FY22" s="1"/>
  <c r="BZ22"/>
  <c r="EP18"/>
  <c r="FY18" s="1"/>
  <c r="BZ18"/>
  <c r="EP14"/>
  <c r="FY14" s="1"/>
  <c r="BZ14"/>
  <c r="EJ42"/>
  <c r="FS42" s="1"/>
  <c r="BT42"/>
  <c r="EN38"/>
  <c r="FW38" s="1"/>
  <c r="BX38"/>
  <c r="EO30"/>
  <c r="FX30" s="1"/>
  <c r="BY30"/>
  <c r="EO25"/>
  <c r="FX25" s="1"/>
  <c r="BY25"/>
  <c r="EO20"/>
  <c r="FX20" s="1"/>
  <c r="BY20"/>
  <c r="EO16"/>
  <c r="FX16" s="1"/>
  <c r="BY16"/>
  <c r="EO12"/>
  <c r="FX12" s="1"/>
  <c r="BY12"/>
  <c r="EI26"/>
  <c r="BS26"/>
  <c r="CL75"/>
  <c r="DU75" s="1"/>
  <c r="N72" i="51"/>
  <c r="Q69"/>
  <c r="CC72" i="1"/>
  <c r="ES72"/>
  <c r="GB72" s="1"/>
  <c r="CO72"/>
  <c r="DX72" s="1"/>
  <c r="CN69"/>
  <c r="DW69" s="1"/>
  <c r="ER69"/>
  <c r="GA69" s="1"/>
  <c r="CB69"/>
  <c r="P66" i="51"/>
  <c r="CE67" i="1"/>
  <c r="G64" i="51"/>
  <c r="I61"/>
  <c r="CG64" i="1"/>
  <c r="DP64" s="1"/>
  <c r="CF61"/>
  <c r="DO61" s="1"/>
  <c r="H58" i="51"/>
  <c r="CF59" i="1"/>
  <c r="DO59" s="1"/>
  <c r="H56" i="51"/>
  <c r="BW57" i="1"/>
  <c r="EM57"/>
  <c r="FV57" s="1"/>
  <c r="BU56"/>
  <c r="EK56"/>
  <c r="FT56" s="1"/>
  <c r="CN54"/>
  <c r="DW54" s="1"/>
  <c r="CB54"/>
  <c r="P51" i="51"/>
  <c r="ER54" i="1"/>
  <c r="GA54" s="1"/>
  <c r="I49" i="51"/>
  <c r="CG52" i="1"/>
  <c r="DP52" s="1"/>
  <c r="K72" i="51"/>
  <c r="CI75" i="1"/>
  <c r="DR75" s="1"/>
  <c r="CH72"/>
  <c r="DQ72" s="1"/>
  <c r="J69" i="51"/>
  <c r="CK69" i="1"/>
  <c r="DT69" s="1"/>
  <c r="M66" i="51"/>
  <c r="CJ66" i="1"/>
  <c r="DS66" s="1"/>
  <c r="L63" i="51"/>
  <c r="CM63" i="1"/>
  <c r="DV63" s="1"/>
  <c r="O60" i="51"/>
  <c r="EM60" i="1"/>
  <c r="FV60" s="1"/>
  <c r="BW60"/>
  <c r="BY58"/>
  <c r="EO58"/>
  <c r="FX58" s="1"/>
  <c r="EI56"/>
  <c r="FR56" s="1"/>
  <c r="BS56"/>
  <c r="CA54"/>
  <c r="EQ54"/>
  <c r="FZ54" s="1"/>
  <c r="O50" i="51"/>
  <c r="CM53" i="1"/>
  <c r="DV53" s="1"/>
  <c r="CJ52"/>
  <c r="DS52" s="1"/>
  <c r="L49" i="51"/>
  <c r="P47"/>
  <c r="ER50" i="1"/>
  <c r="GA50" s="1"/>
  <c r="CB50"/>
  <c r="CN50"/>
  <c r="DW50" s="1"/>
  <c r="Q45" i="51"/>
  <c r="CO48" i="1"/>
  <c r="DX48" s="1"/>
  <c r="ES48"/>
  <c r="GB48" s="1"/>
  <c r="CC48"/>
  <c r="J43" i="51"/>
  <c r="CH46" i="1"/>
  <c r="DQ46" s="1"/>
  <c r="EN43"/>
  <c r="FW43" s="1"/>
  <c r="BX43"/>
  <c r="J38" i="51"/>
  <c r="CH41" i="1"/>
  <c r="DQ41" s="1"/>
  <c r="CN49"/>
  <c r="DW49" s="1"/>
  <c r="CB49"/>
  <c r="P46" i="51"/>
  <c r="ER49" i="1"/>
  <c r="GA49" s="1"/>
  <c r="H44" i="51"/>
  <c r="CF47" i="1"/>
  <c r="DO47" s="1"/>
  <c r="CJ40"/>
  <c r="DS40" s="1"/>
  <c r="L37" i="51"/>
  <c r="H35"/>
  <c r="CF38" i="1"/>
  <c r="DO38" s="1"/>
  <c r="EN35"/>
  <c r="FW35" s="1"/>
  <c r="BX35"/>
  <c r="P31" i="51"/>
  <c r="CN34" i="1"/>
  <c r="DW34" s="1"/>
  <c r="CB34"/>
  <c r="ER34"/>
  <c r="GA34" s="1"/>
  <c r="H29" i="51"/>
  <c r="CF32" i="1"/>
  <c r="DO32" s="1"/>
  <c r="P36" i="51"/>
  <c r="CB39" i="1"/>
  <c r="CN39"/>
  <c r="DW39" s="1"/>
  <c r="ER39"/>
  <c r="GA39" s="1"/>
  <c r="CF37"/>
  <c r="DO37" s="1"/>
  <c r="H34" i="51"/>
  <c r="CI35" i="1"/>
  <c r="DR35" s="1"/>
  <c r="CJ33"/>
  <c r="DS33" s="1"/>
  <c r="L30" i="51"/>
  <c r="I28"/>
  <c r="CG31" i="1"/>
  <c r="DP31" s="1"/>
  <c r="G26" i="51"/>
  <c r="CE29" i="1"/>
  <c r="K23" i="51"/>
  <c r="CI26" i="1"/>
  <c r="DR26" s="1"/>
  <c r="I27" i="51"/>
  <c r="CG30" i="1"/>
  <c r="DP30" s="1"/>
  <c r="CM27"/>
  <c r="DV27" s="1"/>
  <c r="O24" i="51"/>
  <c r="M22"/>
  <c r="CK25" i="1"/>
  <c r="DT25" s="1"/>
  <c r="K20" i="51"/>
  <c r="CI23" i="1"/>
  <c r="DR23" s="1"/>
  <c r="G18" i="51"/>
  <c r="CE21" i="1"/>
  <c r="CL18"/>
  <c r="DU18" s="1"/>
  <c r="N15" i="51"/>
  <c r="Q12"/>
  <c r="ES15" i="1"/>
  <c r="GB15" s="1"/>
  <c r="CC15"/>
  <c r="CO15"/>
  <c r="DX15" s="1"/>
  <c r="N13" i="51"/>
  <c r="CL16" i="1"/>
  <c r="DU16" s="1"/>
  <c r="M9" i="51"/>
  <c r="CK12" i="1"/>
  <c r="DT12" s="1"/>
  <c r="F83" i="55"/>
  <c r="F82"/>
  <c r="F80"/>
  <c r="F78"/>
  <c r="F79"/>
  <c r="F81"/>
  <c r="ET11" i="1"/>
  <c r="BA11" s="1"/>
  <c r="BD11" s="1"/>
  <c r="ET32"/>
  <c r="BA32" s="1"/>
  <c r="BD32" s="1"/>
  <c r="ET59"/>
  <c r="BA59" s="1"/>
  <c r="BD59" s="1"/>
  <c r="ET46"/>
  <c r="BA46" s="1"/>
  <c r="BD46" s="1"/>
  <c r="ET52"/>
  <c r="BA52" s="1"/>
  <c r="BD52" s="1"/>
  <c r="ET16"/>
  <c r="BA16" s="1"/>
  <c r="BD16" s="1"/>
  <c r="ET30"/>
  <c r="BA30" s="1"/>
  <c r="BD30" s="1"/>
  <c r="ET34"/>
  <c r="BA34" s="1"/>
  <c r="BD34" s="1"/>
  <c r="ET54"/>
  <c r="BA54" s="1"/>
  <c r="BD54" s="1"/>
  <c r="ET66"/>
  <c r="BA66" s="1"/>
  <c r="BD66" s="1"/>
  <c r="ET74"/>
  <c r="BA74" s="1"/>
  <c r="BD74" s="1"/>
  <c r="ET13"/>
  <c r="BA13" s="1"/>
  <c r="BD13" s="1"/>
  <c r="ET21"/>
  <c r="BA21" s="1"/>
  <c r="BD21" s="1"/>
  <c r="ET27"/>
  <c r="BA27" s="1"/>
  <c r="BD27" s="1"/>
  <c r="ET39"/>
  <c r="BA39" s="1"/>
  <c r="BD39" s="1"/>
  <c r="ET49"/>
  <c r="BA49" s="1"/>
  <c r="BD49" s="1"/>
  <c r="ET63"/>
  <c r="BA63" s="1"/>
  <c r="BD63" s="1"/>
  <c r="ET71"/>
  <c r="BA71" s="1"/>
  <c r="BD71" s="1"/>
  <c r="CF46"/>
  <c r="DO46" s="1"/>
  <c r="H43" i="51"/>
  <c r="G44"/>
  <c r="CE47" i="1"/>
  <c r="CK38"/>
  <c r="DT38" s="1"/>
  <c r="M35" i="51"/>
  <c r="K37"/>
  <c r="CH28" i="1"/>
  <c r="DQ28" s="1"/>
  <c r="N20" i="51"/>
  <c r="CL23" i="1"/>
  <c r="DU23" s="1"/>
  <c r="CN12"/>
  <c r="DW12" s="1"/>
  <c r="CB12"/>
  <c r="P9" i="51"/>
  <c r="ER12" i="1"/>
  <c r="GA12" s="1"/>
  <c r="BV47"/>
  <c r="EL47"/>
  <c r="FU47" s="1"/>
  <c r="BS47"/>
  <c r="EI47"/>
  <c r="FR47" s="1"/>
  <c r="EL70"/>
  <c r="FU70" s="1"/>
  <c r="BV70"/>
  <c r="EP62"/>
  <c r="FY62" s="1"/>
  <c r="BZ62"/>
  <c r="EK65"/>
  <c r="FT65" s="1"/>
  <c r="BU65"/>
  <c r="EO70"/>
  <c r="FX70" s="1"/>
  <c r="BY70"/>
  <c r="BU11"/>
  <c r="BT33"/>
  <c r="BT22"/>
  <c r="BT14"/>
  <c r="BW39"/>
  <c r="CA26"/>
  <c r="EQ26"/>
  <c r="FZ26" s="1"/>
  <c r="CA17"/>
  <c r="EQ17"/>
  <c r="FZ17" s="1"/>
  <c r="BS33"/>
  <c r="N70" i="51"/>
  <c r="CL73" i="1"/>
  <c r="DU73" s="1"/>
  <c r="P64" i="51"/>
  <c r="CN67" i="1"/>
  <c r="DW67" s="1"/>
  <c r="ER67"/>
  <c r="GA67" s="1"/>
  <c r="CB67"/>
  <c r="CG62"/>
  <c r="DP62" s="1"/>
  <c r="I59" i="51"/>
  <c r="CJ58" i="1"/>
  <c r="DS58" s="1"/>
  <c r="L55" i="51"/>
  <c r="CG55" i="1"/>
  <c r="DP55" s="1"/>
  <c r="I52" i="51"/>
  <c r="I8"/>
  <c r="CH70" i="1"/>
  <c r="DQ70" s="1"/>
  <c r="J67" i="51"/>
  <c r="L61"/>
  <c r="CJ64" i="1"/>
  <c r="DS64" s="1"/>
  <c r="CF60"/>
  <c r="DO60" s="1"/>
  <c r="H57" i="51"/>
  <c r="H52"/>
  <c r="CF55" i="1"/>
  <c r="DO55" s="1"/>
  <c r="EK52"/>
  <c r="FT52" s="1"/>
  <c r="BU52"/>
  <c r="BZ48"/>
  <c r="EP48"/>
  <c r="FY48" s="1"/>
  <c r="ES44"/>
  <c r="GB44" s="1"/>
  <c r="CO44"/>
  <c r="DX44" s="1"/>
  <c r="Q41" i="51"/>
  <c r="CC44" i="1"/>
  <c r="M47" i="51"/>
  <c r="CK50" i="1"/>
  <c r="DT50" s="1"/>
  <c r="CH42"/>
  <c r="DQ42" s="1"/>
  <c r="J39" i="51"/>
  <c r="ES37" i="1"/>
  <c r="GB37" s="1"/>
  <c r="CC37"/>
  <c r="CO37"/>
  <c r="DX37" s="1"/>
  <c r="Q34" i="51"/>
  <c r="BZ32" i="1"/>
  <c r="EP32"/>
  <c r="FY32" s="1"/>
  <c r="EP37"/>
  <c r="FY37" s="1"/>
  <c r="BZ37"/>
  <c r="N31" i="51"/>
  <c r="CL34" i="1"/>
  <c r="DU34" s="1"/>
  <c r="J27" i="51"/>
  <c r="BY24" i="1"/>
  <c r="EO24"/>
  <c r="FX24" s="1"/>
  <c r="O23" i="51"/>
  <c r="CM26" i="1"/>
  <c r="DV26" s="1"/>
  <c r="P18" i="51"/>
  <c r="J19"/>
  <c r="CH22" i="1"/>
  <c r="DQ22" s="1"/>
  <c r="N14" i="51"/>
  <c r="CL17" i="1"/>
  <c r="DU17" s="1"/>
  <c r="N12" i="51"/>
  <c r="CL15" i="1"/>
  <c r="DU15" s="1"/>
  <c r="CA46"/>
  <c r="EQ46"/>
  <c r="FZ46" s="1"/>
  <c r="BZ55"/>
  <c r="EP55"/>
  <c r="FY55" s="1"/>
  <c r="EL75"/>
  <c r="FU75" s="1"/>
  <c r="BV75"/>
  <c r="EN64"/>
  <c r="FW64" s="1"/>
  <c r="BX64"/>
  <c r="EI67"/>
  <c r="FR67" s="1"/>
  <c r="BS67"/>
  <c r="EO74"/>
  <c r="FX74" s="1"/>
  <c r="BY74"/>
  <c r="EO38"/>
  <c r="FX38" s="1"/>
  <c r="BY38"/>
  <c r="BT26"/>
  <c r="EJ17"/>
  <c r="FS17" s="1"/>
  <c r="BT17"/>
  <c r="EM40"/>
  <c r="FV40" s="1"/>
  <c r="BW40"/>
  <c r="EQ27"/>
  <c r="FZ27" s="1"/>
  <c r="CA27"/>
  <c r="EQ18"/>
  <c r="FZ18" s="1"/>
  <c r="CA18"/>
  <c r="EI40"/>
  <c r="BS40"/>
  <c r="M71" i="51"/>
  <c r="CK74" i="1"/>
  <c r="DT74" s="1"/>
  <c r="CM68"/>
  <c r="DV68" s="1"/>
  <c r="O65" i="51"/>
  <c r="Q59"/>
  <c r="ES62" i="1"/>
  <c r="GB62" s="1"/>
  <c r="CC62"/>
  <c r="CO62"/>
  <c r="DX62" s="1"/>
  <c r="Q55" i="51"/>
  <c r="ES58" i="1"/>
  <c r="GB58" s="1"/>
  <c r="CO58"/>
  <c r="DX58" s="1"/>
  <c r="CC58"/>
  <c r="CF56"/>
  <c r="DO56" s="1"/>
  <c r="H53" i="51"/>
  <c r="M8"/>
  <c r="CK11" i="1"/>
  <c r="DT11" s="1"/>
  <c r="I68" i="51"/>
  <c r="CG71" i="1"/>
  <c r="DP71" s="1"/>
  <c r="CI65"/>
  <c r="DR65" s="1"/>
  <c r="K62" i="51"/>
  <c r="N57"/>
  <c r="CL60" i="1"/>
  <c r="DU60" s="1"/>
  <c r="CL55"/>
  <c r="DU55" s="1"/>
  <c r="N52" i="51"/>
  <c r="BZ52" i="1"/>
  <c r="EP52"/>
  <c r="FY52" s="1"/>
  <c r="CJ49"/>
  <c r="DS49" s="1"/>
  <c r="L46" i="51"/>
  <c r="BX44" i="1"/>
  <c r="EK50"/>
  <c r="FT50" s="1"/>
  <c r="BU50"/>
  <c r="CL45"/>
  <c r="DU45" s="1"/>
  <c r="N42" i="51"/>
  <c r="N38"/>
  <c r="CL41" i="1"/>
  <c r="DU41" s="1"/>
  <c r="CM32"/>
  <c r="DV32" s="1"/>
  <c r="O29" i="51"/>
  <c r="CM37" i="1"/>
  <c r="DV37" s="1"/>
  <c r="O34" i="51"/>
  <c r="H31"/>
  <c r="CL29" i="1"/>
  <c r="DU29" s="1"/>
  <c r="N26" i="51"/>
  <c r="CO24" i="1"/>
  <c r="DX24" s="1"/>
  <c r="CC24"/>
  <c r="Q21" i="51"/>
  <c r="ES24" i="1"/>
  <c r="GB24" s="1"/>
  <c r="J23" i="51"/>
  <c r="ER20" i="1"/>
  <c r="GA20" s="1"/>
  <c r="P17" i="51"/>
  <c r="N18"/>
  <c r="CL21" i="1"/>
  <c r="DU21" s="1"/>
  <c r="CF17"/>
  <c r="DO17" s="1"/>
  <c r="H14" i="51"/>
  <c r="CF15" i="1"/>
  <c r="DO15" s="1"/>
  <c r="H12" i="51"/>
  <c r="BT45" i="1"/>
  <c r="CA51"/>
  <c r="EQ51"/>
  <c r="FZ51" s="1"/>
  <c r="EM59"/>
  <c r="FV59" s="1"/>
  <c r="BW59"/>
  <c r="EK45"/>
  <c r="FT45" s="1"/>
  <c r="BU45"/>
  <c r="CA47"/>
  <c r="EQ47"/>
  <c r="FZ47" s="1"/>
  <c r="EO55"/>
  <c r="FX55" s="1"/>
  <c r="BY55"/>
  <c r="BX69"/>
  <c r="EN69"/>
  <c r="FW69" s="1"/>
  <c r="BX73"/>
  <c r="EN73"/>
  <c r="FW73" s="1"/>
  <c r="BV61"/>
  <c r="EL61"/>
  <c r="FU61" s="1"/>
  <c r="BX63"/>
  <c r="EN63"/>
  <c r="FW63" s="1"/>
  <c r="BZ65"/>
  <c r="EP65"/>
  <c r="FY65" s="1"/>
  <c r="BS66"/>
  <c r="EI66"/>
  <c r="FR66" s="1"/>
  <c r="EO69"/>
  <c r="FX69" s="1"/>
  <c r="BY69"/>
  <c r="EM72"/>
  <c r="FV72" s="1"/>
  <c r="BW72"/>
  <c r="EK75"/>
  <c r="FT75" s="1"/>
  <c r="BU75"/>
  <c r="BZ39"/>
  <c r="EP39"/>
  <c r="FY39" s="1"/>
  <c r="BV33"/>
  <c r="BV27"/>
  <c r="EL22"/>
  <c r="FU22" s="1"/>
  <c r="BV22"/>
  <c r="BV18"/>
  <c r="EL14"/>
  <c r="FU14" s="1"/>
  <c r="BV14"/>
  <c r="BX41"/>
  <c r="BU38"/>
  <c r="EK30"/>
  <c r="FT30" s="1"/>
  <c r="BU30"/>
  <c r="BU25"/>
  <c r="EK20"/>
  <c r="FT20" s="1"/>
  <c r="BU20"/>
  <c r="EK16"/>
  <c r="FT16" s="1"/>
  <c r="BU16"/>
  <c r="BV12"/>
  <c r="EI23"/>
  <c r="BS23"/>
  <c r="J72" i="51"/>
  <c r="CH75" i="1"/>
  <c r="DQ75" s="1"/>
  <c r="CK72"/>
  <c r="DT72" s="1"/>
  <c r="M69" i="51"/>
  <c r="L66"/>
  <c r="CJ69" i="1"/>
  <c r="DS69" s="1"/>
  <c r="CM66"/>
  <c r="DV66" s="1"/>
  <c r="O63" i="51"/>
  <c r="N60"/>
  <c r="CL63" i="1"/>
  <c r="DU63" s="1"/>
  <c r="EO60"/>
  <c r="FX60" s="1"/>
  <c r="BY60"/>
  <c r="BZ58"/>
  <c r="EP58"/>
  <c r="FY58" s="1"/>
  <c r="CA57"/>
  <c r="EQ57"/>
  <c r="FZ57" s="1"/>
  <c r="CM56"/>
  <c r="DV56" s="1"/>
  <c r="O53" i="51"/>
  <c r="I51"/>
  <c r="CG54" i="1"/>
  <c r="DP54" s="1"/>
  <c r="N48" i="51"/>
  <c r="CL51" i="1"/>
  <c r="DU51" s="1"/>
  <c r="CN74"/>
  <c r="DW74" s="1"/>
  <c r="ER74"/>
  <c r="GA74" s="1"/>
  <c r="P71" i="51"/>
  <c r="CB74" i="1"/>
  <c r="G69" i="51"/>
  <c r="CE72" i="1"/>
  <c r="CG69"/>
  <c r="DP69" s="1"/>
  <c r="I66" i="51"/>
  <c r="H63"/>
  <c r="CF66" i="1"/>
  <c r="DO66" s="1"/>
  <c r="CI63"/>
  <c r="DR63" s="1"/>
  <c r="K60" i="51"/>
  <c r="EI58" i="1"/>
  <c r="FR58" s="1"/>
  <c r="BS58"/>
  <c r="CN56"/>
  <c r="DW56" s="1"/>
  <c r="CB56"/>
  <c r="ER56"/>
  <c r="GA56" s="1"/>
  <c r="P53" i="51"/>
  <c r="ES54" i="1"/>
  <c r="GB54" s="1"/>
  <c r="CO54"/>
  <c r="DX54" s="1"/>
  <c r="CC54"/>
  <c r="Q51" i="51"/>
  <c r="CK53" i="1"/>
  <c r="DT53" s="1"/>
  <c r="M50" i="51"/>
  <c r="H49"/>
  <c r="CF52" i="1"/>
  <c r="DO52" s="1"/>
  <c r="CG50"/>
  <c r="DP50" s="1"/>
  <c r="I47" i="51"/>
  <c r="N45"/>
  <c r="CL48" i="1"/>
  <c r="DU48" s="1"/>
  <c r="CE46"/>
  <c r="G43" i="51"/>
  <c r="EK43" i="1"/>
  <c r="FT43" s="1"/>
  <c r="BU43"/>
  <c r="G48" i="51"/>
  <c r="CE51" i="1"/>
  <c r="I46" i="51"/>
  <c r="CG49" i="1"/>
  <c r="DP49" s="1"/>
  <c r="P43" i="51"/>
  <c r="CB46" i="1"/>
  <c r="ER46"/>
  <c r="GA46" s="1"/>
  <c r="CN46"/>
  <c r="DW46" s="1"/>
  <c r="EJ44"/>
  <c r="FS44" s="1"/>
  <c r="BT44"/>
  <c r="CK43"/>
  <c r="DT43" s="1"/>
  <c r="M40" i="51"/>
  <c r="CL40" i="1"/>
  <c r="DU40" s="1"/>
  <c r="N37" i="51"/>
  <c r="CJ38" i="1"/>
  <c r="DS38" s="1"/>
  <c r="L35" i="51"/>
  <c r="I33"/>
  <c r="CG36" i="1"/>
  <c r="DP36" s="1"/>
  <c r="BS34"/>
  <c r="EI34"/>
  <c r="CJ32"/>
  <c r="DS32" s="1"/>
  <c r="L29" i="51"/>
  <c r="CG40" i="1"/>
  <c r="DP40" s="1"/>
  <c r="ES35"/>
  <c r="GB35" s="1"/>
  <c r="CL33"/>
  <c r="DU33" s="1"/>
  <c r="N30" i="51"/>
  <c r="P28"/>
  <c r="CM25" i="1"/>
  <c r="DV25" s="1"/>
  <c r="O22" i="51"/>
  <c r="CC19" i="1"/>
  <c r="ES19"/>
  <c r="GB19" s="1"/>
  <c r="CK23"/>
  <c r="DT23" s="1"/>
  <c r="M20" i="51"/>
  <c r="G16"/>
  <c r="N11"/>
  <c r="CL14" i="1"/>
  <c r="DU14" s="1"/>
  <c r="G9" i="51"/>
  <c r="EP59" i="1"/>
  <c r="FY59" s="1"/>
  <c r="BZ59"/>
  <c r="BX45"/>
  <c r="EN45"/>
  <c r="FW45" s="1"/>
  <c r="EI55"/>
  <c r="FR55" s="1"/>
  <c r="BS55"/>
  <c r="EJ71"/>
  <c r="FS71" s="1"/>
  <c r="BT71"/>
  <c r="EJ75"/>
  <c r="FS75" s="1"/>
  <c r="BT75"/>
  <c r="EK62"/>
  <c r="FT62" s="1"/>
  <c r="BU62"/>
  <c r="EM64"/>
  <c r="FV64" s="1"/>
  <c r="BW64"/>
  <c r="BY66"/>
  <c r="EO66"/>
  <c r="FX66" s="1"/>
  <c r="CA68"/>
  <c r="EQ68"/>
  <c r="FZ68" s="1"/>
  <c r="BY71"/>
  <c r="EO71"/>
  <c r="FX71" s="1"/>
  <c r="EM74"/>
  <c r="FV74" s="1"/>
  <c r="BW74"/>
  <c r="CA41"/>
  <c r="EQ41"/>
  <c r="FZ41" s="1"/>
  <c r="BZ36"/>
  <c r="EP36"/>
  <c r="FY36" s="1"/>
  <c r="BZ29"/>
  <c r="EP29"/>
  <c r="FY29" s="1"/>
  <c r="BZ23"/>
  <c r="EP23"/>
  <c r="FY23" s="1"/>
  <c r="BZ19"/>
  <c r="EP19"/>
  <c r="FY19" s="1"/>
  <c r="BZ15"/>
  <c r="EP15"/>
  <c r="FY15" s="1"/>
  <c r="EK12"/>
  <c r="FT12" s="1"/>
  <c r="BU12"/>
  <c r="BT11"/>
  <c r="BU39"/>
  <c r="EK39"/>
  <c r="FT39" s="1"/>
  <c r="BY31"/>
  <c r="EO31"/>
  <c r="FX31" s="1"/>
  <c r="BY26"/>
  <c r="EO26"/>
  <c r="FX26" s="1"/>
  <c r="BY21"/>
  <c r="EO21"/>
  <c r="FX21" s="1"/>
  <c r="BY17"/>
  <c r="EO17"/>
  <c r="FX17" s="1"/>
  <c r="BY13"/>
  <c r="EO13"/>
  <c r="FX13" s="1"/>
  <c r="BS31"/>
  <c r="BS13"/>
  <c r="EI13"/>
  <c r="CJ73"/>
  <c r="DS73" s="1"/>
  <c r="L70" i="51"/>
  <c r="O67"/>
  <c r="CM70" i="1"/>
  <c r="DV70" s="1"/>
  <c r="CL67"/>
  <c r="DU67" s="1"/>
  <c r="N64" i="51"/>
  <c r="Q61"/>
  <c r="CC64" i="1"/>
  <c r="CO64"/>
  <c r="DX64" s="1"/>
  <c r="ES64"/>
  <c r="GB64" s="1"/>
  <c r="CN61"/>
  <c r="DW61" s="1"/>
  <c r="ER61"/>
  <c r="GA61" s="1"/>
  <c r="CB61"/>
  <c r="P58" i="51"/>
  <c r="N56"/>
  <c r="CL59" i="1"/>
  <c r="DU59" s="1"/>
  <c r="J55" i="51"/>
  <c r="CH58" i="1"/>
  <c r="DQ58" s="1"/>
  <c r="EP56"/>
  <c r="FY56" s="1"/>
  <c r="BZ56"/>
  <c r="BY54"/>
  <c r="EO54"/>
  <c r="FX54" s="1"/>
  <c r="BS52"/>
  <c r="EI52"/>
  <c r="FR52" s="1"/>
  <c r="I70" i="51"/>
  <c r="CG73" i="1"/>
  <c r="DP73" s="1"/>
  <c r="CF70"/>
  <c r="DO70" s="1"/>
  <c r="H67" i="51"/>
  <c r="K64"/>
  <c r="CI67" i="1"/>
  <c r="DR67" s="1"/>
  <c r="CH64"/>
  <c r="DQ64" s="1"/>
  <c r="J61" i="51"/>
  <c r="M58"/>
  <c r="CK61" i="1"/>
  <c r="DT61" s="1"/>
  <c r="G57" i="51"/>
  <c r="CE60" i="1"/>
  <c r="CI57"/>
  <c r="DR57" s="1"/>
  <c r="K54" i="51"/>
  <c r="CE55" i="1"/>
  <c r="G52" i="51"/>
  <c r="EJ53" i="1"/>
  <c r="FS53" s="1"/>
  <c r="BT53"/>
  <c r="Q49" i="51"/>
  <c r="ES52" i="1"/>
  <c r="GB52" s="1"/>
  <c r="CC52"/>
  <c r="CO52"/>
  <c r="DX52" s="1"/>
  <c r="EO50"/>
  <c r="FX50" s="1"/>
  <c r="BY50"/>
  <c r="EM48"/>
  <c r="FV48" s="1"/>
  <c r="BW48"/>
  <c r="CM46"/>
  <c r="DV46" s="1"/>
  <c r="O43" i="51"/>
  <c r="CN44" i="1"/>
  <c r="DW44" s="1"/>
  <c r="CB44"/>
  <c r="ER44"/>
  <c r="GA44" s="1"/>
  <c r="P41" i="51"/>
  <c r="L47"/>
  <c r="CJ50" i="1"/>
  <c r="DS50" s="1"/>
  <c r="CL47"/>
  <c r="DU47" s="1"/>
  <c r="N44" i="51"/>
  <c r="G42"/>
  <c r="CE45" i="1"/>
  <c r="CM43"/>
  <c r="DV43" s="1"/>
  <c r="O40" i="51"/>
  <c r="G38"/>
  <c r="CE41" i="1"/>
  <c r="CL38"/>
  <c r="DU38" s="1"/>
  <c r="N35" i="51"/>
  <c r="CN36" i="1"/>
  <c r="DW36" s="1"/>
  <c r="CB36"/>
  <c r="ER36"/>
  <c r="GA36" s="1"/>
  <c r="P33" i="51"/>
  <c r="BW34" i="1"/>
  <c r="CL32"/>
  <c r="DU32" s="1"/>
  <c r="N29" i="51"/>
  <c r="CN40" i="1"/>
  <c r="DW40" s="1"/>
  <c r="CB40"/>
  <c r="ER40"/>
  <c r="GA40" s="1"/>
  <c r="P37" i="51"/>
  <c r="N34"/>
  <c r="CL37" i="1"/>
  <c r="DU37" s="1"/>
  <c r="EK35"/>
  <c r="FT35" s="1"/>
  <c r="BU35"/>
  <c r="G31" i="51"/>
  <c r="CE34" i="1"/>
  <c r="CG32"/>
  <c r="DP32" s="1"/>
  <c r="I29" i="51"/>
  <c r="CK29" i="1"/>
  <c r="DT29" s="1"/>
  <c r="M26" i="51"/>
  <c r="H23"/>
  <c r="CJ24" i="1"/>
  <c r="DS24" s="1"/>
  <c r="L21" i="51"/>
  <c r="CM23" i="1"/>
  <c r="DV23" s="1"/>
  <c r="O20" i="51"/>
  <c r="CK21" i="1"/>
  <c r="DT21" s="1"/>
  <c r="M18" i="51"/>
  <c r="J16"/>
  <c r="CH19" i="1"/>
  <c r="DQ19" s="1"/>
  <c r="ES16"/>
  <c r="GB16" s="1"/>
  <c r="CO16"/>
  <c r="DX16" s="1"/>
  <c r="Q13" i="51"/>
  <c r="CC16" i="1"/>
  <c r="ES12"/>
  <c r="GB12" s="1"/>
  <c r="CC12"/>
  <c r="Q9" i="51"/>
  <c r="K9"/>
  <c r="CI12" i="1"/>
  <c r="DR12" s="1"/>
  <c r="F82" i="43"/>
  <c r="F80"/>
  <c r="F79"/>
  <c r="F81"/>
  <c r="F83"/>
  <c r="F78"/>
  <c r="ET12" i="1"/>
  <c r="BA12" s="1"/>
  <c r="BD12" s="1"/>
  <c r="ET24"/>
  <c r="BA24" s="1"/>
  <c r="BD24" s="1"/>
  <c r="ET31"/>
  <c r="BA31" s="1"/>
  <c r="BD31" s="1"/>
  <c r="ET37"/>
  <c r="BA37" s="1"/>
  <c r="BD37" s="1"/>
  <c r="ET48"/>
  <c r="BA48" s="1"/>
  <c r="BD48" s="1"/>
  <c r="ET18"/>
  <c r="BA18" s="1"/>
  <c r="BD18" s="1"/>
  <c r="ET36"/>
  <c r="BA36" s="1"/>
  <c r="BD36" s="1"/>
  <c r="ET38"/>
  <c r="BA38" s="1"/>
  <c r="BD38" s="1"/>
  <c r="ET47"/>
  <c r="BA47" s="1"/>
  <c r="BD47" s="1"/>
  <c r="ET64"/>
  <c r="BA64" s="1"/>
  <c r="BD64" s="1"/>
  <c r="ET72"/>
  <c r="BA72" s="1"/>
  <c r="BD72" s="1"/>
  <c r="ET15"/>
  <c r="BA15" s="1"/>
  <c r="BD15" s="1"/>
  <c r="ET23"/>
  <c r="BA23" s="1"/>
  <c r="BD23" s="1"/>
  <c r="ET29"/>
  <c r="BA29" s="1"/>
  <c r="BD29" s="1"/>
  <c r="ET33"/>
  <c r="BA33" s="1"/>
  <c r="BD33" s="1"/>
  <c r="ET57"/>
  <c r="BA57" s="1"/>
  <c r="BD57" s="1"/>
  <c r="ET61"/>
  <c r="BA61" s="1"/>
  <c r="BD61" s="1"/>
  <c r="ET69"/>
  <c r="BA69" s="1"/>
  <c r="BD69" s="1"/>
  <c r="BV46"/>
  <c r="EL46"/>
  <c r="FU46" s="1"/>
  <c r="BZ45"/>
  <c r="EP45"/>
  <c r="FY45" s="1"/>
  <c r="BZ49"/>
  <c r="EP49"/>
  <c r="FY49" s="1"/>
  <c r="BX71"/>
  <c r="EN71"/>
  <c r="FW71" s="1"/>
  <c r="BX75"/>
  <c r="EN75"/>
  <c r="FW75" s="1"/>
  <c r="BW62"/>
  <c r="EM62"/>
  <c r="FV62" s="1"/>
  <c r="BY64"/>
  <c r="EO64"/>
  <c r="FX64" s="1"/>
  <c r="CA66"/>
  <c r="EQ66"/>
  <c r="FZ66" s="1"/>
  <c r="EJ67"/>
  <c r="FS67" s="1"/>
  <c r="BT67"/>
  <c r="EI70"/>
  <c r="FR70" s="1"/>
  <c r="BS70"/>
  <c r="EQ74"/>
  <c r="FZ74" s="1"/>
  <c r="CA74"/>
  <c r="EM42"/>
  <c r="FV42" s="1"/>
  <c r="BW42"/>
  <c r="EL38"/>
  <c r="FU38" s="1"/>
  <c r="BV38"/>
  <c r="BV30"/>
  <c r="EL25"/>
  <c r="FU25" s="1"/>
  <c r="BV25"/>
  <c r="EL20"/>
  <c r="FU20" s="1"/>
  <c r="BV20"/>
  <c r="BV16"/>
  <c r="BX11"/>
  <c r="EN11"/>
  <c r="FW11" s="1"/>
  <c r="BY39"/>
  <c r="EO39"/>
  <c r="FX39" s="1"/>
  <c r="BU33"/>
  <c r="EK27"/>
  <c r="FT27" s="1"/>
  <c r="BU27"/>
  <c r="BU22"/>
  <c r="EK18"/>
  <c r="FT18" s="1"/>
  <c r="BU18"/>
  <c r="EK14"/>
  <c r="FT14" s="1"/>
  <c r="BU14"/>
  <c r="EI36"/>
  <c r="BS36"/>
  <c r="BS15"/>
  <c r="P70" i="51"/>
  <c r="CB73" i="1"/>
  <c r="CN73"/>
  <c r="DW73" s="1"/>
  <c r="ER73"/>
  <c r="GA73" s="1"/>
  <c r="G68" i="51"/>
  <c r="CE71" i="1"/>
  <c r="CG68"/>
  <c r="DP68" s="1"/>
  <c r="I65" i="51"/>
  <c r="H62"/>
  <c r="CF65" i="1"/>
  <c r="DO65" s="1"/>
  <c r="CI62"/>
  <c r="DR62" s="1"/>
  <c r="K59" i="51"/>
  <c r="Q56"/>
  <c r="CO59" i="1"/>
  <c r="DX59" s="1"/>
  <c r="CC59"/>
  <c r="ES59"/>
  <c r="GB59" s="1"/>
  <c r="M55" i="51"/>
  <c r="CK58" i="1"/>
  <c r="DT58" s="1"/>
  <c r="CF57"/>
  <c r="DO57" s="1"/>
  <c r="H54" i="51"/>
  <c r="CI55" i="1"/>
  <c r="DR55" s="1"/>
  <c r="K52" i="51"/>
  <c r="BY52" i="1"/>
  <c r="EO52"/>
  <c r="FX52" s="1"/>
  <c r="M70" i="51"/>
  <c r="CK73" i="1"/>
  <c r="DT73" s="1"/>
  <c r="CJ70"/>
  <c r="DS70" s="1"/>
  <c r="L67" i="51"/>
  <c r="O64"/>
  <c r="CM67" i="1"/>
  <c r="DV67" s="1"/>
  <c r="N61" i="51"/>
  <c r="CL64" i="1"/>
  <c r="DU64" s="1"/>
  <c r="ES61"/>
  <c r="GB61" s="1"/>
  <c r="CC61"/>
  <c r="Q58" i="51"/>
  <c r="CO61" i="1"/>
  <c r="DX61" s="1"/>
  <c r="J57" i="51"/>
  <c r="CH60" i="1"/>
  <c r="DQ60" s="1"/>
  <c r="EL57"/>
  <c r="FU57" s="1"/>
  <c r="BV57"/>
  <c r="J52" i="51"/>
  <c r="CH55" i="1"/>
  <c r="DQ55" s="1"/>
  <c r="EP53"/>
  <c r="FY53" s="1"/>
  <c r="BZ53"/>
  <c r="EQ52"/>
  <c r="FZ52" s="1"/>
  <c r="CA52"/>
  <c r="K48" i="51"/>
  <c r="CI51" i="1"/>
  <c r="DR51" s="1"/>
  <c r="G46" i="51"/>
  <c r="CE49" i="1"/>
  <c r="I44" i="51"/>
  <c r="CG47" i="1"/>
  <c r="DP47" s="1"/>
  <c r="EI44"/>
  <c r="BS44"/>
  <c r="K39" i="51"/>
  <c r="CI42" i="1"/>
  <c r="DR42" s="1"/>
  <c r="N47" i="51"/>
  <c r="CL50" i="1"/>
  <c r="DU50" s="1"/>
  <c r="ES47"/>
  <c r="GB47" s="1"/>
  <c r="CO47"/>
  <c r="DX47" s="1"/>
  <c r="CC47"/>
  <c r="Q44" i="51"/>
  <c r="CH45" i="1"/>
  <c r="DQ45" s="1"/>
  <c r="EQ43"/>
  <c r="FZ43" s="1"/>
  <c r="CA43"/>
  <c r="L39" i="51"/>
  <c r="CJ42" i="1"/>
  <c r="DS42" s="1"/>
  <c r="CK39"/>
  <c r="DT39" s="1"/>
  <c r="M36" i="51"/>
  <c r="BS37" i="1"/>
  <c r="L32" i="51"/>
  <c r="CJ35" i="1"/>
  <c r="DS35" s="1"/>
  <c r="CH36"/>
  <c r="DQ36" s="1"/>
  <c r="J33" i="51"/>
  <c r="O31"/>
  <c r="CM34" i="1"/>
  <c r="DV34" s="1"/>
  <c r="BW32"/>
  <c r="CC28"/>
  <c r="EQ24"/>
  <c r="FZ24" s="1"/>
  <c r="CA24"/>
  <c r="BX28"/>
  <c r="CE27"/>
  <c r="G24" i="51"/>
  <c r="BX24" i="1"/>
  <c r="EN24"/>
  <c r="FW24" s="1"/>
  <c r="Q14" i="51"/>
  <c r="CM17" i="1"/>
  <c r="DV17" s="1"/>
  <c r="O14" i="51"/>
  <c r="K11"/>
  <c r="CI14" i="1"/>
  <c r="DR14" s="1"/>
  <c r="O12" i="51"/>
  <c r="CM15" i="1"/>
  <c r="DV15" s="1"/>
  <c r="M10" i="51"/>
  <c r="CK13" i="1"/>
  <c r="DT13" s="1"/>
  <c r="EK46"/>
  <c r="FT46" s="1"/>
  <c r="BU46"/>
  <c r="EM51"/>
  <c r="FV51" s="1"/>
  <c r="BW51"/>
  <c r="EI59"/>
  <c r="FR59" s="1"/>
  <c r="BS59"/>
  <c r="BT49"/>
  <c r="EJ49"/>
  <c r="FS49" s="1"/>
  <c r="EQ55"/>
  <c r="FZ55" s="1"/>
  <c r="CA55"/>
  <c r="EJ69"/>
  <c r="FS69" s="1"/>
  <c r="BT69"/>
  <c r="EJ73"/>
  <c r="FS73" s="1"/>
  <c r="BT73"/>
  <c r="EJ61"/>
  <c r="FS61" s="1"/>
  <c r="BT61"/>
  <c r="EL63"/>
  <c r="FU63" s="1"/>
  <c r="BV63"/>
  <c r="BX65"/>
  <c r="EN65"/>
  <c r="FW65" s="1"/>
  <c r="BZ67"/>
  <c r="EP67"/>
  <c r="FY67" s="1"/>
  <c r="EK69"/>
  <c r="FT69" s="1"/>
  <c r="BU69"/>
  <c r="EI72"/>
  <c r="FR72" s="1"/>
  <c r="BS72"/>
  <c r="CA11"/>
  <c r="EQ11"/>
  <c r="FZ11" s="1"/>
  <c r="BV40"/>
  <c r="EL40"/>
  <c r="FU40" s="1"/>
  <c r="BZ31"/>
  <c r="EP31"/>
  <c r="FY31" s="1"/>
  <c r="BZ26"/>
  <c r="EP26"/>
  <c r="FY26" s="1"/>
  <c r="BZ21"/>
  <c r="EP21"/>
  <c r="FY21" s="1"/>
  <c r="BZ17"/>
  <c r="EP17"/>
  <c r="FY17" s="1"/>
  <c r="BZ13"/>
  <c r="EP13"/>
  <c r="FY13" s="1"/>
  <c r="BT41"/>
  <c r="EJ41"/>
  <c r="FS41" s="1"/>
  <c r="BY36"/>
  <c r="EO36"/>
  <c r="FX36" s="1"/>
  <c r="BY29"/>
  <c r="EO29"/>
  <c r="FX29" s="1"/>
  <c r="BY23"/>
  <c r="EO23"/>
  <c r="FX23" s="1"/>
  <c r="BY19"/>
  <c r="EO19"/>
  <c r="FX19" s="1"/>
  <c r="BY15"/>
  <c r="EO15"/>
  <c r="FX15" s="1"/>
  <c r="BS11"/>
  <c r="BS21"/>
  <c r="EI21"/>
  <c r="CE75"/>
  <c r="G72" i="51"/>
  <c r="I69"/>
  <c r="CG72" i="1"/>
  <c r="DP72" s="1"/>
  <c r="CF69"/>
  <c r="DO69" s="1"/>
  <c r="H66" i="51"/>
  <c r="K63"/>
  <c r="CI66" i="1"/>
  <c r="DR66" s="1"/>
  <c r="CH63"/>
  <c r="DQ63" s="1"/>
  <c r="J60" i="51"/>
  <c r="BT60" i="1"/>
  <c r="EJ60"/>
  <c r="FS60" s="1"/>
  <c r="BT58"/>
  <c r="EJ58"/>
  <c r="FS58" s="1"/>
  <c r="CO57"/>
  <c r="DX57" s="1"/>
  <c r="CC57"/>
  <c r="Q54" i="51"/>
  <c r="ES57" i="1"/>
  <c r="GB57" s="1"/>
  <c r="CK56"/>
  <c r="DT56" s="1"/>
  <c r="M53" i="51"/>
  <c r="BX53" i="1"/>
  <c r="EN53"/>
  <c r="FW53" s="1"/>
  <c r="L71" i="51"/>
  <c r="CJ74" i="1"/>
  <c r="DS74" s="1"/>
  <c r="CM71"/>
  <c r="DV71" s="1"/>
  <c r="O68" i="51"/>
  <c r="N65"/>
  <c r="CL68" i="1"/>
  <c r="DU68" s="1"/>
  <c r="Q62" i="51"/>
  <c r="CO65" i="1"/>
  <c r="DX65" s="1"/>
  <c r="ES65"/>
  <c r="GB65" s="1"/>
  <c r="CC65"/>
  <c r="CN62"/>
  <c r="DW62" s="1"/>
  <c r="P59" i="51"/>
  <c r="ER62" i="1"/>
  <c r="GA62" s="1"/>
  <c r="CB62"/>
  <c r="BV60"/>
  <c r="EL60"/>
  <c r="FU60" s="1"/>
  <c r="CN58"/>
  <c r="DW58" s="1"/>
  <c r="CB58"/>
  <c r="ER58"/>
  <c r="GA58" s="1"/>
  <c r="P55" i="51"/>
  <c r="I53"/>
  <c r="CG56" i="1"/>
  <c r="DP56" s="1"/>
  <c r="CL54"/>
  <c r="DU54" s="1"/>
  <c r="N51" i="51"/>
  <c r="CH53" i="1"/>
  <c r="DQ53" s="1"/>
  <c r="J50" i="51"/>
  <c r="M48"/>
  <c r="CK51" i="1"/>
  <c r="DT51" s="1"/>
  <c r="CM49"/>
  <c r="DV49" s="1"/>
  <c r="O46" i="51"/>
  <c r="L45"/>
  <c r="CJ48" i="1"/>
  <c r="DS48" s="1"/>
  <c r="Q40" i="51"/>
  <c r="ES43" i="1"/>
  <c r="GB43" s="1"/>
  <c r="CC43"/>
  <c r="CO43"/>
  <c r="DX43" s="1"/>
  <c r="BW50"/>
  <c r="EM50"/>
  <c r="FV50" s="1"/>
  <c r="BX48"/>
  <c r="EN48"/>
  <c r="FW48" s="1"/>
  <c r="CG46"/>
  <c r="DP46" s="1"/>
  <c r="I43" i="51"/>
  <c r="N41"/>
  <c r="CL44" i="1"/>
  <c r="DU44" s="1"/>
  <c r="N39" i="51"/>
  <c r="CL42" i="1"/>
  <c r="DU42" s="1"/>
  <c r="O36" i="51"/>
  <c r="CM39" i="1"/>
  <c r="DV39" s="1"/>
  <c r="EM37"/>
  <c r="FV37" s="1"/>
  <c r="BW37"/>
  <c r="N32" i="51"/>
  <c r="CL35" i="1"/>
  <c r="DU35" s="1"/>
  <c r="P30" i="51"/>
  <c r="CK31" i="1"/>
  <c r="DT31" s="1"/>
  <c r="M28" i="51"/>
  <c r="CK36" i="1"/>
  <c r="DT36" s="1"/>
  <c r="M33" i="51"/>
  <c r="EL34" i="1"/>
  <c r="FU34" s="1"/>
  <c r="BV34"/>
  <c r="CA32"/>
  <c r="EQ32"/>
  <c r="FZ32" s="1"/>
  <c r="N27" i="51"/>
  <c r="CL30" i="1"/>
  <c r="DU30" s="1"/>
  <c r="BU28"/>
  <c r="CI25"/>
  <c r="DR25" s="1"/>
  <c r="I26" i="51"/>
  <c r="CG29" i="1"/>
  <c r="DP29" s="1"/>
  <c r="J24" i="51"/>
  <c r="CH27" i="1"/>
  <c r="DQ27" s="1"/>
  <c r="K19" i="51"/>
  <c r="CI22" i="1"/>
  <c r="DR22" s="1"/>
  <c r="CL22"/>
  <c r="DU22" s="1"/>
  <c r="N19" i="51"/>
  <c r="L17"/>
  <c r="CO14" i="1"/>
  <c r="DX14" s="1"/>
  <c r="CC14"/>
  <c r="Q11" i="51"/>
  <c r="ES14" i="1"/>
  <c r="GB14" s="1"/>
  <c r="CF16"/>
  <c r="DO16" s="1"/>
  <c r="H13" i="51"/>
  <c r="O10"/>
  <c r="CM13" i="1"/>
  <c r="DV13" s="1"/>
  <c r="F82" i="42"/>
  <c r="F83"/>
  <c r="F81"/>
  <c r="F78"/>
  <c r="F80"/>
  <c r="F79"/>
  <c r="F80" i="39"/>
  <c r="ET56" i="1"/>
  <c r="BA56" s="1"/>
  <c r="BD56" s="1"/>
  <c r="ET68"/>
  <c r="BA68" s="1"/>
  <c r="BD68" s="1"/>
  <c r="ET19"/>
  <c r="BA19" s="1"/>
  <c r="BD19" s="1"/>
  <c r="ET25"/>
  <c r="BA25" s="1"/>
  <c r="BD25" s="1"/>
  <c r="ET45"/>
  <c r="BA45" s="1"/>
  <c r="BD45" s="1"/>
  <c r="ET65"/>
  <c r="BA65" s="1"/>
  <c r="BD65" s="1"/>
  <c r="ET73"/>
  <c r="BA73" s="1"/>
  <c r="BD73" s="1"/>
  <c r="GC6"/>
  <c r="CH11" l="1"/>
  <c r="DQ11" s="1"/>
  <c r="H8" i="51"/>
  <c r="CN21" i="1"/>
  <c r="DW21" s="1"/>
  <c r="EI19"/>
  <c r="EJ23"/>
  <c r="FS23" s="1"/>
  <c r="Q42" i="51"/>
  <c r="EJ27" i="1"/>
  <c r="FS27" s="1"/>
  <c r="ER37"/>
  <c r="GA37" s="1"/>
  <c r="EM18"/>
  <c r="FV18" s="1"/>
  <c r="EI32"/>
  <c r="CI18"/>
  <c r="DR18" s="1"/>
  <c r="H17" i="51"/>
  <c r="CG38" i="1"/>
  <c r="DP38" s="1"/>
  <c r="EM34"/>
  <c r="FV34" s="1"/>
  <c r="J18" i="51"/>
  <c r="CG24" i="1"/>
  <c r="DP24" s="1"/>
  <c r="EK38"/>
  <c r="FT38" s="1"/>
  <c r="CB21"/>
  <c r="H37" i="51"/>
  <c r="E37" s="1"/>
  <c r="EJ30" i="1"/>
  <c r="FS30" s="1"/>
  <c r="CF23"/>
  <c r="DO23" s="1"/>
  <c r="ES45"/>
  <c r="GB45" s="1"/>
  <c r="G32" i="51"/>
  <c r="E32" s="1"/>
  <c r="CJ39" i="1"/>
  <c r="DS39" s="1"/>
  <c r="H24" i="51"/>
  <c r="CO27" i="1"/>
  <c r="DX27" s="1"/>
  <c r="I34" i="51"/>
  <c r="Q31"/>
  <c r="EI35" i="1"/>
  <c r="CB42"/>
  <c r="EK24"/>
  <c r="FT24" s="1"/>
  <c r="CC30"/>
  <c r="Q26" i="51"/>
  <c r="ES26" i="1"/>
  <c r="GB26" s="1"/>
  <c r="EK11"/>
  <c r="FT11" s="1"/>
  <c r="EM35"/>
  <c r="FV35" s="1"/>
  <c r="I20" i="51"/>
  <c r="P39"/>
  <c r="CC29" i="1"/>
  <c r="F83" i="41"/>
  <c r="CE25" i="1"/>
  <c r="P35" i="51"/>
  <c r="H25"/>
  <c r="CF45" i="1"/>
  <c r="DO45" s="1"/>
  <c r="CH44"/>
  <c r="DQ44" s="1"/>
  <c r="L14" i="51"/>
  <c r="K35"/>
  <c r="EJ28" i="1"/>
  <c r="FS28" s="1"/>
  <c r="G29" i="51"/>
  <c r="F81" i="39"/>
  <c r="G12" i="51"/>
  <c r="F12" s="1"/>
  <c r="CF26" i="1"/>
  <c r="DO26" s="1"/>
  <c r="EK25"/>
  <c r="FT25" s="1"/>
  <c r="EL33"/>
  <c r="FU33" s="1"/>
  <c r="J25" i="51"/>
  <c r="E25" s="1"/>
  <c r="G20"/>
  <c r="EN36" i="1"/>
  <c r="FW36" s="1"/>
  <c r="H27" i="51"/>
  <c r="E27" s="1"/>
  <c r="L38"/>
  <c r="E38" s="1"/>
  <c r="F83" i="53"/>
  <c r="F80" i="40"/>
  <c r="CO21" i="1"/>
  <c r="DX21" s="1"/>
  <c r="CO28"/>
  <c r="DX28" s="1"/>
  <c r="EL30"/>
  <c r="FU30" s="1"/>
  <c r="ES23"/>
  <c r="GB23" s="1"/>
  <c r="CB31"/>
  <c r="CC35"/>
  <c r="EJ45"/>
  <c r="FS45" s="1"/>
  <c r="EM39"/>
  <c r="FV39" s="1"/>
  <c r="Q28" i="51"/>
  <c r="CE31" i="1"/>
  <c r="DN31" s="1"/>
  <c r="G30" i="51"/>
  <c r="K36"/>
  <c r="E36" s="1"/>
  <c r="EN20" i="1"/>
  <c r="FW20" s="1"/>
  <c r="L9" i="51"/>
  <c r="F9" s="1"/>
  <c r="EN15" i="1"/>
  <c r="FW15" s="1"/>
  <c r="ER32"/>
  <c r="GA32" s="1"/>
  <c r="CB23"/>
  <c r="G21" i="51"/>
  <c r="CG25" i="1"/>
  <c r="DP25" s="1"/>
  <c r="CJ26"/>
  <c r="DS26" s="1"/>
  <c r="CH18"/>
  <c r="DQ18" s="1"/>
  <c r="CO39"/>
  <c r="DX39" s="1"/>
  <c r="P12" i="51"/>
  <c r="CH21" i="1"/>
  <c r="DQ21" s="1"/>
  <c r="CN31"/>
  <c r="DW31" s="1"/>
  <c r="CJ17"/>
  <c r="DS17" s="1"/>
  <c r="CN32"/>
  <c r="DW32" s="1"/>
  <c r="EJ21"/>
  <c r="FS21" s="1"/>
  <c r="CO30"/>
  <c r="DX30" s="1"/>
  <c r="CG21"/>
  <c r="DP21" s="1"/>
  <c r="H78" i="39"/>
  <c r="H81" i="37"/>
  <c r="Q18" i="51"/>
  <c r="EI15" i="1"/>
  <c r="FR15" s="1"/>
  <c r="CB24"/>
  <c r="CO23"/>
  <c r="DX23" s="1"/>
  <c r="EN41"/>
  <c r="FW41" s="1"/>
  <c r="EL18"/>
  <c r="FU18" s="1"/>
  <c r="CC31"/>
  <c r="CJ14"/>
  <c r="DS14" s="1"/>
  <c r="H11" i="51"/>
  <c r="J30"/>
  <c r="CC20" i="1"/>
  <c r="EK21"/>
  <c r="FT21" s="1"/>
  <c r="CC39"/>
  <c r="BR39" s="1"/>
  <c r="H78" i="54"/>
  <c r="F81" i="41"/>
  <c r="L19" i="51"/>
  <c r="E19" s="1"/>
  <c r="EN28" i="1"/>
  <c r="FW28" s="1"/>
  <c r="CJ28"/>
  <c r="DS28" s="1"/>
  <c r="L40" i="51"/>
  <c r="CJ22" i="1"/>
  <c r="DS22" s="1"/>
  <c r="EN30"/>
  <c r="FW30" s="1"/>
  <c r="L16" i="51"/>
  <c r="EN19" i="1"/>
  <c r="FW19" s="1"/>
  <c r="CJ30"/>
  <c r="DS30" s="1"/>
  <c r="L28" i="51"/>
  <c r="H83" i="41"/>
  <c r="EM45" i="1"/>
  <c r="FV45" s="1"/>
  <c r="CI20"/>
  <c r="DR20" s="1"/>
  <c r="K16" i="51"/>
  <c r="EM24" i="1"/>
  <c r="FV24" s="1"/>
  <c r="EM16"/>
  <c r="FV16" s="1"/>
  <c r="H78" i="40"/>
  <c r="K33" i="51"/>
  <c r="E33" s="1"/>
  <c r="K42"/>
  <c r="F42" s="1"/>
  <c r="K24"/>
  <c r="K13"/>
  <c r="EM20" i="1"/>
  <c r="FV20" s="1"/>
  <c r="I30" i="51"/>
  <c r="I25"/>
  <c r="CG17" i="1"/>
  <c r="DP17" s="1"/>
  <c r="H15" i="51"/>
  <c r="F15" s="1"/>
  <c r="CF34" i="1"/>
  <c r="DO34" s="1"/>
  <c r="EJ13"/>
  <c r="FS13" s="1"/>
  <c r="CF13"/>
  <c r="DO13" s="1"/>
  <c r="EJ22"/>
  <c r="FS22" s="1"/>
  <c r="EJ18"/>
  <c r="FS18" s="1"/>
  <c r="CE17"/>
  <c r="EI33"/>
  <c r="FR33" s="1"/>
  <c r="G11" i="51"/>
  <c r="E11" s="1"/>
  <c r="EI20" i="1"/>
  <c r="EI38"/>
  <c r="CE20"/>
  <c r="CD20" s="1"/>
  <c r="G8" i="51"/>
  <c r="F79" i="36"/>
  <c r="F82" i="53"/>
  <c r="P8" i="51"/>
  <c r="P23"/>
  <c r="F23" s="1"/>
  <c r="CN38" i="1"/>
  <c r="DW38" s="1"/>
  <c r="CN33"/>
  <c r="DW33" s="1"/>
  <c r="CB17"/>
  <c r="P20" i="51"/>
  <c r="CN35" i="1"/>
  <c r="DW35" s="1"/>
  <c r="CO36"/>
  <c r="DX36" s="1"/>
  <c r="CC21"/>
  <c r="BR21" s="1"/>
  <c r="CO41"/>
  <c r="DX41" s="1"/>
  <c r="Q23" i="51"/>
  <c r="ES36" i="1"/>
  <c r="GB36" s="1"/>
  <c r="ES31"/>
  <c r="GB31" s="1"/>
  <c r="Q22" i="51"/>
  <c r="F80" i="54"/>
  <c r="CO26" i="1"/>
  <c r="DX26" s="1"/>
  <c r="F83" i="54"/>
  <c r="CO38" i="1"/>
  <c r="DX38" s="1"/>
  <c r="J8" i="51"/>
  <c r="J26"/>
  <c r="E26" s="1"/>
  <c r="J29"/>
  <c r="CH13" i="1"/>
  <c r="DQ13" s="1"/>
  <c r="EL32"/>
  <c r="FU32" s="1"/>
  <c r="J12" i="51"/>
  <c r="EL15" i="1"/>
  <c r="FU15" s="1"/>
  <c r="CB38"/>
  <c r="BR38" s="1"/>
  <c r="ER33"/>
  <c r="GA33" s="1"/>
  <c r="ER11"/>
  <c r="GA11" s="1"/>
  <c r="ES28"/>
  <c r="GB28" s="1"/>
  <c r="CG33"/>
  <c r="DP33" s="1"/>
  <c r="F82" i="40"/>
  <c r="CF11" i="1"/>
  <c r="DO11" s="1"/>
  <c r="CO19"/>
  <c r="DX19" s="1"/>
  <c r="CC23"/>
  <c r="BR23" s="1"/>
  <c r="Q32" i="51"/>
  <c r="CC36" i="1"/>
  <c r="J40" i="51"/>
  <c r="F40" s="1"/>
  <c r="EK23" i="1"/>
  <c r="FT23" s="1"/>
  <c r="EL13"/>
  <c r="FU13" s="1"/>
  <c r="H18" i="51"/>
  <c r="EJ20" i="1"/>
  <c r="FS20" s="1"/>
  <c r="EI25"/>
  <c r="FR25" s="1"/>
  <c r="EN14"/>
  <c r="FW14" s="1"/>
  <c r="F78" i="54"/>
  <c r="ER17" i="1"/>
  <c r="GA17" s="1"/>
  <c r="CN23"/>
  <c r="DW23" s="1"/>
  <c r="ER26"/>
  <c r="GA26" s="1"/>
  <c r="CC34"/>
  <c r="BR34" s="1"/>
  <c r="H79" i="54"/>
  <c r="H81"/>
  <c r="F82" i="36"/>
  <c r="F78" i="37"/>
  <c r="EK28" i="1"/>
  <c r="FT28" s="1"/>
  <c r="CI27"/>
  <c r="DR27" s="1"/>
  <c r="CH26"/>
  <c r="DQ26" s="1"/>
  <c r="CH23"/>
  <c r="DQ23" s="1"/>
  <c r="ES25"/>
  <c r="GB25" s="1"/>
  <c r="H30" i="51"/>
  <c r="G13"/>
  <c r="L31"/>
  <c r="CJ12" i="1"/>
  <c r="DS12" s="1"/>
  <c r="CN37"/>
  <c r="DW37" s="1"/>
  <c r="EK17"/>
  <c r="FT17" s="1"/>
  <c r="L24" i="51"/>
  <c r="CE24" i="1"/>
  <c r="CD24" s="1"/>
  <c r="EK37"/>
  <c r="FT37" s="1"/>
  <c r="H80" i="38"/>
  <c r="H83" i="40"/>
  <c r="H82" i="54"/>
  <c r="G14" i="51"/>
  <c r="F14" s="1"/>
  <c r="CJ37" i="1"/>
  <c r="DS37" s="1"/>
  <c r="EL12"/>
  <c r="FU12" s="1"/>
  <c r="CB20"/>
  <c r="BR20" s="1"/>
  <c r="F79" i="38"/>
  <c r="CI19" i="1"/>
  <c r="DR19" s="1"/>
  <c r="CB30"/>
  <c r="BR30" s="1"/>
  <c r="CI38"/>
  <c r="DR38" s="1"/>
  <c r="G34" i="51"/>
  <c r="F79" i="54"/>
  <c r="F81"/>
  <c r="CB37" i="1"/>
  <c r="BR37" s="1"/>
  <c r="J13" i="51"/>
  <c r="CB35" i="1"/>
  <c r="BR35" s="1"/>
  <c r="CO34"/>
  <c r="DX34" s="1"/>
  <c r="EN31"/>
  <c r="FW31" s="1"/>
  <c r="K29" i="51"/>
  <c r="F83" i="37"/>
  <c r="Q17" i="51"/>
  <c r="EL43" i="1"/>
  <c r="FU43" s="1"/>
  <c r="CO33"/>
  <c r="DX33" s="1"/>
  <c r="CJ23"/>
  <c r="DS23" s="1"/>
  <c r="CI31"/>
  <c r="DR31" s="1"/>
  <c r="K21" i="51"/>
  <c r="CO32" i="1"/>
  <c r="DX32" s="1"/>
  <c r="H80" i="54"/>
  <c r="F78" i="53"/>
  <c r="H80" i="37"/>
  <c r="H83" i="54"/>
  <c r="ES17" i="1"/>
  <c r="GB17" s="1"/>
  <c r="CH31"/>
  <c r="DQ31" s="1"/>
  <c r="EK22"/>
  <c r="FT22" s="1"/>
  <c r="F78" i="36"/>
  <c r="ER24" i="1"/>
  <c r="GA24" s="1"/>
  <c r="CC41"/>
  <c r="BR41" s="1"/>
  <c r="CC17"/>
  <c r="BR17" s="1"/>
  <c r="EM32"/>
  <c r="FV32" s="1"/>
  <c r="J28" i="51"/>
  <c r="P21"/>
  <c r="ES41" i="1"/>
  <c r="GB41" s="1"/>
  <c r="EI31"/>
  <c r="FR31" s="1"/>
  <c r="L34" i="51"/>
  <c r="EJ14" i="1"/>
  <c r="FS14" s="1"/>
  <c r="EL44"/>
  <c r="FU44" s="1"/>
  <c r="G35" i="51"/>
  <c r="EM31" i="1"/>
  <c r="FV31" s="1"/>
  <c r="ER35"/>
  <c r="GA35" s="1"/>
  <c r="F79" i="37"/>
  <c r="K25" i="51"/>
  <c r="CO20" i="1"/>
  <c r="DX20" s="1"/>
  <c r="CC33"/>
  <c r="BR33" s="1"/>
  <c r="CG22"/>
  <c r="DP22" s="1"/>
  <c r="H80" i="36"/>
  <c r="H81" i="53"/>
  <c r="H83" i="36"/>
  <c r="F81" i="40"/>
  <c r="EN44" i="1"/>
  <c r="FW44" s="1"/>
  <c r="F78" i="38"/>
  <c r="EM28" i="1"/>
  <c r="FV28" s="1"/>
  <c r="F81" i="53"/>
  <c r="F82" i="54"/>
  <c r="F80" i="41"/>
  <c r="F81" i="38"/>
  <c r="FR14" i="1"/>
  <c r="BH28"/>
  <c r="FR37"/>
  <c r="FR36"/>
  <c r="BH19"/>
  <c r="FR40"/>
  <c r="BJ40"/>
  <c r="BQ40" s="1"/>
  <c r="BI40"/>
  <c r="BP40" s="1"/>
  <c r="FR26"/>
  <c r="BG44"/>
  <c r="FR18"/>
  <c r="BJ18"/>
  <c r="BQ18" s="1"/>
  <c r="FR42"/>
  <c r="BJ42"/>
  <c r="BQ42" s="1"/>
  <c r="BI42"/>
  <c r="BP42" s="1"/>
  <c r="BH39"/>
  <c r="H83" i="39"/>
  <c r="H81"/>
  <c r="FR21" i="1"/>
  <c r="BI21"/>
  <c r="BP21" s="1"/>
  <c r="BH15"/>
  <c r="BG15"/>
  <c r="FR19"/>
  <c r="BJ19"/>
  <c r="BQ19" s="1"/>
  <c r="BI19"/>
  <c r="BP19" s="1"/>
  <c r="FR27"/>
  <c r="BJ27"/>
  <c r="BQ27" s="1"/>
  <c r="FR22"/>
  <c r="BG35"/>
  <c r="BH16"/>
  <c r="BG16"/>
  <c r="FR29"/>
  <c r="BJ29"/>
  <c r="BQ29" s="1"/>
  <c r="BI29"/>
  <c r="BP29" s="1"/>
  <c r="FR12"/>
  <c r="BJ12"/>
  <c r="BQ12" s="1"/>
  <c r="FR32"/>
  <c r="FR39"/>
  <c r="BI39"/>
  <c r="BP39" s="1"/>
  <c r="FR24"/>
  <c r="BH42"/>
  <c r="BG42"/>
  <c r="H81" i="36"/>
  <c r="H82" i="41"/>
  <c r="H80"/>
  <c r="H83" i="53"/>
  <c r="H78" i="41"/>
  <c r="H82" i="36"/>
  <c r="H82" i="38"/>
  <c r="F79" i="39"/>
  <c r="CB11" i="1"/>
  <c r="F79" i="40"/>
  <c r="F78"/>
  <c r="F81" i="36"/>
  <c r="EJ33" i="1"/>
  <c r="FS33" s="1"/>
  <c r="F82" i="38"/>
  <c r="J20" i="51"/>
  <c r="CO25" i="1"/>
  <c r="DX25" s="1"/>
  <c r="EI30"/>
  <c r="CJ34"/>
  <c r="DS34" s="1"/>
  <c r="F80" i="53"/>
  <c r="F79"/>
  <c r="ES38" i="1"/>
  <c r="GB38" s="1"/>
  <c r="F81" i="37"/>
  <c r="F82"/>
  <c r="F79" i="41"/>
  <c r="ES30" i="1"/>
  <c r="GB30" s="1"/>
  <c r="Q36" i="51"/>
  <c r="H80" i="39"/>
  <c r="H83" i="37"/>
  <c r="H79" i="39"/>
  <c r="H82"/>
  <c r="H80" i="53"/>
  <c r="H82" i="37"/>
  <c r="H79" i="41"/>
  <c r="H79" i="38"/>
  <c r="H81"/>
  <c r="FR44" i="1"/>
  <c r="BI15"/>
  <c r="BP15" s="1"/>
  <c r="FR23"/>
  <c r="BH40"/>
  <c r="BG40"/>
  <c r="FR16"/>
  <c r="FR17"/>
  <c r="FR45"/>
  <c r="H79" i="40"/>
  <c r="H81"/>
  <c r="BG41" i="1"/>
  <c r="BG45"/>
  <c r="BH45"/>
  <c r="FR13"/>
  <c r="FR34"/>
  <c r="BJ34"/>
  <c r="BQ34" s="1"/>
  <c r="BI34"/>
  <c r="BP34" s="1"/>
  <c r="BG21"/>
  <c r="BH29"/>
  <c r="BG29"/>
  <c r="BH43"/>
  <c r="BG43"/>
  <c r="FR41"/>
  <c r="FR43"/>
  <c r="BI43"/>
  <c r="BP43" s="1"/>
  <c r="FR35"/>
  <c r="H79" i="53"/>
  <c r="H78"/>
  <c r="H79" i="36"/>
  <c r="H81" i="41"/>
  <c r="H78" i="38"/>
  <c r="H83"/>
  <c r="F78" i="39"/>
  <c r="F83"/>
  <c r="EI11" i="1"/>
  <c r="F83" i="40"/>
  <c r="F80" i="36"/>
  <c r="F83"/>
  <c r="F83" i="38"/>
  <c r="CE14" i="1"/>
  <c r="CP14" s="1"/>
  <c r="AZ14" s="1"/>
  <c r="EN26"/>
  <c r="FW26" s="1"/>
  <c r="EI28"/>
  <c r="F80" i="37"/>
  <c r="F78" i="41"/>
  <c r="F82"/>
  <c r="H80" i="40"/>
  <c r="H78" i="36"/>
  <c r="H79" i="37"/>
  <c r="H78"/>
  <c r="H82" i="53"/>
  <c r="H82" i="40"/>
  <c r="BR36" i="1"/>
  <c r="BR40"/>
  <c r="BR68"/>
  <c r="BR64"/>
  <c r="DN25"/>
  <c r="CD71"/>
  <c r="CP71"/>
  <c r="AZ71" s="1"/>
  <c r="DN71"/>
  <c r="DN15"/>
  <c r="CP15"/>
  <c r="AZ15" s="1"/>
  <c r="CD15"/>
  <c r="E52" i="51"/>
  <c r="F52"/>
  <c r="DN60" i="1"/>
  <c r="CP60"/>
  <c r="AZ60" s="1"/>
  <c r="CD60"/>
  <c r="CD17"/>
  <c r="E43" i="51"/>
  <c r="F43"/>
  <c r="DN47" i="1"/>
  <c r="CP47"/>
  <c r="AZ47" s="1"/>
  <c r="CD47"/>
  <c r="F41" i="51"/>
  <c r="E41"/>
  <c r="CP35" i="1"/>
  <c r="AZ35" s="1"/>
  <c r="DN35"/>
  <c r="DN18"/>
  <c r="CP16"/>
  <c r="AZ16" s="1"/>
  <c r="CD16"/>
  <c r="DN16"/>
  <c r="CP48"/>
  <c r="AZ48" s="1"/>
  <c r="CD48"/>
  <c r="DN48"/>
  <c r="DN65"/>
  <c r="CD65"/>
  <c r="CP65"/>
  <c r="AZ65" s="1"/>
  <c r="E53" i="51"/>
  <c r="F53"/>
  <c r="E55"/>
  <c r="F55"/>
  <c r="DN24" i="1"/>
  <c r="DN66"/>
  <c r="CP66"/>
  <c r="AZ66" s="1"/>
  <c r="CD66"/>
  <c r="F38" i="51"/>
  <c r="F18"/>
  <c r="E50"/>
  <c r="F50"/>
  <c r="E60"/>
  <c r="F60"/>
  <c r="E70"/>
  <c r="F70"/>
  <c r="DN37" i="1"/>
  <c r="DN74"/>
  <c r="CD74"/>
  <c r="CP74"/>
  <c r="AZ74" s="1"/>
  <c r="E10" i="51"/>
  <c r="F10"/>
  <c r="F61"/>
  <c r="E61"/>
  <c r="F63"/>
  <c r="E63"/>
  <c r="DN30" i="1"/>
  <c r="F39" i="51"/>
  <c r="E39"/>
  <c r="F72"/>
  <c r="E72"/>
  <c r="F24"/>
  <c r="DN49" i="1"/>
  <c r="CD49"/>
  <c r="CP49"/>
  <c r="AZ49" s="1"/>
  <c r="DN34"/>
  <c r="DN41"/>
  <c r="CP41"/>
  <c r="AZ41" s="1"/>
  <c r="DN45"/>
  <c r="CD45"/>
  <c r="CP45"/>
  <c r="AZ45" s="1"/>
  <c r="CD72"/>
  <c r="CP72"/>
  <c r="AZ72" s="1"/>
  <c r="DN72"/>
  <c r="DN21"/>
  <c r="DN29"/>
  <c r="CD29"/>
  <c r="CP29"/>
  <c r="AZ29" s="1"/>
  <c r="DN23"/>
  <c r="DN43"/>
  <c r="CD43"/>
  <c r="CP43"/>
  <c r="AZ43" s="1"/>
  <c r="DN53"/>
  <c r="CP53"/>
  <c r="AZ53" s="1"/>
  <c r="CD53"/>
  <c r="CD63"/>
  <c r="DN63"/>
  <c r="CP63"/>
  <c r="AZ63" s="1"/>
  <c r="DN33"/>
  <c r="F37" i="51"/>
  <c r="E47"/>
  <c r="F47"/>
  <c r="DN73" i="1"/>
  <c r="CP73"/>
  <c r="AZ73" s="1"/>
  <c r="CD73"/>
  <c r="DN38"/>
  <c r="F67" i="51"/>
  <c r="E67"/>
  <c r="F59"/>
  <c r="E59"/>
  <c r="E71"/>
  <c r="F71"/>
  <c r="F54"/>
  <c r="E54"/>
  <c r="DN13" i="1"/>
  <c r="CP64"/>
  <c r="AZ64" s="1"/>
  <c r="DN64"/>
  <c r="CD64"/>
  <c r="F17" i="51"/>
  <c r="E17"/>
  <c r="E58"/>
  <c r="F58"/>
  <c r="F36"/>
  <c r="DN11" i="1"/>
  <c r="DN28"/>
  <c r="E56" i="51"/>
  <c r="F56"/>
  <c r="DN32" i="1"/>
  <c r="F51" i="51"/>
  <c r="E51"/>
  <c r="BR56" i="1"/>
  <c r="BR63"/>
  <c r="BR11"/>
  <c r="BR52"/>
  <c r="BR13"/>
  <c r="BR43"/>
  <c r="BR14"/>
  <c r="BR51"/>
  <c r="BR72"/>
  <c r="BR59"/>
  <c r="BR44"/>
  <c r="BR15"/>
  <c r="BR70"/>
  <c r="BR55"/>
  <c r="BR58"/>
  <c r="BR75"/>
  <c r="BR25"/>
  <c r="BR53"/>
  <c r="BR16"/>
  <c r="BR45"/>
  <c r="BR48"/>
  <c r="BR42"/>
  <c r="DN51"/>
  <c r="CP51"/>
  <c r="AZ51" s="1"/>
  <c r="CD51"/>
  <c r="F64" i="51"/>
  <c r="E64"/>
  <c r="DN22" i="1"/>
  <c r="DN69"/>
  <c r="CP69"/>
  <c r="AZ69" s="1"/>
  <c r="CD69"/>
  <c r="DN52"/>
  <c r="CP52"/>
  <c r="AZ52" s="1"/>
  <c r="CD52"/>
  <c r="CD68"/>
  <c r="DN68"/>
  <c r="CP68"/>
  <c r="AZ68" s="1"/>
  <c r="F27" i="51"/>
  <c r="CP42" i="1"/>
  <c r="AZ42" s="1"/>
  <c r="DN42"/>
  <c r="CD42"/>
  <c r="CD75"/>
  <c r="CP75"/>
  <c r="AZ75" s="1"/>
  <c r="DN75"/>
  <c r="DN27"/>
  <c r="CP27"/>
  <c r="AZ27" s="1"/>
  <c r="F46" i="51"/>
  <c r="E46"/>
  <c r="F31"/>
  <c r="E31"/>
  <c r="E42"/>
  <c r="F69"/>
  <c r="E69"/>
  <c r="F26"/>
  <c r="E40"/>
  <c r="F11"/>
  <c r="CP40" i="1"/>
  <c r="AZ40" s="1"/>
  <c r="CD40"/>
  <c r="DN40"/>
  <c r="CD50"/>
  <c r="CP50"/>
  <c r="AZ50" s="1"/>
  <c r="DN50"/>
  <c r="DN26"/>
  <c r="DN70"/>
  <c r="CD70"/>
  <c r="CP70"/>
  <c r="AZ70" s="1"/>
  <c r="DN62"/>
  <c r="CP62"/>
  <c r="AZ62" s="1"/>
  <c r="CD62"/>
  <c r="DN57"/>
  <c r="CD57"/>
  <c r="CP57"/>
  <c r="AZ57" s="1"/>
  <c r="E49" i="51"/>
  <c r="F49"/>
  <c r="E65"/>
  <c r="F65"/>
  <c r="F22"/>
  <c r="E22"/>
  <c r="F68"/>
  <c r="E68"/>
  <c r="DN55" i="1"/>
  <c r="CD55"/>
  <c r="CP55"/>
  <c r="AZ55" s="1"/>
  <c r="E57" i="51"/>
  <c r="F57"/>
  <c r="DN12" i="1"/>
  <c r="DN19"/>
  <c r="F48" i="51"/>
  <c r="E48"/>
  <c r="DN46" i="1"/>
  <c r="CP46"/>
  <c r="AZ46" s="1"/>
  <c r="CD46"/>
  <c r="E44" i="51"/>
  <c r="F44"/>
  <c r="CD67" i="1"/>
  <c r="CP67"/>
  <c r="AZ67" s="1"/>
  <c r="DN67"/>
  <c r="DN44"/>
  <c r="CP44"/>
  <c r="AZ44" s="1"/>
  <c r="F32" i="51"/>
  <c r="F45"/>
  <c r="E45"/>
  <c r="E62"/>
  <c r="F62"/>
  <c r="F66"/>
  <c r="E66"/>
  <c r="CD56" i="1"/>
  <c r="CP56"/>
  <c r="AZ56" s="1"/>
  <c r="DN56"/>
  <c r="CD58"/>
  <c r="CP58"/>
  <c r="AZ58" s="1"/>
  <c r="DN58"/>
  <c r="DN20"/>
  <c r="DN61"/>
  <c r="CD61"/>
  <c r="CP61"/>
  <c r="AZ61" s="1"/>
  <c r="DN36"/>
  <c r="CP36"/>
  <c r="AZ36" s="1"/>
  <c r="DN39"/>
  <c r="CD39"/>
  <c r="DN59"/>
  <c r="CP59"/>
  <c r="AZ59" s="1"/>
  <c r="CD59"/>
  <c r="CD54"/>
  <c r="CP54"/>
  <c r="AZ54" s="1"/>
  <c r="DN54"/>
  <c r="BR67"/>
  <c r="BR26"/>
  <c r="BR71"/>
  <c r="BR18"/>
  <c r="BR46"/>
  <c r="N73" i="51"/>
  <c r="BR69" i="1"/>
  <c r="BR65"/>
  <c r="O73" i="51"/>
  <c r="BR54" i="1"/>
  <c r="BR60"/>
  <c r="BR32"/>
  <c r="BR24"/>
  <c r="BR50"/>
  <c r="BR66"/>
  <c r="M73" i="51"/>
  <c r="BR47" i="1"/>
  <c r="BR19"/>
  <c r="BR27"/>
  <c r="BR22"/>
  <c r="BR49"/>
  <c r="BR61"/>
  <c r="BR73"/>
  <c r="BR57"/>
  <c r="BR29"/>
  <c r="BR74"/>
  <c r="BR12"/>
  <c r="BR28"/>
  <c r="BR62"/>
  <c r="CD28" l="1"/>
  <c r="BJ43"/>
  <c r="BQ43" s="1"/>
  <c r="BG22"/>
  <c r="BI36"/>
  <c r="BP36" s="1"/>
  <c r="BG28"/>
  <c r="E35" i="51"/>
  <c r="E29"/>
  <c r="F34"/>
  <c r="K73"/>
  <c r="BR31" i="1"/>
  <c r="BI20"/>
  <c r="BP20" s="1"/>
  <c r="CP39"/>
  <c r="AZ39" s="1"/>
  <c r="CD44"/>
  <c r="CP22"/>
  <c r="AZ22" s="1"/>
  <c r="CP38"/>
  <c r="AZ38" s="1"/>
  <c r="BF38" s="1"/>
  <c r="CP24"/>
  <c r="AZ24" s="1"/>
  <c r="CD35"/>
  <c r="BG38"/>
  <c r="BI41"/>
  <c r="BP41" s="1"/>
  <c r="BH31"/>
  <c r="BJ15"/>
  <c r="BQ15" s="1"/>
  <c r="BJ39"/>
  <c r="BQ39" s="1"/>
  <c r="BH24"/>
  <c r="BI27"/>
  <c r="BP27" s="1"/>
  <c r="BJ21"/>
  <c r="BQ21" s="1"/>
  <c r="FR20"/>
  <c r="BH44"/>
  <c r="E18" i="51"/>
  <c r="F16"/>
  <c r="CD38" i="1"/>
  <c r="CD33"/>
  <c r="CD21"/>
  <c r="E14" i="51"/>
  <c r="E12"/>
  <c r="E16"/>
  <c r="F33"/>
  <c r="CP13" i="1"/>
  <c r="AZ13" s="1"/>
  <c r="BF13" s="1"/>
  <c r="E23" i="51"/>
  <c r="CP21" i="1"/>
  <c r="AZ21" s="1"/>
  <c r="BC21" s="1"/>
  <c r="CD37"/>
  <c r="E9" i="51"/>
  <c r="BH13" i="1"/>
  <c r="BH18"/>
  <c r="BJ20"/>
  <c r="BQ20" s="1"/>
  <c r="BI18"/>
  <c r="BP18" s="1"/>
  <c r="F21" i="51"/>
  <c r="BI38" i="1"/>
  <c r="BP38" s="1"/>
  <c r="CP17"/>
  <c r="AZ17" s="1"/>
  <c r="I73" i="51"/>
  <c r="CD13" i="1"/>
  <c r="E34" i="51"/>
  <c r="CD41" i="1"/>
  <c r="CD30"/>
  <c r="CD18"/>
  <c r="BH38"/>
  <c r="BI25"/>
  <c r="BP25" s="1"/>
  <c r="F20" i="51"/>
  <c r="BG18" i="1"/>
  <c r="F29" i="51"/>
  <c r="E15"/>
  <c r="CP28" i="1"/>
  <c r="AZ28" s="1"/>
  <c r="BC28" s="1"/>
  <c r="CP18"/>
  <c r="AZ18" s="1"/>
  <c r="BC18" s="1"/>
  <c r="BG13"/>
  <c r="BG23"/>
  <c r="BH21"/>
  <c r="BH41"/>
  <c r="BH35"/>
  <c r="BG39"/>
  <c r="BH20"/>
  <c r="E21" i="51"/>
  <c r="CD22" i="1"/>
  <c r="F19" i="51"/>
  <c r="CD12" i="1"/>
  <c r="CP30"/>
  <c r="AZ30" s="1"/>
  <c r="BH30"/>
  <c r="BI44"/>
  <c r="BP44" s="1"/>
  <c r="BH12"/>
  <c r="F28" i="51"/>
  <c r="BG30" i="1"/>
  <c r="L73" i="51"/>
  <c r="CP12" i="1"/>
  <c r="AZ12" s="1"/>
  <c r="BE12" s="1"/>
  <c r="BG12"/>
  <c r="E24" i="51"/>
  <c r="BI45" i="1"/>
  <c r="BP45" s="1"/>
  <c r="BJ16"/>
  <c r="BQ16" s="1"/>
  <c r="BJ45"/>
  <c r="BQ45" s="1"/>
  <c r="BI16"/>
  <c r="BG19"/>
  <c r="CP31"/>
  <c r="AZ31" s="1"/>
  <c r="BC31" s="1"/>
  <c r="E13" i="51"/>
  <c r="F25"/>
  <c r="E30"/>
  <c r="BH11" i="1"/>
  <c r="CD11"/>
  <c r="BJ22"/>
  <c r="BQ22" s="1"/>
  <c r="BJ33"/>
  <c r="BQ33" s="1"/>
  <c r="BG11"/>
  <c r="CP11"/>
  <c r="AZ11" s="1"/>
  <c r="BF11" s="1"/>
  <c r="DN17"/>
  <c r="GC17" s="1"/>
  <c r="BM17" s="1"/>
  <c r="BN17" s="1"/>
  <c r="BG24"/>
  <c r="BG17"/>
  <c r="FR38"/>
  <c r="BH17"/>
  <c r="CD14"/>
  <c r="BJ17"/>
  <c r="BQ17" s="1"/>
  <c r="BI35"/>
  <c r="BI17"/>
  <c r="F8" i="51"/>
  <c r="BG36" i="1"/>
  <c r="BJ36"/>
  <c r="BQ36" s="1"/>
  <c r="CD19"/>
  <c r="BH36"/>
  <c r="BJ31"/>
  <c r="BQ31" s="1"/>
  <c r="CD36"/>
  <c r="BE36" s="1"/>
  <c r="CP25"/>
  <c r="AZ25" s="1"/>
  <c r="BF25" s="1"/>
  <c r="BJ41"/>
  <c r="BQ41" s="1"/>
  <c r="E8" i="51"/>
  <c r="E28"/>
  <c r="BG26" i="1"/>
  <c r="J73" i="51"/>
  <c r="H73"/>
  <c r="F13"/>
  <c r="CD27" i="1"/>
  <c r="BE27" s="1"/>
  <c r="CP23"/>
  <c r="AZ23" s="1"/>
  <c r="BC23" s="1"/>
  <c r="CP37"/>
  <c r="AZ37" s="1"/>
  <c r="BC37" s="1"/>
  <c r="BG32"/>
  <c r="BJ25"/>
  <c r="BQ25" s="1"/>
  <c r="BJ23"/>
  <c r="BQ23" s="1"/>
  <c r="BG27"/>
  <c r="BI32"/>
  <c r="BP32" s="1"/>
  <c r="BI31"/>
  <c r="BP31" s="1"/>
  <c r="BI37"/>
  <c r="BP37" s="1"/>
  <c r="G73" i="51"/>
  <c r="CP20" i="1"/>
  <c r="AZ20" s="1"/>
  <c r="CP19"/>
  <c r="AZ19" s="1"/>
  <c r="BC19" s="1"/>
  <c r="CP26"/>
  <c r="AZ26" s="1"/>
  <c r="BF26" s="1"/>
  <c r="F30" i="51"/>
  <c r="CD23" i="1"/>
  <c r="F35" i="51"/>
  <c r="E20"/>
  <c r="BJ13" i="1"/>
  <c r="BQ13" s="1"/>
  <c r="BG37"/>
  <c r="BH26"/>
  <c r="BI23"/>
  <c r="BP23" s="1"/>
  <c r="BH27"/>
  <c r="BJ24"/>
  <c r="BQ24" s="1"/>
  <c r="BG20"/>
  <c r="BJ37"/>
  <c r="BQ37" s="1"/>
  <c r="CD26"/>
  <c r="CD32"/>
  <c r="CP33"/>
  <c r="AZ33" s="1"/>
  <c r="BC33" s="1"/>
  <c r="BH33"/>
  <c r="BH23"/>
  <c r="BI13"/>
  <c r="BH37"/>
  <c r="Q73" i="51"/>
  <c r="BI24" i="1"/>
  <c r="CD34"/>
  <c r="BJ14"/>
  <c r="BQ14" s="1"/>
  <c r="P73" i="51"/>
  <c r="CP32" i="1"/>
  <c r="AZ32" s="1"/>
  <c r="BC32" s="1"/>
  <c r="DN14"/>
  <c r="CD31"/>
  <c r="BH32"/>
  <c r="BG33"/>
  <c r="BG34"/>
  <c r="BH22"/>
  <c r="BI22"/>
  <c r="BP22" s="1"/>
  <c r="BI14"/>
  <c r="BP14" s="1"/>
  <c r="BJ35"/>
  <c r="BQ35" s="1"/>
  <c r="BG31"/>
  <c r="BJ44"/>
  <c r="BQ44" s="1"/>
  <c r="BJ32"/>
  <c r="BQ32" s="1"/>
  <c r="BI12"/>
  <c r="BP12" s="1"/>
  <c r="FR11"/>
  <c r="BJ11"/>
  <c r="BQ11" s="1"/>
  <c r="BI11"/>
  <c r="BP11" s="1"/>
  <c r="BG14"/>
  <c r="BH14"/>
  <c r="FR30"/>
  <c r="GC30" s="1"/>
  <c r="BM30" s="1"/>
  <c r="BN30" s="1"/>
  <c r="BJ30"/>
  <c r="BQ30" s="1"/>
  <c r="BI30"/>
  <c r="BH34"/>
  <c r="FR28"/>
  <c r="BJ28"/>
  <c r="BQ28" s="1"/>
  <c r="BI28"/>
  <c r="BG25"/>
  <c r="BJ26"/>
  <c r="BQ26" s="1"/>
  <c r="CP34"/>
  <c r="AZ34" s="1"/>
  <c r="CD25"/>
  <c r="BI33"/>
  <c r="BH25"/>
  <c r="BJ38"/>
  <c r="BQ38" s="1"/>
  <c r="BI26"/>
  <c r="BP26" s="1"/>
  <c r="BC61"/>
  <c r="BF61"/>
  <c r="BE61"/>
  <c r="DY57"/>
  <c r="BK57" s="1"/>
  <c r="GC57"/>
  <c r="BM57" s="1"/>
  <c r="DY27"/>
  <c r="BK27" s="1"/>
  <c r="BL27" s="1"/>
  <c r="GC27"/>
  <c r="BM27" s="1"/>
  <c r="BN27" s="1"/>
  <c r="BF69"/>
  <c r="BC69"/>
  <c r="BE69"/>
  <c r="GC22"/>
  <c r="BM22" s="1"/>
  <c r="BN22" s="1"/>
  <c r="DY22"/>
  <c r="BK22" s="1"/>
  <c r="BL22" s="1"/>
  <c r="BF14"/>
  <c r="BC14"/>
  <c r="BE29"/>
  <c r="BF29"/>
  <c r="BC29"/>
  <c r="DY49"/>
  <c r="BK49" s="1"/>
  <c r="GC49"/>
  <c r="BM49" s="1"/>
  <c r="DY30"/>
  <c r="BK30" s="1"/>
  <c r="BL30" s="1"/>
  <c r="GC35"/>
  <c r="BM35" s="1"/>
  <c r="BN35" s="1"/>
  <c r="DY35"/>
  <c r="BK35" s="1"/>
  <c r="BL35" s="1"/>
  <c r="DY17"/>
  <c r="BK17" s="1"/>
  <c r="BL17" s="1"/>
  <c r="BC60"/>
  <c r="BE60"/>
  <c r="BF60"/>
  <c r="DY25"/>
  <c r="BK25" s="1"/>
  <c r="BL25" s="1"/>
  <c r="GC25"/>
  <c r="BM25" s="1"/>
  <c r="BN25" s="1"/>
  <c r="BE59"/>
  <c r="BC59"/>
  <c r="BF59"/>
  <c r="BE39"/>
  <c r="BF39"/>
  <c r="BC39"/>
  <c r="GC36"/>
  <c r="BM36" s="1"/>
  <c r="BN36" s="1"/>
  <c r="DY36"/>
  <c r="BK36" s="1"/>
  <c r="BL36" s="1"/>
  <c r="BC58"/>
  <c r="BE58"/>
  <c r="BF58"/>
  <c r="BE46"/>
  <c r="BF46"/>
  <c r="BC46"/>
  <c r="DY26"/>
  <c r="BK26" s="1"/>
  <c r="BL26" s="1"/>
  <c r="GC26"/>
  <c r="BM26" s="1"/>
  <c r="BN26" s="1"/>
  <c r="BE40"/>
  <c r="BF40"/>
  <c r="BC40"/>
  <c r="BF22"/>
  <c r="BC22"/>
  <c r="GC33"/>
  <c r="BM33" s="1"/>
  <c r="BN33" s="1"/>
  <c r="DY33"/>
  <c r="BK33" s="1"/>
  <c r="BL33" s="1"/>
  <c r="BF31"/>
  <c r="BE21"/>
  <c r="GC45"/>
  <c r="BM45" s="1"/>
  <c r="BN45" s="1"/>
  <c r="DY45"/>
  <c r="BK45" s="1"/>
  <c r="BL45" s="1"/>
  <c r="DY37"/>
  <c r="BK37" s="1"/>
  <c r="BL37" s="1"/>
  <c r="GC37"/>
  <c r="BM37" s="1"/>
  <c r="BN37" s="1"/>
  <c r="BC66"/>
  <c r="BE66"/>
  <c r="BF66"/>
  <c r="GC48"/>
  <c r="BM48" s="1"/>
  <c r="DY48"/>
  <c r="BK48" s="1"/>
  <c r="BF18"/>
  <c r="GC47"/>
  <c r="BM47" s="1"/>
  <c r="DY47"/>
  <c r="BK47" s="1"/>
  <c r="BF17"/>
  <c r="BC17"/>
  <c r="DY71"/>
  <c r="BK71" s="1"/>
  <c r="GC71"/>
  <c r="BM71" s="1"/>
  <c r="BC54"/>
  <c r="BE54"/>
  <c r="BF54"/>
  <c r="BF36"/>
  <c r="BC36"/>
  <c r="GC61"/>
  <c r="BM61" s="1"/>
  <c r="DY61"/>
  <c r="BK61" s="1"/>
  <c r="DY58"/>
  <c r="BK58" s="1"/>
  <c r="GC58"/>
  <c r="BM58" s="1"/>
  <c r="BF56"/>
  <c r="BC56"/>
  <c r="BE56"/>
  <c r="BF44"/>
  <c r="BC44"/>
  <c r="BE44"/>
  <c r="BE67"/>
  <c r="BF67"/>
  <c r="BC67"/>
  <c r="GC12"/>
  <c r="BM12" s="1"/>
  <c r="BN12" s="1"/>
  <c r="DY12"/>
  <c r="BK12" s="1"/>
  <c r="BL12" s="1"/>
  <c r="BE57"/>
  <c r="BF57"/>
  <c r="BC57"/>
  <c r="BF62"/>
  <c r="BC62"/>
  <c r="BE62"/>
  <c r="GC70"/>
  <c r="BM70" s="1"/>
  <c r="DY70"/>
  <c r="BK70" s="1"/>
  <c r="DY50"/>
  <c r="BK50" s="1"/>
  <c r="GC50"/>
  <c r="BM50" s="1"/>
  <c r="BE75"/>
  <c r="BC75"/>
  <c r="BF75"/>
  <c r="BE42"/>
  <c r="BC42"/>
  <c r="BF42"/>
  <c r="DY68"/>
  <c r="BK68" s="1"/>
  <c r="GC68"/>
  <c r="BM68" s="1"/>
  <c r="GC52"/>
  <c r="BM52" s="1"/>
  <c r="DY52"/>
  <c r="BK52" s="1"/>
  <c r="GC28"/>
  <c r="BM28" s="1"/>
  <c r="BN28" s="1"/>
  <c r="DY28"/>
  <c r="BK28" s="1"/>
  <c r="BL28" s="1"/>
  <c r="BC13"/>
  <c r="DY73"/>
  <c r="BK73" s="1"/>
  <c r="GC73"/>
  <c r="BM73" s="1"/>
  <c r="DY14"/>
  <c r="BK14" s="1"/>
  <c r="BL14" s="1"/>
  <c r="GC14"/>
  <c r="BM14" s="1"/>
  <c r="BN14" s="1"/>
  <c r="DY63"/>
  <c r="BK63" s="1"/>
  <c r="GC63"/>
  <c r="BM63" s="1"/>
  <c r="GC53"/>
  <c r="BM53" s="1"/>
  <c r="DY53"/>
  <c r="BK53" s="1"/>
  <c r="BF23"/>
  <c r="GC29"/>
  <c r="BM29" s="1"/>
  <c r="BN29" s="1"/>
  <c r="DY29"/>
  <c r="BK29" s="1"/>
  <c r="BL29" s="1"/>
  <c r="GC72"/>
  <c r="BM72" s="1"/>
  <c r="DY72"/>
  <c r="BK72" s="1"/>
  <c r="GC41"/>
  <c r="BM41" s="1"/>
  <c r="BN41" s="1"/>
  <c r="DY41"/>
  <c r="BK41" s="1"/>
  <c r="BL41" s="1"/>
  <c r="BC49"/>
  <c r="BF49"/>
  <c r="BE49"/>
  <c r="BF74"/>
  <c r="BE74"/>
  <c r="BC74"/>
  <c r="BF24"/>
  <c r="BC24"/>
  <c r="DY65"/>
  <c r="BK65" s="1"/>
  <c r="GC65"/>
  <c r="BM65" s="1"/>
  <c r="DY16"/>
  <c r="BK16" s="1"/>
  <c r="BL16" s="1"/>
  <c r="GC16"/>
  <c r="BM16" s="1"/>
  <c r="BN16" s="1"/>
  <c r="DY18"/>
  <c r="BK18" s="1"/>
  <c r="BL18" s="1"/>
  <c r="GC18"/>
  <c r="BM18" s="1"/>
  <c r="BN18" s="1"/>
  <c r="BC35"/>
  <c r="BF35"/>
  <c r="BE47"/>
  <c r="BC47"/>
  <c r="BF47"/>
  <c r="DY15"/>
  <c r="BK15" s="1"/>
  <c r="BL15" s="1"/>
  <c r="GC15"/>
  <c r="BM15" s="1"/>
  <c r="BN15" s="1"/>
  <c r="GC59"/>
  <c r="BM59" s="1"/>
  <c r="DY59"/>
  <c r="BK59" s="1"/>
  <c r="DY39"/>
  <c r="BK39" s="1"/>
  <c r="BL39" s="1"/>
  <c r="GC39"/>
  <c r="BM39" s="1"/>
  <c r="BN39" s="1"/>
  <c r="GC44"/>
  <c r="BM44" s="1"/>
  <c r="BN44" s="1"/>
  <c r="DY44"/>
  <c r="BK44" s="1"/>
  <c r="BL44" s="1"/>
  <c r="DY46"/>
  <c r="BK46" s="1"/>
  <c r="GC46"/>
  <c r="BM46" s="1"/>
  <c r="BE70"/>
  <c r="BC70"/>
  <c r="BF70"/>
  <c r="BC51"/>
  <c r="BE51"/>
  <c r="BF51"/>
  <c r="DY64"/>
  <c r="BK64" s="1"/>
  <c r="GC64"/>
  <c r="BM64" s="1"/>
  <c r="GC13"/>
  <c r="BM13" s="1"/>
  <c r="BN13" s="1"/>
  <c r="DY13"/>
  <c r="BK13" s="1"/>
  <c r="BL13" s="1"/>
  <c r="DY31"/>
  <c r="BK31" s="1"/>
  <c r="BL31" s="1"/>
  <c r="GC31"/>
  <c r="BM31" s="1"/>
  <c r="BN31" s="1"/>
  <c r="GC74"/>
  <c r="BM74" s="1"/>
  <c r="DY74"/>
  <c r="BK74" s="1"/>
  <c r="DY66"/>
  <c r="BK66" s="1"/>
  <c r="GC66"/>
  <c r="BM66" s="1"/>
  <c r="BC65"/>
  <c r="BF65"/>
  <c r="BE65"/>
  <c r="BC16"/>
  <c r="BF16"/>
  <c r="BF71"/>
  <c r="BE71"/>
  <c r="BC71"/>
  <c r="GC20"/>
  <c r="BM20" s="1"/>
  <c r="BN20" s="1"/>
  <c r="DY20"/>
  <c r="BK20" s="1"/>
  <c r="BL20" s="1"/>
  <c r="GC55"/>
  <c r="BM55" s="1"/>
  <c r="DY55"/>
  <c r="BK55" s="1"/>
  <c r="GC62"/>
  <c r="BM62" s="1"/>
  <c r="DY62"/>
  <c r="BK62" s="1"/>
  <c r="BC50"/>
  <c r="BE50"/>
  <c r="BF50"/>
  <c r="BF27"/>
  <c r="BC27"/>
  <c r="DY38"/>
  <c r="BK38" s="1"/>
  <c r="BL38" s="1"/>
  <c r="GC38"/>
  <c r="BM38" s="1"/>
  <c r="BN38" s="1"/>
  <c r="BE43"/>
  <c r="BC43"/>
  <c r="BF43"/>
  <c r="DY23"/>
  <c r="BK23" s="1"/>
  <c r="BL23" s="1"/>
  <c r="GC23"/>
  <c r="BM23" s="1"/>
  <c r="BN23" s="1"/>
  <c r="BE72"/>
  <c r="BF72"/>
  <c r="BC72"/>
  <c r="GC54"/>
  <c r="BM54" s="1"/>
  <c r="DY54"/>
  <c r="BK54" s="1"/>
  <c r="GC56"/>
  <c r="BM56" s="1"/>
  <c r="DY56"/>
  <c r="BK56" s="1"/>
  <c r="DY67"/>
  <c r="BK67" s="1"/>
  <c r="GC67"/>
  <c r="BM67" s="1"/>
  <c r="GC19"/>
  <c r="BM19" s="1"/>
  <c r="BN19" s="1"/>
  <c r="DY19"/>
  <c r="BK19" s="1"/>
  <c r="BL19" s="1"/>
  <c r="BE55"/>
  <c r="BC55"/>
  <c r="BF55"/>
  <c r="DY40"/>
  <c r="BK40" s="1"/>
  <c r="BL40" s="1"/>
  <c r="GC40"/>
  <c r="BM40" s="1"/>
  <c r="BN40" s="1"/>
  <c r="GC75"/>
  <c r="BM75" s="1"/>
  <c r="DY75"/>
  <c r="BK75" s="1"/>
  <c r="GC42"/>
  <c r="BM42" s="1"/>
  <c r="BN42" s="1"/>
  <c r="DY42"/>
  <c r="BK42" s="1"/>
  <c r="BL42" s="1"/>
  <c r="BE68"/>
  <c r="BF68"/>
  <c r="BC68"/>
  <c r="BC52"/>
  <c r="BF52"/>
  <c r="BE52"/>
  <c r="DY69"/>
  <c r="BK69" s="1"/>
  <c r="GC69"/>
  <c r="BM69" s="1"/>
  <c r="GC51"/>
  <c r="BM51" s="1"/>
  <c r="DY51"/>
  <c r="BK51" s="1"/>
  <c r="GC32"/>
  <c r="BM32" s="1"/>
  <c r="BN32" s="1"/>
  <c r="DY32"/>
  <c r="BK32" s="1"/>
  <c r="BL32" s="1"/>
  <c r="GC11"/>
  <c r="BM11" s="1"/>
  <c r="BN11" s="1"/>
  <c r="DY11"/>
  <c r="BK11" s="1"/>
  <c r="BL11" s="1"/>
  <c r="BC64"/>
  <c r="BE64"/>
  <c r="BF64"/>
  <c r="BC38"/>
  <c r="BF73"/>
  <c r="BE73"/>
  <c r="BC73"/>
  <c r="BE63"/>
  <c r="BC63"/>
  <c r="BF63"/>
  <c r="BE53"/>
  <c r="BC53"/>
  <c r="BF53"/>
  <c r="GC43"/>
  <c r="BM43" s="1"/>
  <c r="BN43" s="1"/>
  <c r="DY43"/>
  <c r="BK43" s="1"/>
  <c r="BL43" s="1"/>
  <c r="GC21"/>
  <c r="BM21" s="1"/>
  <c r="BN21" s="1"/>
  <c r="DY21"/>
  <c r="BK21" s="1"/>
  <c r="BL21" s="1"/>
  <c r="BC45"/>
  <c r="BE45"/>
  <c r="BF45"/>
  <c r="BC41"/>
  <c r="BF41"/>
  <c r="DY34"/>
  <c r="BK34" s="1"/>
  <c r="BL34" s="1"/>
  <c r="GC34"/>
  <c r="BM34" s="1"/>
  <c r="BN34" s="1"/>
  <c r="BC30"/>
  <c r="BF30"/>
  <c r="GC24"/>
  <c r="BM24" s="1"/>
  <c r="BN24" s="1"/>
  <c r="DY24"/>
  <c r="BK24" s="1"/>
  <c r="BL24" s="1"/>
  <c r="BF48"/>
  <c r="BE48"/>
  <c r="BC48"/>
  <c r="DY60"/>
  <c r="BK60" s="1"/>
  <c r="GC60"/>
  <c r="BM60" s="1"/>
  <c r="BE15"/>
  <c r="BF15"/>
  <c r="BC15"/>
  <c r="BE41" l="1"/>
  <c r="BC25"/>
  <c r="BF21"/>
  <c r="BE20"/>
  <c r="BE38"/>
  <c r="BF28"/>
  <c r="BE24"/>
  <c r="BP24"/>
  <c r="BE30"/>
  <c r="BP30"/>
  <c r="BE13"/>
  <c r="BP13"/>
  <c r="BE35"/>
  <c r="BP35"/>
  <c r="BE33"/>
  <c r="BP33"/>
  <c r="BE17"/>
  <c r="BP17"/>
  <c r="BE16"/>
  <c r="BP16"/>
  <c r="BE18"/>
  <c r="BE28"/>
  <c r="BP28"/>
  <c r="BF12"/>
  <c r="BC12"/>
  <c r="BE22"/>
  <c r="BE11"/>
  <c r="BC20"/>
  <c r="BC11"/>
  <c r="BC26"/>
  <c r="BE14"/>
  <c r="BE23"/>
  <c r="BF20"/>
  <c r="BF37"/>
  <c r="J79"/>
  <c r="BF34"/>
  <c r="BE25"/>
  <c r="H79"/>
  <c r="BE19"/>
  <c r="BE31"/>
  <c r="BE37"/>
  <c r="H81"/>
  <c r="BF33"/>
  <c r="BF32"/>
  <c r="BF19"/>
  <c r="BE26"/>
  <c r="BE32"/>
  <c r="BC34"/>
  <c r="H80"/>
  <c r="H82"/>
  <c r="J80"/>
  <c r="BE34"/>
  <c r="H84"/>
  <c r="J83"/>
  <c r="H83"/>
  <c r="J82"/>
  <c r="J84"/>
  <c r="J81"/>
</calcChain>
</file>

<file path=xl/sharedStrings.xml><?xml version="1.0" encoding="utf-8"?>
<sst xmlns="http://schemas.openxmlformats.org/spreadsheetml/2006/main" count="15500" uniqueCount="2815">
  <si>
    <t>Trần Duy</t>
  </si>
  <si>
    <t>13D2010114</t>
  </si>
  <si>
    <t>11.02.94</t>
  </si>
  <si>
    <t>13D2010119</t>
  </si>
  <si>
    <t>13D2010124</t>
  </si>
  <si>
    <t>25.11.94</t>
  </si>
  <si>
    <t>13D2010129</t>
  </si>
  <si>
    <t>20.11.95</t>
  </si>
  <si>
    <t>13D2010139</t>
  </si>
  <si>
    <t xml:space="preserve">Đặng Nguyễn Hoài </t>
  </si>
  <si>
    <t>08.12.95</t>
  </si>
  <si>
    <t>13D2010144</t>
  </si>
  <si>
    <t>13D2010149</t>
  </si>
  <si>
    <t>Trần Thanh</t>
  </si>
  <si>
    <t>13D2010154</t>
  </si>
  <si>
    <t>13D2010159</t>
  </si>
  <si>
    <t>Phan Ngọc</t>
  </si>
  <si>
    <t>13D2010164</t>
  </si>
  <si>
    <t>Dương Thiện</t>
  </si>
  <si>
    <t>Quí</t>
  </si>
  <si>
    <t>06.12.95</t>
  </si>
  <si>
    <t>13D2010174</t>
  </si>
  <si>
    <t>13D2010219</t>
  </si>
  <si>
    <t xml:space="preserve">Huỳnh Quang </t>
  </si>
  <si>
    <t>13D2010189</t>
  </si>
  <si>
    <t>Mai Trọng</t>
  </si>
  <si>
    <t>Thăng</t>
  </si>
  <si>
    <t>13D2010199</t>
  </si>
  <si>
    <t>Đinh Xuân</t>
  </si>
  <si>
    <t>13D2010204</t>
  </si>
  <si>
    <t>05.10.95</t>
  </si>
  <si>
    <t>13D2010209</t>
  </si>
  <si>
    <t>Thư</t>
  </si>
  <si>
    <t>22.01.94</t>
  </si>
  <si>
    <t>13D2010214</t>
  </si>
  <si>
    <t>Thuyên</t>
  </si>
  <si>
    <t>13D2010070</t>
  </si>
  <si>
    <t>31.03.95</t>
  </si>
  <si>
    <t>13D2010224</t>
  </si>
  <si>
    <t>Trần Chánh</t>
  </si>
  <si>
    <t>06.04.95</t>
  </si>
  <si>
    <t>13D2010229</t>
  </si>
  <si>
    <t>09.07.95</t>
  </si>
  <si>
    <t>13D2010234</t>
  </si>
  <si>
    <t>13D2010239</t>
  </si>
  <si>
    <t>Lê Nhật</t>
  </si>
  <si>
    <t>13D2010244</t>
  </si>
  <si>
    <t>Bùi Huy</t>
  </si>
  <si>
    <t>13D2010249</t>
  </si>
  <si>
    <t>13D2010254</t>
  </si>
  <si>
    <t>14.08.95</t>
  </si>
  <si>
    <t>13D2010259</t>
  </si>
  <si>
    <t>Phan Thanh</t>
  </si>
  <si>
    <t>13.09.94</t>
  </si>
  <si>
    <t>13D2010002</t>
  </si>
  <si>
    <t>Bùi Thiên</t>
  </si>
  <si>
    <t>Ân</t>
  </si>
  <si>
    <t>28.07.95</t>
  </si>
  <si>
    <t>13CĐ-CK3</t>
  </si>
  <si>
    <t>13D2010014</t>
  </si>
  <si>
    <t>Trượng Ngọc</t>
  </si>
  <si>
    <t>Chánh</t>
  </si>
  <si>
    <t>13D2010020</t>
  </si>
  <si>
    <t>Công</t>
  </si>
  <si>
    <t>25.07.94</t>
  </si>
  <si>
    <t>13D2010044</t>
  </si>
  <si>
    <t>Đỗ Xuân</t>
  </si>
  <si>
    <t>13D2010056</t>
  </si>
  <si>
    <t>13D2010060</t>
  </si>
  <si>
    <t>13D2010068</t>
  </si>
  <si>
    <t>Hoan</t>
  </si>
  <si>
    <t>13D2010074</t>
  </si>
  <si>
    <t>Lê Thế</t>
  </si>
  <si>
    <t>13D2010080</t>
  </si>
  <si>
    <t>Đỗ Linh</t>
  </si>
  <si>
    <t>Kha</t>
  </si>
  <si>
    <t>13D2010085</t>
  </si>
  <si>
    <t>02.09.94</t>
  </si>
  <si>
    <t>13D2010095</t>
  </si>
  <si>
    <t>Võ Quý</t>
  </si>
  <si>
    <t>13D2010100</t>
  </si>
  <si>
    <t>01.12.95</t>
  </si>
  <si>
    <t>13D2010115</t>
  </si>
  <si>
    <t>13D2010120</t>
  </si>
  <si>
    <t>Bế Ngọc Hoàng</t>
  </si>
  <si>
    <t>29.03.95</t>
  </si>
  <si>
    <t>13D2010125</t>
  </si>
  <si>
    <t>Thái Thanh</t>
  </si>
  <si>
    <t>13D2010130</t>
  </si>
  <si>
    <t>Phan Hữu</t>
  </si>
  <si>
    <t xml:space="preserve"> 2014 - 2015</t>
  </si>
  <si>
    <t>2014-2015</t>
  </si>
  <si>
    <t>(32)</t>
  </si>
  <si>
    <t>(33)</t>
  </si>
  <si>
    <t>(34)</t>
  </si>
  <si>
    <t>(35)</t>
  </si>
  <si>
    <t>tính cuối học kỳ, cuối năm theo điểm cao nhất</t>
  </si>
  <si>
    <t>Số TC
đã TL</t>
  </si>
  <si>
    <t>Số TC
nợ</t>
  </si>
  <si>
    <t>SỐ TC TÍCH LUỸ TRONG
HK SAU KỲ THI CHÍNH</t>
  </si>
  <si>
    <t>SỐ TC NỢ TRONG HK
SAU KỲ THI CHÍNH</t>
  </si>
  <si>
    <t>SỐ TC TÍCH LUỸ TRONG
HK SAU KỲ THI PHỤ</t>
  </si>
  <si>
    <t>SỐ TC TÍCH LUỸ TỪ ĐẦU
KHOÁ HỌC</t>
  </si>
  <si>
    <t>SỐ TC CÒN NỢ TỪ ĐẦU
KHOÁ HỌC</t>
  </si>
  <si>
    <r>
      <t>QUI ĐỊNH SỐ TÍN CHỈ CỦA CÁC HỌC PHẦN</t>
    </r>
    <r>
      <rPr>
        <sz val="14"/>
        <rFont val="Times New Roman"/>
        <family val="1"/>
      </rPr>
      <t xml:space="preserve">
</t>
    </r>
    <r>
      <rPr>
        <b/>
        <sz val="14"/>
        <rFont val="Times New Roman"/>
        <family val="1"/>
      </rPr>
      <t>TRONG</t>
    </r>
    <r>
      <rPr>
        <sz val="14"/>
        <rFont val="Times New Roman"/>
        <family val="1"/>
      </rPr>
      <t xml:space="preserve"> </t>
    </r>
    <r>
      <rPr>
        <b/>
        <sz val="14"/>
        <rFont val="Times New Roman"/>
        <family val="1"/>
      </rPr>
      <t>HỌC KỲ I  / 2014 - 2015</t>
    </r>
    <r>
      <rPr>
        <sz val="14"/>
        <rFont val="Times New Roman"/>
        <family val="1"/>
      </rPr>
      <t xml:space="preserve">
</t>
    </r>
    <r>
      <rPr>
        <b/>
        <i/>
        <sz val="14"/>
        <rFont val="Times New Roman"/>
        <family val="1"/>
      </rPr>
      <t>Bậc đào tạo : Cao đẳng  ( Khóa 2013 )</t>
    </r>
  </si>
  <si>
    <t>BẢNG TỔNG KẾT HỌC TẬP HỌC KỲ I NĂM HỌC 2014 - 2015</t>
  </si>
  <si>
    <t>TRƯỞNG PHÒNG ĐÀO TẠO</t>
  </si>
  <si>
    <t>Mở file tổng kết năm 13-14 của lớp</t>
  </si>
  <si>
    <r>
      <t xml:space="preserve">Chọn bảng tính </t>
    </r>
    <r>
      <rPr>
        <b/>
        <sz val="13"/>
        <rFont val="Arial"/>
        <family val="2"/>
      </rPr>
      <t>CẢ NĂM</t>
    </r>
    <r>
      <rPr>
        <sz val="13"/>
        <rFont val="Arial"/>
        <family val="2"/>
      </rPr>
      <t>, chọn và chép toàn bộ bảng (kích ô xám ở góc trên bên trái vùng bảng tính, nhấn Ctrl-C).</t>
    </r>
  </si>
  <si>
    <t>Trở lại file này.</t>
  </si>
  <si>
    <r>
      <t xml:space="preserve">Chọn bảng tính </t>
    </r>
    <r>
      <rPr>
        <b/>
        <sz val="13"/>
        <rFont val="Arial"/>
        <family val="2"/>
      </rPr>
      <t>NH13-14</t>
    </r>
    <r>
      <rPr>
        <sz val="13"/>
        <rFont val="Arial"/>
        <family val="2"/>
      </rPr>
      <t xml:space="preserve">, chọn ô </t>
    </r>
    <r>
      <rPr>
        <b/>
        <sz val="13"/>
        <rFont val="Arial"/>
        <family val="2"/>
      </rPr>
      <t>A1</t>
    </r>
    <r>
      <rPr>
        <sz val="13"/>
        <rFont val="Arial"/>
        <family val="2"/>
      </rPr>
      <t xml:space="preserve">, nhấn </t>
    </r>
    <r>
      <rPr>
        <b/>
        <sz val="13"/>
        <rFont val="Arial"/>
        <family val="2"/>
      </rPr>
      <t>Ctrl_V</t>
    </r>
    <r>
      <rPr>
        <sz val="13"/>
        <rFont val="Arial"/>
        <family val="2"/>
      </rPr>
      <t>.</t>
    </r>
  </si>
  <si>
    <r>
      <t xml:space="preserve">Nhập điểm kết quả rèn luyện vào cột </t>
    </r>
    <r>
      <rPr>
        <b/>
        <sz val="13"/>
        <rFont val="Arial"/>
        <family val="2"/>
      </rPr>
      <t>BB</t>
    </r>
  </si>
  <si>
    <t>Chú ý: Do tình hình nhập lớp so với năm học trước, xin quý thầy cô kiểm tra lại danh sách lớp để xem có sinh viên lớp khác được chuyển sang lớp đang làm cố vấn không? Nếu có thì chép từng hàng tên vào cuối bảng tính này.</t>
  </si>
  <si>
    <t>13D2010140</t>
  </si>
  <si>
    <t>04.06.94</t>
  </si>
  <si>
    <t>13D2010145</t>
  </si>
  <si>
    <t>Phạm Huỳnh Nga</t>
  </si>
  <si>
    <t>13D2010150</t>
  </si>
  <si>
    <t>13D2010160</t>
  </si>
  <si>
    <t>13D2010165</t>
  </si>
  <si>
    <t>Đỗ Hoàng</t>
  </si>
  <si>
    <t>Quy</t>
  </si>
  <si>
    <t>13D2010170</t>
  </si>
  <si>
    <t>Cáp Minh</t>
  </si>
  <si>
    <t>13D2010175</t>
  </si>
  <si>
    <t>Sĩ</t>
  </si>
  <si>
    <t>11.11.94</t>
  </si>
  <si>
    <t>13D2010185</t>
  </si>
  <si>
    <t>Lê Kim</t>
  </si>
  <si>
    <t>18.02.94</t>
  </si>
  <si>
    <t>13D2010190</t>
  </si>
  <si>
    <t>27.07.94</t>
  </si>
  <si>
    <t>13D2010195</t>
  </si>
  <si>
    <t>Nguyễn Văn Chí</t>
  </si>
  <si>
    <t>21.03.95</t>
  </si>
  <si>
    <t>13D2010200</t>
  </si>
  <si>
    <t>13D2010205</t>
  </si>
  <si>
    <t>Thọ</t>
  </si>
  <si>
    <t>13D2010210</t>
  </si>
  <si>
    <t>Đào Minh</t>
  </si>
  <si>
    <t>07.04.94</t>
  </si>
  <si>
    <t>13D2010215</t>
  </si>
  <si>
    <t>10.09.95</t>
  </si>
  <si>
    <t>13D2010230</t>
  </si>
  <si>
    <t>16.04.95</t>
  </si>
  <si>
    <t>13D2010240</t>
  </si>
  <si>
    <t>Truyền</t>
  </si>
  <si>
    <t>13D2010245</t>
  </si>
  <si>
    <t>13D2010250</t>
  </si>
  <si>
    <t>Tương</t>
  </si>
  <si>
    <t>13D2010255</t>
  </si>
  <si>
    <t>22.07.94</t>
  </si>
  <si>
    <t>13D2010260</t>
  </si>
  <si>
    <t>LỚP</t>
  </si>
  <si>
    <t xml:space="preserve">TÊN HỌC PHẦN </t>
  </si>
  <si>
    <t xml:space="preserve">GHI CHÚ </t>
  </si>
  <si>
    <t xml:space="preserve">LÝ THUYẾT </t>
  </si>
  <si>
    <t xml:space="preserve">THỰC HÀNH </t>
  </si>
  <si>
    <t>13 CĐ - ĐT 
1, 2, 3, 4</t>
  </si>
  <si>
    <t>13 CĐ - Đ 
1, 2, 3, 4</t>
  </si>
  <si>
    <t>13 CĐ-NL 
1, 2</t>
  </si>
  <si>
    <t xml:space="preserve">13 CĐ-M  </t>
  </si>
  <si>
    <t>13 CĐ-TM
1, 2</t>
  </si>
  <si>
    <t xml:space="preserve">Nơi nhận: </t>
  </si>
  <si>
    <t xml:space="preserve">                         HIỆU TRƯỞNG </t>
  </si>
  <si>
    <r>
      <t xml:space="preserve"> * BGH </t>
    </r>
    <r>
      <rPr>
        <i/>
        <sz val="9"/>
        <rFont val="Times New Roman"/>
        <family val="1"/>
      </rPr>
      <t>để báo cáo</t>
    </r>
    <r>
      <rPr>
        <sz val="9"/>
        <rFont val="Times New Roman"/>
        <family val="1"/>
      </rPr>
      <t>;</t>
    </r>
  </si>
  <si>
    <r>
      <t xml:space="preserve">*  Các Khoa </t>
    </r>
    <r>
      <rPr>
        <i/>
        <sz val="9"/>
        <rFont val="Times New Roman"/>
        <family val="1"/>
      </rPr>
      <t>để thực hiện</t>
    </r>
    <r>
      <rPr>
        <sz val="9"/>
        <rFont val="Times New Roman"/>
        <family val="1"/>
      </rPr>
      <t xml:space="preserve">; </t>
    </r>
  </si>
  <si>
    <r>
      <t xml:space="preserve">*  P.Đào tạo </t>
    </r>
    <r>
      <rPr>
        <i/>
        <sz val="9"/>
        <rFont val="Times New Roman"/>
        <family val="1"/>
      </rPr>
      <t>để theo dõi</t>
    </r>
    <r>
      <rPr>
        <sz val="9"/>
        <rFont val="Times New Roman"/>
        <family val="1"/>
      </rPr>
      <t>.</t>
    </r>
  </si>
  <si>
    <t>Tổng TC</t>
  </si>
  <si>
    <t>LT01</t>
  </si>
  <si>
    <t>LT02</t>
  </si>
  <si>
    <t>LT03</t>
  </si>
  <si>
    <t>LT04</t>
  </si>
  <si>
    <t>LT05</t>
  </si>
  <si>
    <t>LT06</t>
  </si>
  <si>
    <t>LT07</t>
  </si>
  <si>
    <t>LT08</t>
  </si>
  <si>
    <t>SHEET</t>
  </si>
  <si>
    <t>TC13CĐĐT1</t>
  </si>
  <si>
    <t>TC13CĐĐT2</t>
  </si>
  <si>
    <t>TC13CĐĐT3</t>
  </si>
  <si>
    <t>TC13CĐĐT4</t>
  </si>
  <si>
    <t>TC13CĐĐ1</t>
  </si>
  <si>
    <t>TC13CĐĐ2</t>
  </si>
  <si>
    <t>TC13CĐĐ3</t>
  </si>
  <si>
    <t>TC13CĐĐ4</t>
  </si>
  <si>
    <t>TC13CĐCK1</t>
  </si>
  <si>
    <t>TC13CĐCK2</t>
  </si>
  <si>
    <t>TC13CĐCK3</t>
  </si>
  <si>
    <t>TC13CĐCK4</t>
  </si>
  <si>
    <t>TC13CĐCK5</t>
  </si>
  <si>
    <t>TC13CĐÔ1</t>
  </si>
  <si>
    <t>TC13CĐÔ2</t>
  </si>
  <si>
    <t>TC13CĐÔ3</t>
  </si>
  <si>
    <t>TC13CĐÔ4</t>
  </si>
  <si>
    <t>TC13CĐÔ5</t>
  </si>
  <si>
    <t>TC13CĐTP1</t>
  </si>
  <si>
    <t>TC13CĐTP2</t>
  </si>
  <si>
    <t>TC13CĐTP3</t>
  </si>
  <si>
    <t>TC13CĐTM1</t>
  </si>
  <si>
    <t>TC13CĐTM2</t>
  </si>
  <si>
    <t>TC13CĐCK6</t>
  </si>
  <si>
    <t>TC13CĐNL1</t>
  </si>
  <si>
    <t>TC13CĐNL2</t>
  </si>
  <si>
    <t>TC13CĐM</t>
  </si>
  <si>
    <t xml:space="preserve">Từ Quang </t>
  </si>
  <si>
    <t>13D2010003</t>
  </si>
  <si>
    <t>13CĐ-CK4</t>
  </si>
  <si>
    <t>13D2010009</t>
  </si>
  <si>
    <t>13D2010018</t>
  </si>
  <si>
    <t>13D2010033</t>
  </si>
  <si>
    <t>20.08.94</t>
  </si>
  <si>
    <t>13D2010045</t>
  </si>
  <si>
    <t>Gin</t>
  </si>
  <si>
    <t>13D2010293</t>
  </si>
  <si>
    <t xml:space="preserve">Lê Tiến </t>
  </si>
  <si>
    <t>08.08.91</t>
  </si>
  <si>
    <t>13D2010051</t>
  </si>
  <si>
    <t>10.04.95</t>
  </si>
  <si>
    <t>13D2010057</t>
  </si>
  <si>
    <t>Hiến</t>
  </si>
  <si>
    <t>13D2010063</t>
  </si>
  <si>
    <t>13D2010081</t>
  </si>
  <si>
    <t>26.05.95</t>
  </si>
  <si>
    <t>13D2010086</t>
  </si>
  <si>
    <t>Nguyễn Đan</t>
  </si>
  <si>
    <t>13D2010091</t>
  </si>
  <si>
    <t>Nguyễn Sỹ</t>
  </si>
  <si>
    <t>07.01.95</t>
  </si>
  <si>
    <t>13D2010096</t>
  </si>
  <si>
    <t>Lắm</t>
  </si>
  <si>
    <t>13D2010101</t>
  </si>
  <si>
    <t>10.08.93</t>
  </si>
  <si>
    <t>06.09.95</t>
  </si>
  <si>
    <t>13D2010116</t>
  </si>
  <si>
    <t>Thái Hồng</t>
  </si>
  <si>
    <t>03.02.94</t>
  </si>
  <si>
    <t>13D2010121</t>
  </si>
  <si>
    <t>Châu Hoài</t>
  </si>
  <si>
    <t>29.11.94</t>
  </si>
  <si>
    <t>13D2010126</t>
  </si>
  <si>
    <t>13D2010131</t>
  </si>
  <si>
    <t>27.03.95</t>
  </si>
  <si>
    <t>13D2010133</t>
  </si>
  <si>
    <t xml:space="preserve">Nguyễn Ngọc </t>
  </si>
  <si>
    <t>20.02.92</t>
  </si>
  <si>
    <t>13D2010141</t>
  </si>
  <si>
    <t xml:space="preserve">Đặng Xuân </t>
  </si>
  <si>
    <t>13D2010156</t>
  </si>
  <si>
    <t>13D2010161</t>
  </si>
  <si>
    <t>Nguyễn Tuấn</t>
  </si>
  <si>
    <t>06.03.95</t>
  </si>
  <si>
    <t>24.01.95</t>
  </si>
  <si>
    <t>13D2010176</t>
  </si>
  <si>
    <t>Ngô Đình Thái</t>
  </si>
  <si>
    <t>13D2010181</t>
  </si>
  <si>
    <t>06.11.94</t>
  </si>
  <si>
    <t>13D2010186</t>
  </si>
  <si>
    <t>13D2010294</t>
  </si>
  <si>
    <t>Tôn Đức</t>
  </si>
  <si>
    <t>03.10.94</t>
  </si>
  <si>
    <t>13D2010191</t>
  </si>
  <si>
    <t>30.05.95</t>
  </si>
  <si>
    <t>13D2010196</t>
  </si>
  <si>
    <t>Phùng Hữu</t>
  </si>
  <si>
    <t>13D2010201</t>
  </si>
  <si>
    <t>Thiệu</t>
  </si>
  <si>
    <t>10.11.95</t>
  </si>
  <si>
    <t>13D2010206</t>
  </si>
  <si>
    <t>Thơm</t>
  </si>
  <si>
    <t>13D2010216</t>
  </si>
  <si>
    <t>24.11.94</t>
  </si>
  <si>
    <t>Trương Minh</t>
  </si>
  <si>
    <t>27.11.95</t>
  </si>
  <si>
    <t>13D2010226</t>
  </si>
  <si>
    <t>28.08.94</t>
  </si>
  <si>
    <t>13D2010231</t>
  </si>
  <si>
    <t>Trịnh Minh</t>
  </si>
  <si>
    <t>13D2010236</t>
  </si>
  <si>
    <t>02.10.95</t>
  </si>
  <si>
    <t>22.01.95</t>
  </si>
  <si>
    <t>13D2010248</t>
  </si>
  <si>
    <t>13D2010256</t>
  </si>
  <si>
    <t>Trần Văn Đại</t>
  </si>
  <si>
    <t>13D2010261</t>
  </si>
  <si>
    <t>13CĐ-CK5</t>
  </si>
  <si>
    <t>13D2010016</t>
  </si>
  <si>
    <t>Lê Hữu</t>
  </si>
  <si>
    <t>07.06.95</t>
  </si>
  <si>
    <t>13D2010022</t>
  </si>
  <si>
    <t>13D2010024</t>
  </si>
  <si>
    <t>13D2010028</t>
  </si>
  <si>
    <t>Phạm Vũ</t>
  </si>
  <si>
    <t>13D2010034</t>
  </si>
  <si>
    <t>Mai Công</t>
  </si>
  <si>
    <t>25.06.94</t>
  </si>
  <si>
    <t>13D2010040</t>
  </si>
  <si>
    <t>Nguyễn Hòai</t>
  </si>
  <si>
    <t>13D2010046</t>
  </si>
  <si>
    <t>15.06.95</t>
  </si>
  <si>
    <t>13D2010058</t>
  </si>
  <si>
    <t>Mai Xuân</t>
  </si>
  <si>
    <t>12.03.95</t>
  </si>
  <si>
    <t>13D2010064</t>
  </si>
  <si>
    <t>13D2010078</t>
  </si>
  <si>
    <t>21.08.94</t>
  </si>
  <si>
    <t>13D2010082</t>
  </si>
  <si>
    <t>17.07.95</t>
  </si>
  <si>
    <t>13D2010087</t>
  </si>
  <si>
    <t>30.09.93</t>
  </si>
  <si>
    <t>13D2010102</t>
  </si>
  <si>
    <t>Phan Quang</t>
  </si>
  <si>
    <t>10.03.94</t>
  </si>
  <si>
    <t>13D2010107</t>
  </si>
  <si>
    <t>Nghiêm Bảo</t>
  </si>
  <si>
    <t>28.08.95</t>
  </si>
  <si>
    <t>13D2010112</t>
  </si>
  <si>
    <t>13D2010117</t>
  </si>
  <si>
    <t>Đoàn Thanh</t>
  </si>
  <si>
    <t>13D2010122</t>
  </si>
  <si>
    <t>Hoàng Sỹ</t>
  </si>
  <si>
    <t>13D2010127</t>
  </si>
  <si>
    <t xml:space="preserve">Lê Văn </t>
  </si>
  <si>
    <t>13D2010147</t>
  </si>
  <si>
    <t>Hán Văn</t>
  </si>
  <si>
    <t>13D2010157</t>
  </si>
  <si>
    <t>Đỗ Hữu</t>
  </si>
  <si>
    <t>17.09.94</t>
  </si>
  <si>
    <t>13D2010292</t>
  </si>
  <si>
    <t>Cát Văn</t>
  </si>
  <si>
    <t>08.06.95</t>
  </si>
  <si>
    <t>13D2010162</t>
  </si>
  <si>
    <t>Trần</t>
  </si>
  <si>
    <t>13D2010167</t>
  </si>
  <si>
    <t>13D2010177</t>
  </si>
  <si>
    <t>13D2010182</t>
  </si>
  <si>
    <t>13D2010187</t>
  </si>
  <si>
    <t>03.11.95</t>
  </si>
  <si>
    <t>13D2010198</t>
  </si>
  <si>
    <t>Trương Nhật</t>
  </si>
  <si>
    <t>13D2010202</t>
  </si>
  <si>
    <t>02.08.94</t>
  </si>
  <si>
    <t>13D2010207</t>
  </si>
  <si>
    <t>Nguyễn Trí</t>
  </si>
  <si>
    <t>13D2010212</t>
  </si>
  <si>
    <t>Nguyễn Tự Trường</t>
  </si>
  <si>
    <t>06.11.93</t>
  </si>
  <si>
    <t>13D2010222</t>
  </si>
  <si>
    <t>Tiệp</t>
  </si>
  <si>
    <t>17.05.95</t>
  </si>
  <si>
    <t>13D2010232</t>
  </si>
  <si>
    <t>13D2010242</t>
  </si>
  <si>
    <t>13.10.94</t>
  </si>
  <si>
    <t>13D2010247</t>
  </si>
  <si>
    <t>Tạ Phương</t>
  </si>
  <si>
    <t>13D2010257</t>
  </si>
  <si>
    <t>Hồ Quang</t>
  </si>
  <si>
    <t>13D2010262</t>
  </si>
  <si>
    <t>Nguyễn Trần Tuấn</t>
  </si>
  <si>
    <t>13D2010005</t>
  </si>
  <si>
    <t>Ất</t>
  </si>
  <si>
    <t>25.05.95</t>
  </si>
  <si>
    <t>13CĐ-CK6</t>
  </si>
  <si>
    <t>13D2010011</t>
  </si>
  <si>
    <t>Vòng Đình</t>
  </si>
  <si>
    <t>Bích</t>
  </si>
  <si>
    <t>04.08.94</t>
  </si>
  <si>
    <t>13D2010272</t>
  </si>
  <si>
    <t>K'</t>
  </si>
  <si>
    <t>Bis</t>
  </si>
  <si>
    <t>13D2010017</t>
  </si>
  <si>
    <t>Trần Bảo</t>
  </si>
  <si>
    <t>08.06.92</t>
  </si>
  <si>
    <t>13D2010023</t>
  </si>
  <si>
    <t>Dự</t>
  </si>
  <si>
    <t>28.08.93</t>
  </si>
  <si>
    <t>13D2010273</t>
  </si>
  <si>
    <t>Dược</t>
  </si>
  <si>
    <t>13D2010026</t>
  </si>
  <si>
    <t>13D2010274</t>
  </si>
  <si>
    <t xml:space="preserve">Nguyễn Nhật </t>
  </si>
  <si>
    <t>13D2010279</t>
  </si>
  <si>
    <t>06.08.94</t>
  </si>
  <si>
    <t>13D2010029</t>
  </si>
  <si>
    <t>Đài</t>
  </si>
  <si>
    <t>13D2010035</t>
  </si>
  <si>
    <t>13D2010267</t>
  </si>
  <si>
    <t>Định</t>
  </si>
  <si>
    <t>20.05.91</t>
  </si>
  <si>
    <t>13D2010047</t>
  </si>
  <si>
    <t>13D2010275</t>
  </si>
  <si>
    <t>06.09.94</t>
  </si>
  <si>
    <t>13D2010266</t>
  </si>
  <si>
    <t>Lê Đức</t>
  </si>
  <si>
    <t>13D2010271</t>
  </si>
  <si>
    <t>Lê Trần Trung</t>
  </si>
  <si>
    <t>04.10.95</t>
  </si>
  <si>
    <t>13D2010065</t>
  </si>
  <si>
    <t>Phạm Long</t>
  </si>
  <si>
    <t>13D2010083</t>
  </si>
  <si>
    <t>Võ Thiện</t>
  </si>
  <si>
    <t>06.01.95</t>
  </si>
  <si>
    <t>13D2010071</t>
  </si>
  <si>
    <t>CẢNH BÁO
KẾT QUẢ HỌC TẬP</t>
  </si>
  <si>
    <t>(24)</t>
  </si>
  <si>
    <t>(25)</t>
  </si>
  <si>
    <t>GVBM học phần "ABC" hoặc CVHT</t>
  </si>
  <si>
    <t>CVHT</t>
  </si>
  <si>
    <r>
      <t xml:space="preserve">Khi muốn in bảng tổng kết, nên che giấu (ẩn) các vị trí cột (hàng) không có điểm bằng cách chọn các cột (hàng) đó, rồi vào </t>
    </r>
    <r>
      <rPr>
        <b/>
        <sz val="13"/>
        <rFont val="Arial"/>
        <family val="2"/>
      </rPr>
      <t xml:space="preserve">FORMAT → COLUMN (ROW) → HIDE </t>
    </r>
    <r>
      <rPr>
        <sz val="13"/>
        <rFont val="Arial"/>
        <family val="2"/>
      </rPr>
      <t xml:space="preserve">(hoặc chuột phải </t>
    </r>
    <r>
      <rPr>
        <b/>
        <sz val="13"/>
        <rFont val="Arial"/>
        <family val="2"/>
      </rPr>
      <t>HIDE</t>
    </r>
    <r>
      <rPr>
        <sz val="13"/>
        <rFont val="Arial"/>
        <family val="2"/>
      </rPr>
      <t>).</t>
    </r>
  </si>
  <si>
    <r>
      <t>Ghi chú</t>
    </r>
    <r>
      <rPr>
        <sz val="13"/>
        <rFont val="Arial"/>
        <family val="2"/>
      </rPr>
      <t>: Trước khi thông báo kết quả học tập cho SV, xin quý Thầy Cô gởi file thông qua địa chỉ mail của phòng để kiểm tra, đối chiếu với các bảng điểm tổng kết học phần nhằm hạn chế sai sót. Nếu bảng tính có sai sót, phòng sẽ báo bằng mail cho quý Thầy Cô.</t>
    </r>
  </si>
  <si>
    <r>
      <t xml:space="preserve">Kích vào nút mũi tên của cột </t>
    </r>
    <r>
      <rPr>
        <b/>
        <sz val="13"/>
        <rFont val="Arial"/>
        <family val="2"/>
      </rPr>
      <t>Lớp</t>
    </r>
    <r>
      <rPr>
        <sz val="13"/>
        <rFont val="Arial"/>
        <family val="2"/>
      </rPr>
      <t>, chọn tên lớp, sau đó chọn toàn bộ MSSV (mã số sinh viên) của lớp, nhấn phím Ctrl-C để chép mã số SV.</t>
    </r>
  </si>
  <si>
    <t>Quy trình nhập điểm tổng kết Học kỳ CĐKT theo tín chỉ</t>
  </si>
  <si>
    <r>
      <t>Lưu ý:</t>
    </r>
    <r>
      <rPr>
        <sz val="13"/>
        <rFont val="Arial"/>
        <family val="2"/>
      </rPr>
      <t xml:space="preserve"> Đối với sinh viên bảo lưu, chỉ cần nhập điểm vào cột </t>
    </r>
    <r>
      <rPr>
        <b/>
        <sz val="13"/>
        <rFont val="Arial"/>
        <family val="2"/>
      </rPr>
      <t>Điểm bảo lưu</t>
    </r>
    <r>
      <rPr>
        <sz val="13"/>
        <rFont val="Arial"/>
        <family val="2"/>
      </rPr>
      <t>, các cột còn lại không nhập.</t>
    </r>
  </si>
  <si>
    <r>
      <t>Ghi chú:</t>
    </r>
    <r>
      <rPr>
        <sz val="13"/>
        <rFont val="Arial"/>
        <family val="2"/>
      </rPr>
      <t xml:space="preserve"> Nếu CVHT đã có file tổng kết học phần đúng yêu cầu, vẫn có thể tự thực hiện bước 4 này bằng cách chép các cột điểm từ file của GVBM vào các bảng tính tương ứng.</t>
    </r>
  </si>
  <si>
    <r>
      <t>Ghi chú:</t>
    </r>
    <r>
      <rPr>
        <sz val="13"/>
        <rFont val="Arial"/>
        <family val="2"/>
      </rPr>
      <t xml:space="preserve"> Thứ tự danh sách trong các bảng tính đã thống nhất, do đó bắt buộc đảm bảo độ chính xác của </t>
    </r>
    <r>
      <rPr>
        <b/>
        <i/>
        <sz val="13"/>
        <rFont val="Arial"/>
        <family val="2"/>
      </rPr>
      <t>giữa các điểm thành phần với MSSV tương ứng</t>
    </r>
    <r>
      <rPr>
        <sz val="13"/>
        <rFont val="Arial"/>
        <family val="2"/>
      </rPr>
      <t>. Nên kiểm tra lại sự thống nhất danh sách trong sổ tay giảng viên và danh sách trong file để tránh nhập điểm sai.</t>
    </r>
  </si>
  <si>
    <t>Số TC nợ</t>
  </si>
  <si>
    <t>Vũ Đức</t>
  </si>
  <si>
    <t>12D2050032</t>
  </si>
  <si>
    <t>GIẢNG VIÊN GIẢNG DẠY</t>
  </si>
  <si>
    <t>13D2010264</t>
  </si>
  <si>
    <t xml:space="preserve">Phan Đình </t>
  </si>
  <si>
    <t>13D2010077</t>
  </si>
  <si>
    <t>05.05.94</t>
  </si>
  <si>
    <t>13D2010283</t>
  </si>
  <si>
    <t>Ngô Quý</t>
  </si>
  <si>
    <t>13D2010276</t>
  </si>
  <si>
    <t>Kiếm</t>
  </si>
  <si>
    <t>08.04.93</t>
  </si>
  <si>
    <t>13D2010286</t>
  </si>
  <si>
    <t>03.09.94</t>
  </si>
  <si>
    <t>13D2010288</t>
  </si>
  <si>
    <t>Nguyễn Quí</t>
  </si>
  <si>
    <t>13D2010289</t>
  </si>
  <si>
    <t>Tây</t>
  </si>
  <si>
    <t>21.05.93</t>
  </si>
  <si>
    <t>13D2010268</t>
  </si>
  <si>
    <t>21.07.95</t>
  </si>
  <si>
    <t>13D2010265</t>
  </si>
  <si>
    <t>26.06.95</t>
  </si>
  <si>
    <t>13D2010291</t>
  </si>
  <si>
    <t xml:space="preserve">Lê Công </t>
  </si>
  <si>
    <t>20.05.93</t>
  </si>
  <si>
    <t>13D2010278</t>
  </si>
  <si>
    <t>Trần Lê Bảo</t>
  </si>
  <si>
    <t>13D2010269</t>
  </si>
  <si>
    <t>Chế Quang</t>
  </si>
  <si>
    <t>Triều</t>
  </si>
  <si>
    <t>05.11.94</t>
  </si>
  <si>
    <t>13D2010252</t>
  </si>
  <si>
    <t>13D2010039</t>
  </si>
  <si>
    <t>Điểm thi chính</t>
  </si>
  <si>
    <t>Điểm HP chính</t>
  </si>
  <si>
    <t>Điểm HP Phụ theo điểm thi phụ</t>
  </si>
  <si>
    <t>Tính lại điểm HP phụ</t>
  </si>
  <si>
    <t>Hoàng Kim</t>
  </si>
  <si>
    <t>10.08.95</t>
  </si>
  <si>
    <t>30.12.95</t>
  </si>
  <si>
    <t>13D2010281</t>
  </si>
  <si>
    <t xml:space="preserve">Nguyễn Đình </t>
  </si>
  <si>
    <t>Võ Hoài</t>
  </si>
  <si>
    <t>Phan Thị Ánh</t>
  </si>
  <si>
    <t>13.06.95</t>
  </si>
  <si>
    <t>13CĐ-Ô1</t>
  </si>
  <si>
    <t>13D2050006</t>
  </si>
  <si>
    <t>Lê Vạn</t>
  </si>
  <si>
    <t>13D2050011</t>
  </si>
  <si>
    <t>Châu</t>
  </si>
  <si>
    <t>13D2050031</t>
  </si>
  <si>
    <t>Lê Vũ</t>
  </si>
  <si>
    <t>08.08.93</t>
  </si>
  <si>
    <t>13D2050041</t>
  </si>
  <si>
    <t>12.02.94</t>
  </si>
  <si>
    <t>13D2050046</t>
  </si>
  <si>
    <t>13D2050307</t>
  </si>
  <si>
    <t>11.03.95</t>
  </si>
  <si>
    <t>13D2050306</t>
  </si>
  <si>
    <t xml:space="preserve">Trần Ngọc </t>
  </si>
  <si>
    <t>21.02.94</t>
  </si>
  <si>
    <t>13D2050290</t>
  </si>
  <si>
    <t>13D2050081</t>
  </si>
  <si>
    <t>Bùi Quang</t>
  </si>
  <si>
    <t>13D2050086</t>
  </si>
  <si>
    <t>13D2050091</t>
  </si>
  <si>
    <t>Nguyễn Dương</t>
  </si>
  <si>
    <t>24.09.95</t>
  </si>
  <si>
    <t>05.08.95</t>
  </si>
  <si>
    <t>13D2050101</t>
  </si>
  <si>
    <t>20.07.93</t>
  </si>
  <si>
    <t>13D2050276</t>
  </si>
  <si>
    <t>13D2050103</t>
  </si>
  <si>
    <t xml:space="preserve">Đinh Hoàng </t>
  </si>
  <si>
    <t>18.08.95</t>
  </si>
  <si>
    <t>13D2050110</t>
  </si>
  <si>
    <t>14.06.95</t>
  </si>
  <si>
    <t>13D2050111</t>
  </si>
  <si>
    <t>Vòng Văn</t>
  </si>
  <si>
    <t>04.03.93</t>
  </si>
  <si>
    <t>13D2050266</t>
  </si>
  <si>
    <t>08.04.95</t>
  </si>
  <si>
    <t>13D2050141</t>
  </si>
  <si>
    <t>Nhứt</t>
  </si>
  <si>
    <t>13D2050151</t>
  </si>
  <si>
    <t>Mai Hữu</t>
  </si>
  <si>
    <t>13D2050156</t>
  </si>
  <si>
    <t>13D2050161</t>
  </si>
  <si>
    <t>21.07.94</t>
  </si>
  <si>
    <t>13D2050166</t>
  </si>
  <si>
    <t>Sinh</t>
  </si>
  <si>
    <t>13D2050171</t>
  </si>
  <si>
    <t>13D2050181</t>
  </si>
  <si>
    <t>Trần Việt</t>
  </si>
  <si>
    <t>17.09.95</t>
  </si>
  <si>
    <t>Thiên</t>
  </si>
  <si>
    <t>13D2050201</t>
  </si>
  <si>
    <t>Trần Kim</t>
  </si>
  <si>
    <t>13D2050202</t>
  </si>
  <si>
    <t>Đỗ Thị Cẩm</t>
  </si>
  <si>
    <t>Thu</t>
  </si>
  <si>
    <t>13D2050211</t>
  </si>
  <si>
    <t>13D2050216</t>
  </si>
  <si>
    <t>Lương Văn</t>
  </si>
  <si>
    <t>13D2050221</t>
  </si>
  <si>
    <t>Nguyễn Hữu Minh</t>
  </si>
  <si>
    <t>13D2050286</t>
  </si>
  <si>
    <t>13D2050226</t>
  </si>
  <si>
    <t>15.08.95</t>
  </si>
  <si>
    <t>13D2050236</t>
  </si>
  <si>
    <t>Hà Anh</t>
  </si>
  <si>
    <t>05.06.94</t>
  </si>
  <si>
    <t>13D2050241</t>
  </si>
  <si>
    <t>24.03.95</t>
  </si>
  <si>
    <t>13D2050288</t>
  </si>
  <si>
    <t>Phan Đoàn Anh</t>
  </si>
  <si>
    <t>07.08.94</t>
  </si>
  <si>
    <t>13D2050275</t>
  </si>
  <si>
    <t>13D2050251</t>
  </si>
  <si>
    <t>13D2050002</t>
  </si>
  <si>
    <t>10.08.94</t>
  </si>
  <si>
    <t>13CĐ-Ô2</t>
  </si>
  <si>
    <t>13D2050293</t>
  </si>
  <si>
    <t>Đặng Trần Hoàng</t>
  </si>
  <si>
    <t>13D2050007</t>
  </si>
  <si>
    <t>04.10.93</t>
  </si>
  <si>
    <t>13D2050294</t>
  </si>
  <si>
    <t xml:space="preserve">Nguyễn Đình Quốc </t>
  </si>
  <si>
    <t>17.10.95</t>
  </si>
  <si>
    <t>13D2050017</t>
  </si>
  <si>
    <t>Dân</t>
  </si>
  <si>
    <t>06.01.94</t>
  </si>
  <si>
    <t>13D2050022</t>
  </si>
  <si>
    <t>Lê Triều</t>
  </si>
  <si>
    <t>13D2050027</t>
  </si>
  <si>
    <t>Tạ Quốc</t>
  </si>
  <si>
    <t>13D2050032</t>
  </si>
  <si>
    <t>13D2050042</t>
  </si>
  <si>
    <t>Hồ Quốc</t>
  </si>
  <si>
    <t>13D2050052</t>
  </si>
  <si>
    <t>Hân</t>
  </si>
  <si>
    <t>13D2050062</t>
  </si>
  <si>
    <t>Lư Trung</t>
  </si>
  <si>
    <t>13D2050304</t>
  </si>
  <si>
    <t>13D2050067</t>
  </si>
  <si>
    <t>Trần Nguyên</t>
  </si>
  <si>
    <t>19.10.94</t>
  </si>
  <si>
    <t>13D2050072</t>
  </si>
  <si>
    <t>13D2050077</t>
  </si>
  <si>
    <t>13D2050087</t>
  </si>
  <si>
    <t>Trần Mạnh</t>
  </si>
  <si>
    <t>13D2050092</t>
  </si>
  <si>
    <t xml:space="preserve">Làu Nhục </t>
  </si>
  <si>
    <t>Khền</t>
  </si>
  <si>
    <t>05.02.94</t>
  </si>
  <si>
    <t>17.01.95</t>
  </si>
  <si>
    <t>19.09.95</t>
  </si>
  <si>
    <t>13D2050112</t>
  </si>
  <si>
    <t>03.05.94</t>
  </si>
  <si>
    <t>13D2050122</t>
  </si>
  <si>
    <t>Phan Vĩnh</t>
  </si>
  <si>
    <t>Ngà</t>
  </si>
  <si>
    <t>10.01.92</t>
  </si>
  <si>
    <t>Ngọc</t>
  </si>
  <si>
    <t>13D2050147</t>
  </si>
  <si>
    <t>Nguyễn Dương Hoàng</t>
  </si>
  <si>
    <t>13D2050152</t>
  </si>
  <si>
    <t>13D2050157</t>
  </si>
  <si>
    <t>Chế Vinh</t>
  </si>
  <si>
    <t>Mai Thanh</t>
  </si>
  <si>
    <t>13D2050283</t>
  </si>
  <si>
    <t>Bùi Ngọc</t>
  </si>
  <si>
    <t>19.09.94</t>
  </si>
  <si>
    <t>13D2050167</t>
  </si>
  <si>
    <t>02.05.93</t>
  </si>
  <si>
    <t>13D2050172</t>
  </si>
  <si>
    <t>Phùng Văn</t>
  </si>
  <si>
    <t>13D2050177</t>
  </si>
  <si>
    <t>13D2050187</t>
  </si>
  <si>
    <t>13D2050191</t>
  </si>
  <si>
    <t>13D2050197</t>
  </si>
  <si>
    <t>13D2050205</t>
  </si>
  <si>
    <t>Thức</t>
  </si>
  <si>
    <t>13D2050206</t>
  </si>
  <si>
    <t>Thượng Công</t>
  </si>
  <si>
    <t>13D2050212</t>
  </si>
  <si>
    <t>DS ngày 08/12/2014</t>
  </si>
  <si>
    <t>VPNQ05/12/14KT</t>
  </si>
  <si>
    <t>VPNQ21/11/14CC</t>
  </si>
  <si>
    <t>VPNQ21/11/14KT</t>
  </si>
  <si>
    <r>
      <t>VPNQ07/10/14CC-</t>
    </r>
    <r>
      <rPr>
        <sz val="12"/>
        <color indexed="10"/>
        <rFont val="Times New Roman"/>
        <family val="1"/>
      </rPr>
      <t>VPNQ05/12/14CC2</t>
    </r>
  </si>
  <si>
    <r>
      <t>VPNQ07/10/14KT-</t>
    </r>
    <r>
      <rPr>
        <sz val="12"/>
        <color indexed="10"/>
        <rFont val="Times New Roman"/>
        <family val="1"/>
      </rPr>
      <t>VPNQ05/12/14CC</t>
    </r>
  </si>
  <si>
    <t>VPNQ21/11/2014KT</t>
  </si>
  <si>
    <r>
      <t>Đ2-TNH.12CĐ-Đ3-</t>
    </r>
    <r>
      <rPr>
        <b/>
        <sz val="12"/>
        <color indexed="10"/>
        <rFont val="Times New Roman"/>
        <family val="1"/>
      </rPr>
      <t>VPNQ05/12/14KT</t>
    </r>
  </si>
  <si>
    <t>VPNQ28/11/14CC(ĐN)</t>
  </si>
  <si>
    <r>
      <t>CK6-</t>
    </r>
    <r>
      <rPr>
        <sz val="12"/>
        <color indexed="10"/>
        <rFont val="Times New Roman"/>
        <family val="1"/>
      </rPr>
      <t>DT.Hoa-VPNQ01/12/14KT</t>
    </r>
  </si>
  <si>
    <t>VPNQ01/12/14KT</t>
  </si>
  <si>
    <t>CK6-VPNQ01/12/14CC</t>
  </si>
  <si>
    <t>VPNQ01/12/14CC</t>
  </si>
  <si>
    <t>VPNQ03/12/14KT</t>
  </si>
  <si>
    <t>VPNQ03/12/14CC</t>
  </si>
  <si>
    <t>TP3-VPNQ03/12/14CC</t>
  </si>
  <si>
    <t>TP3-VPNQ03/12/14KT</t>
  </si>
  <si>
    <t>TNH.12CĐ-TP1-VPNQ03/12/14KT</t>
  </si>
  <si>
    <r>
      <t>DT.Hoa</t>
    </r>
    <r>
      <rPr>
        <sz val="12"/>
        <color indexed="8"/>
        <rFont val="Times New Roman"/>
        <family val="1"/>
      </rPr>
      <t>-VPNQ03/12/14KT</t>
    </r>
  </si>
  <si>
    <t>13D2050217</t>
  </si>
  <si>
    <t>Nguyễn Đạo</t>
  </si>
  <si>
    <t>Tĩnh</t>
  </si>
  <si>
    <t>13D2050285</t>
  </si>
  <si>
    <t>Nguyễn Mạnh</t>
  </si>
  <si>
    <t>13D2050222</t>
  </si>
  <si>
    <t>13D2050227</t>
  </si>
  <si>
    <t>Đoàn Quang</t>
  </si>
  <si>
    <t>18.02.95</t>
  </si>
  <si>
    <t>13D2050237</t>
  </si>
  <si>
    <t>Phạm Xuân</t>
  </si>
  <si>
    <t>13D2050242</t>
  </si>
  <si>
    <t>Phạm Hoàng Anh</t>
  </si>
  <si>
    <t>26.09.94</t>
  </si>
  <si>
    <t>13D2050247</t>
  </si>
  <si>
    <t>Tuyên</t>
  </si>
  <si>
    <t>13D2050262</t>
  </si>
  <si>
    <t>13CĐ-Ô3</t>
  </si>
  <si>
    <t>13D2050008</t>
  </si>
  <si>
    <t>Ngô Xuân</t>
  </si>
  <si>
    <t>18.02.93</t>
  </si>
  <si>
    <t>13D2050013</t>
  </si>
  <si>
    <t>07.05.95</t>
  </si>
  <si>
    <t>13D2050023</t>
  </si>
  <si>
    <t>Võ Đại</t>
  </si>
  <si>
    <t>13D2050033</t>
  </si>
  <si>
    <t>31.12.95</t>
  </si>
  <si>
    <t>29.01.95</t>
  </si>
  <si>
    <t>13D2050058</t>
  </si>
  <si>
    <t>13D2050068</t>
  </si>
  <si>
    <t>Giáp Văn</t>
  </si>
  <si>
    <t>10.09.94</t>
  </si>
  <si>
    <t>13D2050073</t>
  </si>
  <si>
    <t>BẢNG THỐNG KÊ NỢ HỌC PHẦN KỲ THI CHÍNH</t>
  </si>
  <si>
    <t>Số tín chỉ</t>
  </si>
  <si>
    <t>13D2050295</t>
  </si>
  <si>
    <t>Trịnh Đức</t>
  </si>
  <si>
    <t>13D2050083</t>
  </si>
  <si>
    <t>Lê Ngọc</t>
  </si>
  <si>
    <t>05.04.92</t>
  </si>
  <si>
    <t>13D2050088</t>
  </si>
  <si>
    <t>Trịnh Tấn</t>
  </si>
  <si>
    <t>13D2050093</t>
  </si>
  <si>
    <t>08.10.95</t>
  </si>
  <si>
    <t>13D2050108</t>
  </si>
  <si>
    <t>06.03.94</t>
  </si>
  <si>
    <t>13D2050109</t>
  </si>
  <si>
    <t>Tăng Mộng</t>
  </si>
  <si>
    <t>20.09.92</t>
  </si>
  <si>
    <t>13D2050113</t>
  </si>
  <si>
    <t>Lưu</t>
  </si>
  <si>
    <t>13D2050118</t>
  </si>
  <si>
    <t>13D2050123</t>
  </si>
  <si>
    <t>18.10.94</t>
  </si>
  <si>
    <t>13D2050281</t>
  </si>
  <si>
    <t>13D2050128</t>
  </si>
  <si>
    <t>Trần Văn Phương</t>
  </si>
  <si>
    <t>13D2050138</t>
  </si>
  <si>
    <t>06.07.94</t>
  </si>
  <si>
    <t>13D2050282</t>
  </si>
  <si>
    <t>13D2050153</t>
  </si>
  <si>
    <t>Nguyễn Vũ Tiến</t>
  </si>
  <si>
    <t>13D2050158</t>
  </si>
  <si>
    <t>Đặng Anh</t>
  </si>
  <si>
    <t>Qui</t>
  </si>
  <si>
    <t>18.08.94</t>
  </si>
  <si>
    <t>13D2050163</t>
  </si>
  <si>
    <t>13D2050173</t>
  </si>
  <si>
    <t>Đỗ Minh</t>
  </si>
  <si>
    <t>13D2050178</t>
  </si>
  <si>
    <t>Lưu Công</t>
  </si>
  <si>
    <t>13D2050179</t>
  </si>
  <si>
    <t>Nguyễn Chiến</t>
  </si>
  <si>
    <t>13D2050188</t>
  </si>
  <si>
    <t>Nguyễn Hoài</t>
  </si>
  <si>
    <t>25.01.95</t>
  </si>
  <si>
    <t>13D2050198</t>
  </si>
  <si>
    <t>13D2050213</t>
  </si>
  <si>
    <t>Trịnh Văn</t>
  </si>
  <si>
    <t>13D2050218</t>
  </si>
  <si>
    <t>Nguyễn Lê Phước</t>
  </si>
  <si>
    <t>13D2050228</t>
  </si>
  <si>
    <t>13D2050238</t>
  </si>
  <si>
    <t>10.03.93</t>
  </si>
  <si>
    <t>13D2050243</t>
  </si>
  <si>
    <t>13D2050303</t>
  </si>
  <si>
    <t>06.05.94</t>
  </si>
  <si>
    <t>13D2050248</t>
  </si>
  <si>
    <t>Văn</t>
  </si>
  <si>
    <t>13D2050253</t>
  </si>
  <si>
    <t>13D2050255</t>
  </si>
  <si>
    <t>Lý Quốc</t>
  </si>
  <si>
    <t>17.03.94</t>
  </si>
  <si>
    <t>13D2050258</t>
  </si>
  <si>
    <t>Đỗ Hoàng Minh</t>
  </si>
  <si>
    <t>13D2050004</t>
  </si>
  <si>
    <t>Phạm Tuấn</t>
  </si>
  <si>
    <t>13CĐ-Ô4</t>
  </si>
  <si>
    <t>13D2050019</t>
  </si>
  <si>
    <t>Hồ Chí</t>
  </si>
  <si>
    <t>13D2050024</t>
  </si>
  <si>
    <t>12.06.95</t>
  </si>
  <si>
    <t>13D2050267</t>
  </si>
  <si>
    <t xml:space="preserve">Nguyễn Thái </t>
  </si>
  <si>
    <t>13D2050029</t>
  </si>
  <si>
    <t>Phạm Hải</t>
  </si>
  <si>
    <t>13D2050034</t>
  </si>
  <si>
    <t>13D2050039</t>
  </si>
  <si>
    <t>13D2050049</t>
  </si>
  <si>
    <t>Nguyễn Phúc</t>
  </si>
  <si>
    <t>13D2050054</t>
  </si>
  <si>
    <t>ĐIỂM TBC TÍCH LUỸ
SAU KỲ THI CHÍNH</t>
  </si>
  <si>
    <t>(26)</t>
  </si>
  <si>
    <t>(27)</t>
  </si>
  <si>
    <t>(28)</t>
  </si>
  <si>
    <t>(29)</t>
  </si>
  <si>
    <t>ĐIỂM TBC TÍCH LUỸ SAU KỲ THI CHÍNH</t>
  </si>
  <si>
    <t>ĐIỂM TBC TÍCH LUỸ SAU KỲ THI PHỤ</t>
  </si>
  <si>
    <t>(30)</t>
  </si>
  <si>
    <t>(31)</t>
  </si>
  <si>
    <t>HẠNG HỌC LỰC
SAU KỲ THI PHỤ</t>
  </si>
  <si>
    <t>HẠNG HỌC LỰC
SAU KỲ THI CHÍNH</t>
  </si>
  <si>
    <t>13D2050064</t>
  </si>
  <si>
    <t>Trương Khánh</t>
  </si>
  <si>
    <t>13D2050069</t>
  </si>
  <si>
    <t>La Xuân</t>
  </si>
  <si>
    <t>13D2050279</t>
  </si>
  <si>
    <t xml:space="preserve">Đỗ Minh </t>
  </si>
  <si>
    <t>13D2050074</t>
  </si>
  <si>
    <t>30.10.94</t>
  </si>
  <si>
    <t>13D2050084</t>
  </si>
  <si>
    <t>13D2050089</t>
  </si>
  <si>
    <t>Võ Ngọc Hoàng</t>
  </si>
  <si>
    <t>30.11.95</t>
  </si>
  <si>
    <t>13D2050299</t>
  </si>
  <si>
    <t>Đạo Đức</t>
  </si>
  <si>
    <t>26.04.93</t>
  </si>
  <si>
    <t>13D2050124</t>
  </si>
  <si>
    <t>13D2050139</t>
  </si>
  <si>
    <t>Nguyễn Mậu</t>
  </si>
  <si>
    <t>13D2050144</t>
  </si>
  <si>
    <t>13D2050154</t>
  </si>
  <si>
    <t>Pít</t>
  </si>
  <si>
    <t>19.06.93</t>
  </si>
  <si>
    <t>13D2050159</t>
  </si>
  <si>
    <t>13D2050164</t>
  </si>
  <si>
    <t>13D2050169</t>
  </si>
  <si>
    <t>13D2050189</t>
  </si>
  <si>
    <t>13D2050199</t>
  </si>
  <si>
    <t>Thoại</t>
  </si>
  <si>
    <t>13D2050209</t>
  </si>
  <si>
    <t>13D2050219</t>
  </si>
  <si>
    <t>13D2050224</t>
  </si>
  <si>
    <t>13D2050229</t>
  </si>
  <si>
    <t>13D2050273</t>
  </si>
  <si>
    <t>Phù Anh</t>
  </si>
  <si>
    <t>10.10.93</t>
  </si>
  <si>
    <t>13D2050249</t>
  </si>
  <si>
    <t>13D2050254</t>
  </si>
  <si>
    <t>Huỳnh Lê</t>
  </si>
  <si>
    <t>13D2050257</t>
  </si>
  <si>
    <t>16.10.95</t>
  </si>
  <si>
    <t>13CĐ-Ô5</t>
  </si>
  <si>
    <t>13D2050005</t>
  </si>
  <si>
    <t>13D2050298</t>
  </si>
  <si>
    <t>13D2050015</t>
  </si>
  <si>
    <t>13D2050020</t>
  </si>
  <si>
    <t>21.09.95</t>
  </si>
  <si>
    <t>13D2050305</t>
  </si>
  <si>
    <t>01.04.94</t>
  </si>
  <si>
    <t>13D2050025</t>
  </si>
  <si>
    <t>13D2050030</t>
  </si>
  <si>
    <t>Đỗ Quốc</t>
  </si>
  <si>
    <t>13D2050050</t>
  </si>
  <si>
    <t>Nguyễn Tịnh</t>
  </si>
  <si>
    <t>11.10.95</t>
  </si>
  <si>
    <t>13D2050060</t>
  </si>
  <si>
    <t>02.11.93</t>
  </si>
  <si>
    <t>13D2050075</t>
  </si>
  <si>
    <t>Hợi</t>
  </si>
  <si>
    <t>13D2050090</t>
  </si>
  <si>
    <t>Lê Tuấn</t>
  </si>
  <si>
    <t>13D2050095</t>
  </si>
  <si>
    <t>Bùi Vũ</t>
  </si>
  <si>
    <t>Khoan</t>
  </si>
  <si>
    <t>13D2050099</t>
  </si>
  <si>
    <t>28.03.95</t>
  </si>
  <si>
    <t>13D2050115</t>
  </si>
  <si>
    <t>Quảng Duy</t>
  </si>
  <si>
    <t>Mẫn</t>
  </si>
  <si>
    <t>13D2050125</t>
  </si>
  <si>
    <t>13D2050130</t>
  </si>
  <si>
    <t>13D2050135</t>
  </si>
  <si>
    <t>21.04.93</t>
  </si>
  <si>
    <t>13D2050300</t>
  </si>
  <si>
    <t>13D2050140</t>
  </si>
  <si>
    <t>Nhường</t>
  </si>
  <si>
    <t>13D2050145</t>
  </si>
  <si>
    <t>13D2050155</t>
  </si>
  <si>
    <t>Hoàng Ngọc</t>
  </si>
  <si>
    <t>13D2050170</t>
  </si>
  <si>
    <t>03.09.93</t>
  </si>
  <si>
    <t>13D2050180</t>
  </si>
  <si>
    <t>12.01.94</t>
  </si>
  <si>
    <t>13D2050185</t>
  </si>
  <si>
    <t>Lê Hoài</t>
  </si>
  <si>
    <t>06.07.95</t>
  </si>
  <si>
    <t>13D2050190</t>
  </si>
  <si>
    <t>13D2050277</t>
  </si>
  <si>
    <t>13D2050210</t>
  </si>
  <si>
    <t>Tiện</t>
  </si>
  <si>
    <t>13D2050220</t>
  </si>
  <si>
    <t>Phan Anh</t>
  </si>
  <si>
    <t>13D2050223</t>
  </si>
  <si>
    <t>Nguyễn Bảo</t>
  </si>
  <si>
    <t>16.09.94</t>
  </si>
  <si>
    <t>13D2050225</t>
  </si>
  <si>
    <t>14.12.94</t>
  </si>
  <si>
    <t>18.09.95</t>
  </si>
  <si>
    <t>13D2050230</t>
  </si>
  <si>
    <t>14.09.94</t>
  </si>
  <si>
    <t>13D2050240</t>
  </si>
  <si>
    <t>Nguyễn Linh</t>
  </si>
  <si>
    <t>13D2050250</t>
  </si>
  <si>
    <t>13D2050260</t>
  </si>
  <si>
    <t>08.11.94</t>
  </si>
  <si>
    <t>13D2040001</t>
  </si>
  <si>
    <t>Trương Thị Thúy</t>
  </si>
  <si>
    <t>13CĐ-M</t>
  </si>
  <si>
    <t>A</t>
  </si>
  <si>
    <t>CL.T.Minh</t>
  </si>
  <si>
    <t>VPNQ07/10/14CC2</t>
  </si>
  <si>
    <t>con TB 3/4</t>
  </si>
  <si>
    <t>con TB 4/4</t>
  </si>
  <si>
    <t>DT.Hoa</t>
  </si>
  <si>
    <t>12D3010027</t>
  </si>
  <si>
    <t>*</t>
  </si>
  <si>
    <t>BL.12CĐ-ĐT3</t>
  </si>
  <si>
    <t>12D3010177</t>
  </si>
  <si>
    <t xml:space="preserve">Ngô Đức  </t>
  </si>
  <si>
    <t>Vượng</t>
  </si>
  <si>
    <t>TNH.12CĐ-ĐT1</t>
  </si>
  <si>
    <t>VPNQ07/10/14KT</t>
  </si>
  <si>
    <t>DT.Chăm</t>
  </si>
  <si>
    <t>con TB 2/4</t>
  </si>
  <si>
    <t>con BB 3/3</t>
  </si>
  <si>
    <t>12D301Đ033</t>
  </si>
  <si>
    <t>BL.12CĐ-Đ1</t>
  </si>
  <si>
    <t>12D301Đ047</t>
  </si>
  <si>
    <t>Phạm Trường</t>
  </si>
  <si>
    <t>22.06.94</t>
  </si>
  <si>
    <t>12D301Đ122</t>
  </si>
  <si>
    <t xml:space="preserve">Nguyễn Trung  </t>
  </si>
  <si>
    <t>Tấn</t>
  </si>
  <si>
    <t>TNH.12CĐ-Đ2</t>
  </si>
  <si>
    <t>12D301Đ163</t>
  </si>
  <si>
    <t xml:space="preserve">Lê Thanh  </t>
  </si>
  <si>
    <t>03.05.93</t>
  </si>
  <si>
    <t>TNH.12CĐ-Đ3</t>
  </si>
  <si>
    <t>BĐXN</t>
  </si>
  <si>
    <t>12D2060092</t>
  </si>
  <si>
    <t>BL.13CĐ-NL1</t>
  </si>
  <si>
    <t>GD.CCCM</t>
  </si>
  <si>
    <t>CL.Trao</t>
  </si>
  <si>
    <t>CK6</t>
  </si>
  <si>
    <t>CK6-DT.Kơ Ho*</t>
  </si>
  <si>
    <t>BLTS-12CĐ-CK1</t>
  </si>
  <si>
    <t>con BB 2/3</t>
  </si>
  <si>
    <t>CL.T.Nhân</t>
  </si>
  <si>
    <t>CL.T.Lượng</t>
  </si>
  <si>
    <t>GĐ.CCCM</t>
  </si>
  <si>
    <t>CL.Ẩn</t>
  </si>
  <si>
    <t>DT.Khơme</t>
  </si>
  <si>
    <t>CK6-GĐ.CCCM</t>
  </si>
  <si>
    <t>Mẹ DT.JaRai</t>
  </si>
  <si>
    <t>Ô3</t>
  </si>
  <si>
    <t>12D2050084</t>
  </si>
  <si>
    <t>01.09.94</t>
  </si>
  <si>
    <t>BL.12CĐ-Ô2(HK2)</t>
  </si>
  <si>
    <t>Ô5</t>
  </si>
  <si>
    <t>Ô4</t>
  </si>
  <si>
    <t>Ô4-GĐ.CCCM(TNXP)</t>
  </si>
  <si>
    <t>Ô4-BL.12CĐ-Ô2(HK2)</t>
  </si>
  <si>
    <t>BĐXN.ĐV.DT.Khơme*</t>
  </si>
  <si>
    <t>Ô4-DT.Chăm</t>
  </si>
  <si>
    <t>Ô4-GĐ.CCCM</t>
  </si>
  <si>
    <t>Ô5-GĐ.CCCM</t>
  </si>
  <si>
    <t>11D0030051</t>
  </si>
  <si>
    <t>13.01.93</t>
  </si>
  <si>
    <t>TNHL211CĐ-Ô4</t>
  </si>
  <si>
    <t>TP3</t>
  </si>
  <si>
    <t>TP3-LPKL</t>
  </si>
  <si>
    <t>12D201P043</t>
  </si>
  <si>
    <t>TNH.12CĐ-TP2</t>
  </si>
  <si>
    <t>12D201P005</t>
  </si>
  <si>
    <t>Mẹ DT.Hoa</t>
  </si>
  <si>
    <t>DT,Hoa</t>
  </si>
  <si>
    <t>12D201M074</t>
  </si>
  <si>
    <t>Huỳnh Bảo</t>
  </si>
  <si>
    <t>TNH.12CĐ-TM2</t>
  </si>
  <si>
    <t>DT.Trai</t>
  </si>
  <si>
    <t>Anh văn 2</t>
  </si>
  <si>
    <t>Những NLCB của CNMLN 2</t>
  </si>
  <si>
    <t xml:space="preserve">Khí cụ điện và máy điện </t>
  </si>
  <si>
    <t xml:space="preserve">Kỹ thuật số </t>
  </si>
  <si>
    <t xml:space="preserve">Điện tử công suất </t>
  </si>
  <si>
    <t xml:space="preserve">Kỹ thuật truyền số liệu </t>
  </si>
  <si>
    <t>TH02</t>
  </si>
  <si>
    <t xml:space="preserve">Thực tập Điện cơ bản </t>
  </si>
  <si>
    <t xml:space="preserve">Thực tập Điện tử cơ bản </t>
  </si>
  <si>
    <t>LT09</t>
  </si>
  <si>
    <t xml:space="preserve">Thực tập Đo lường và mạch điện </t>
  </si>
  <si>
    <t xml:space="preserve">Anh văn chuyên ngành </t>
  </si>
  <si>
    <t xml:space="preserve">Tư tưởng Hồ Chí Minh </t>
  </si>
  <si>
    <t xml:space="preserve">Kỹ thuật điện </t>
  </si>
  <si>
    <t xml:space="preserve">Kỹ thuật điện tử </t>
  </si>
  <si>
    <t xml:space="preserve">Nhiệt động kỹ thuật </t>
  </si>
  <si>
    <t xml:space="preserve">Truyền nhiệt </t>
  </si>
  <si>
    <t xml:space="preserve">Bơm quạt máy nén </t>
  </si>
  <si>
    <t xml:space="preserve">Thực tập Nhập môn Cơ khí </t>
  </si>
  <si>
    <t>13 CĐ-CK 
1, 2, 3, 4, 5</t>
  </si>
  <si>
    <t xml:space="preserve">Cơ ứng dụng </t>
  </si>
  <si>
    <t xml:space="preserve">Vật liệu học </t>
  </si>
  <si>
    <t>Autocad (2D)</t>
  </si>
  <si>
    <t xml:space="preserve">Thực tập Nguội - Hàn cơ bản </t>
  </si>
  <si>
    <t>Thực tập Tiện 1</t>
  </si>
  <si>
    <t>13 CĐ-Ô 
1, 2, 3, 4</t>
  </si>
  <si>
    <t xml:space="preserve">Công nghệ kim loại </t>
  </si>
  <si>
    <t xml:space="preserve">Cơ lý thuyết </t>
  </si>
  <si>
    <t xml:space="preserve">Sức bền vật liệu </t>
  </si>
  <si>
    <t xml:space="preserve">Kỹ thuật điện - điện tử </t>
  </si>
  <si>
    <t xml:space="preserve">An toàn và môi trường CN </t>
  </si>
  <si>
    <t xml:space="preserve">Động cơ đốt trong </t>
  </si>
  <si>
    <t xml:space="preserve">Kỹ năng giao tiếp </t>
  </si>
  <si>
    <t xml:space="preserve">Nguyên phụ liệu dệt may </t>
  </si>
  <si>
    <t xml:space="preserve">An toàn điện CN và môi trường </t>
  </si>
  <si>
    <t>Thiết kế trang phục 2</t>
  </si>
  <si>
    <t>Công nghệ may trang phục 2</t>
  </si>
  <si>
    <t xml:space="preserve">Tin học ứng dụng ngành may </t>
  </si>
  <si>
    <t xml:space="preserve">Kỹ năng học và thuyết trình </t>
  </si>
  <si>
    <t>Thực tập May trang phục 1</t>
  </si>
  <si>
    <t>13 CĐ-TP
1, 2</t>
  </si>
  <si>
    <t xml:space="preserve">Cấu trúc dữ liệu </t>
  </si>
  <si>
    <t xml:space="preserve">Lập trình quản lý </t>
  </si>
  <si>
    <t xml:space="preserve">Phân tích và thiết kế hệ thống </t>
  </si>
  <si>
    <t xml:space="preserve">Lập trình hướng đối tượng </t>
  </si>
  <si>
    <t xml:space="preserve">Mạng máy tính và quản trị mạng </t>
  </si>
  <si>
    <t>13D2040002</t>
  </si>
  <si>
    <t>Nguyễn Thị Ngọc</t>
  </si>
  <si>
    <t>Ái</t>
  </si>
  <si>
    <t>13D2040003</t>
  </si>
  <si>
    <t>Phạm Thị Minh</t>
  </si>
  <si>
    <t>13D2040004</t>
  </si>
  <si>
    <t>13D2040064</t>
  </si>
  <si>
    <t>Lương Tâm</t>
  </si>
  <si>
    <t>Em</t>
  </si>
  <si>
    <t>03.04.91</t>
  </si>
  <si>
    <t>13D2040059</t>
  </si>
  <si>
    <t>Nguyễn Thị Hương</t>
  </si>
  <si>
    <t>13D2040007</t>
  </si>
  <si>
    <t>Lê Nguyễn Kim</t>
  </si>
  <si>
    <t>Giao</t>
  </si>
  <si>
    <t>13D2040008</t>
  </si>
  <si>
    <t>Nguyễn Thị Xuân</t>
  </si>
  <si>
    <t>Hạ</t>
  </si>
  <si>
    <t>13D2040057</t>
  </si>
  <si>
    <t>04.12.95</t>
  </si>
  <si>
    <t>13D2040010</t>
  </si>
  <si>
    <t>Bạch Thị Thúy</t>
  </si>
  <si>
    <t>Hằng</t>
  </si>
  <si>
    <t>13D2040011</t>
  </si>
  <si>
    <t>Bùi Thị Kim</t>
  </si>
  <si>
    <t>03.05.95</t>
  </si>
  <si>
    <t>13D2040012</t>
  </si>
  <si>
    <t>Võ Thị Ngọc</t>
  </si>
  <si>
    <t>13D2040013</t>
  </si>
  <si>
    <t>Nguyễn Thị Quỳnh</t>
  </si>
  <si>
    <t>Hoa</t>
  </si>
  <si>
    <t>10.11.94</t>
  </si>
  <si>
    <t>13D2040014</t>
  </si>
  <si>
    <t>Hợp</t>
  </si>
  <si>
    <t>13D2040015</t>
  </si>
  <si>
    <t>Trương Thị Cẩm</t>
  </si>
  <si>
    <t>Hướng</t>
  </si>
  <si>
    <t>13D2040017</t>
  </si>
  <si>
    <t>Phạm Hoàng Mộng</t>
  </si>
  <si>
    <t>13D2040060</t>
  </si>
  <si>
    <t>Cao Thị Mỹ</t>
  </si>
  <si>
    <t>Lệ</t>
  </si>
  <si>
    <t>13D2040061</t>
  </si>
  <si>
    <t>Lê Hà</t>
  </si>
  <si>
    <t>13D2040020</t>
  </si>
  <si>
    <t>Nguyễn Thị Thanh</t>
  </si>
  <si>
    <t>Loan</t>
  </si>
  <si>
    <t>13D2040021</t>
  </si>
  <si>
    <t>16.01.94</t>
  </si>
  <si>
    <t>13D2040022</t>
  </si>
  <si>
    <t>Hà Kim</t>
  </si>
  <si>
    <t>13D2040023</t>
  </si>
  <si>
    <t>Huỳnh Mỹ</t>
  </si>
  <si>
    <t>Múa</t>
  </si>
  <si>
    <t>19.04.90</t>
  </si>
  <si>
    <t>13D2040024</t>
  </si>
  <si>
    <t>Nguyễn Thị Hoài</t>
  </si>
  <si>
    <t>13D2040025</t>
  </si>
  <si>
    <t>Phan Thị Mỹ</t>
  </si>
  <si>
    <t>Nga</t>
  </si>
  <si>
    <t>13D2040026</t>
  </si>
  <si>
    <t>Trần Ngọc Kim</t>
  </si>
  <si>
    <t>13D2040027</t>
  </si>
  <si>
    <t>21.05.95</t>
  </si>
  <si>
    <t>13D2040066</t>
  </si>
  <si>
    <t>Nguyễn Đình Hồng</t>
  </si>
  <si>
    <t>13D2040028</t>
  </si>
  <si>
    <t>Hồ Thị Yến</t>
  </si>
  <si>
    <t>Nhi</t>
  </si>
  <si>
    <t>14.12.95</t>
  </si>
  <si>
    <t>13D2040065</t>
  </si>
  <si>
    <t xml:space="preserve">Mai Thị Huỳnh </t>
  </si>
  <si>
    <t>Như</t>
  </si>
  <si>
    <t>13D2040030</t>
  </si>
  <si>
    <t xml:space="preserve">Lê Thị </t>
  </si>
  <si>
    <t>Nhung</t>
  </si>
  <si>
    <t>13D2040031</t>
  </si>
  <si>
    <t>Nguyễn Thị Hồng</t>
  </si>
  <si>
    <t>13D2040033</t>
  </si>
  <si>
    <t>Cao Thị Ngọc</t>
  </si>
  <si>
    <t>13D2040034</t>
  </si>
  <si>
    <t>Nguyễn Thị</t>
  </si>
  <si>
    <t>Phượng</t>
  </si>
  <si>
    <t>13D2040009</t>
  </si>
  <si>
    <t>13D2040035</t>
  </si>
  <si>
    <t>Lê Hoàng Trúc</t>
  </si>
  <si>
    <t>13D2040037</t>
  </si>
  <si>
    <t>Trần Đăng Bích</t>
  </si>
  <si>
    <t>13D2040038</t>
  </si>
  <si>
    <t>Nguyễn Thị Phương</t>
  </si>
  <si>
    <t>24.10.95</t>
  </si>
  <si>
    <t>13D2040039</t>
  </si>
  <si>
    <t>13.11.95</t>
  </si>
  <si>
    <t>13D2040040</t>
  </si>
  <si>
    <t>Phan Thị Hồng</t>
  </si>
  <si>
    <t>13D2040041</t>
  </si>
  <si>
    <t>Vương Hào</t>
  </si>
  <si>
    <t>18.11.94</t>
  </si>
  <si>
    <t>13D2040042</t>
  </si>
  <si>
    <t>Lê Thị Mai</t>
  </si>
  <si>
    <t>13D2040043</t>
  </si>
  <si>
    <t>Trần Thị Lệ</t>
  </si>
  <si>
    <t>13D2040044</t>
  </si>
  <si>
    <t>13D2040045</t>
  </si>
  <si>
    <t>Đào Thị Thanh</t>
  </si>
  <si>
    <t>Thùy</t>
  </si>
  <si>
    <t>13D2040046</t>
  </si>
  <si>
    <t>Lưu Thị Thủy</t>
  </si>
  <si>
    <t>13D2040047</t>
  </si>
  <si>
    <t>Lý Mỹ</t>
  </si>
  <si>
    <t>Trâm</t>
  </si>
  <si>
    <t>09.09.95</t>
  </si>
  <si>
    <t>13D2040049</t>
  </si>
  <si>
    <t>Trân</t>
  </si>
  <si>
    <t>13D2040050</t>
  </si>
  <si>
    <t>Lý Ngọc</t>
  </si>
  <si>
    <t>18.12.95</t>
  </si>
  <si>
    <t>13D2040051</t>
  </si>
  <si>
    <t>Tạ Thị Tuyết</t>
  </si>
  <si>
    <t>Trinh</t>
  </si>
  <si>
    <t>13D2040063</t>
  </si>
  <si>
    <t>Trần Thị Ngọc</t>
  </si>
  <si>
    <t>13D2040018</t>
  </si>
  <si>
    <t>Tuyến</t>
  </si>
  <si>
    <t>13D2040058</t>
  </si>
  <si>
    <t>Phan Thị Kim</t>
  </si>
  <si>
    <t>12.02.93</t>
  </si>
  <si>
    <t>13D2040053</t>
  </si>
  <si>
    <t>Vũ Hoàn Phương</t>
  </si>
  <si>
    <t>Uyên</t>
  </si>
  <si>
    <t>13D2040054</t>
  </si>
  <si>
    <t>Vân</t>
  </si>
  <si>
    <t>Vi</t>
  </si>
  <si>
    <t>13D2040055</t>
  </si>
  <si>
    <t>Phan Thị Hà</t>
  </si>
  <si>
    <t>13D2040056</t>
  </si>
  <si>
    <t>Huỳnh Thị Thanh</t>
  </si>
  <si>
    <t>13D2040067</t>
  </si>
  <si>
    <t>Lê Thị Như</t>
  </si>
  <si>
    <t>13D201P003</t>
  </si>
  <si>
    <t>Nguyễn Hữu Tuân</t>
  </si>
  <si>
    <t>13CĐ-TP1</t>
  </si>
  <si>
    <t>13D201P008</t>
  </si>
  <si>
    <t>15.12.94</t>
  </si>
  <si>
    <t>13D201P012</t>
  </si>
  <si>
    <t>Lê Chí</t>
  </si>
  <si>
    <t>13D201P017</t>
  </si>
  <si>
    <t>Lê Anh</t>
  </si>
  <si>
    <t>13D201P019</t>
  </si>
  <si>
    <t>Nguyễn Huy</t>
  </si>
  <si>
    <t>13D201P021</t>
  </si>
  <si>
    <t>Lâm Vũ Trường</t>
  </si>
  <si>
    <t>17.11.95</t>
  </si>
  <si>
    <t>13D201P023</t>
  </si>
  <si>
    <t>Võ Minh</t>
  </si>
  <si>
    <t>13D201P025</t>
  </si>
  <si>
    <t>Đặng Thị</t>
  </si>
  <si>
    <t>19.04.94</t>
  </si>
  <si>
    <t>13D201P027</t>
  </si>
  <si>
    <t>13D201P029</t>
  </si>
  <si>
    <t>13D201P031</t>
  </si>
  <si>
    <t>13D201P033</t>
  </si>
  <si>
    <t>Trần Văn Duy</t>
  </si>
  <si>
    <t>24.11.95</t>
  </si>
  <si>
    <t>13D201P035</t>
  </si>
  <si>
    <t>Viên Phan Anh</t>
  </si>
  <si>
    <t>13D201P037</t>
  </si>
  <si>
    <t>La Luân</t>
  </si>
  <si>
    <t>13D201P041</t>
  </si>
  <si>
    <t>Lưu Vũ</t>
  </si>
  <si>
    <t>Lân</t>
  </si>
  <si>
    <t>13D201P042</t>
  </si>
  <si>
    <t>Võ Thị Mỹ</t>
  </si>
  <si>
    <t>Lan</t>
  </si>
  <si>
    <t>13D201P045</t>
  </si>
  <si>
    <t>Phan Ngọc Bảo</t>
  </si>
  <si>
    <t>13D201P108</t>
  </si>
  <si>
    <t>25.04.94</t>
  </si>
  <si>
    <t>13D201P049</t>
  </si>
  <si>
    <t>13D201P057</t>
  </si>
  <si>
    <t>Huỳnh Ngọc Hoàng</t>
  </si>
  <si>
    <t>11.12.94</t>
  </si>
  <si>
    <t>13D201P059</t>
  </si>
  <si>
    <t>13D201P061</t>
  </si>
  <si>
    <t>Bùi Thế</t>
  </si>
  <si>
    <t>31.05.92</t>
  </si>
  <si>
    <t>13D201P063</t>
  </si>
  <si>
    <t>13D201P065</t>
  </si>
  <si>
    <t>Nguyễn Vũ</t>
  </si>
  <si>
    <t>13D201P067</t>
  </si>
  <si>
    <t>13D201P075</t>
  </si>
  <si>
    <t>13D201P077</t>
  </si>
  <si>
    <t>Hồ Nguyễn Thanh</t>
  </si>
  <si>
    <t>13D201P083</t>
  </si>
  <si>
    <t>01.06.94</t>
  </si>
  <si>
    <t>13D201P086</t>
  </si>
  <si>
    <t>13D201P090</t>
  </si>
  <si>
    <t>13D201P095</t>
  </si>
  <si>
    <t>KPKL</t>
  </si>
  <si>
    <t>13D201P101</t>
  </si>
  <si>
    <t>Út</t>
  </si>
  <si>
    <t>07.06.93</t>
  </si>
  <si>
    <t>13D201P103</t>
  </si>
  <si>
    <t>Huỳnh Phong</t>
  </si>
  <si>
    <t>13D201P105</t>
  </si>
  <si>
    <t>Đặng Thị Kim</t>
  </si>
  <si>
    <t>Xuyên</t>
  </si>
  <si>
    <t>07.04.95</t>
  </si>
  <si>
    <t>13CĐ-TP2</t>
  </si>
  <si>
    <t>13D201P009</t>
  </si>
  <si>
    <t>Nguyễn Thanh Chí</t>
  </si>
  <si>
    <t>13D201P018</t>
  </si>
  <si>
    <t>13D201P020</t>
  </si>
  <si>
    <t>Tăng Lập</t>
  </si>
  <si>
    <t>13D201P026</t>
  </si>
  <si>
    <t>Cao Trí</t>
  </si>
  <si>
    <t>13D201P028</t>
  </si>
  <si>
    <t>Huệ</t>
  </si>
  <si>
    <t>13D201P030</t>
  </si>
  <si>
    <t>22.02.95</t>
  </si>
  <si>
    <t>13D201P050</t>
  </si>
  <si>
    <t>Isanauy</t>
  </si>
  <si>
    <t>13D201P032</t>
  </si>
  <si>
    <t>Phạm Điền</t>
  </si>
  <si>
    <t>01.08.94</t>
  </si>
  <si>
    <t>13D201P034</t>
  </si>
  <si>
    <t>13D201P038</t>
  </si>
  <si>
    <t>Trần Đình Anh</t>
  </si>
  <si>
    <t>13D201P040</t>
  </si>
  <si>
    <t>Ký</t>
  </si>
  <si>
    <t>13D201P044</t>
  </si>
  <si>
    <t>13D201P048</t>
  </si>
  <si>
    <t>03.04.90</t>
  </si>
  <si>
    <t>13D201P052</t>
  </si>
  <si>
    <t>Lê Phát</t>
  </si>
  <si>
    <t>17.12.92</t>
  </si>
  <si>
    <t>13D201P053</t>
  </si>
  <si>
    <t>21.09.93</t>
  </si>
  <si>
    <t>13D201P055</t>
  </si>
  <si>
    <t>Phan Minh</t>
  </si>
  <si>
    <t>24.06.95</t>
  </si>
  <si>
    <t>13D201P056</t>
  </si>
  <si>
    <t>Dương Thanh</t>
  </si>
  <si>
    <t>13D201P070</t>
  </si>
  <si>
    <t>13D201P078</t>
  </si>
  <si>
    <t>Thi</t>
  </si>
  <si>
    <t>13D201P080</t>
  </si>
  <si>
    <t>13D201P087</t>
  </si>
  <si>
    <t>13D201P089</t>
  </si>
  <si>
    <t>25.08.94</t>
  </si>
  <si>
    <t>13D201P102</t>
  </si>
  <si>
    <t>13D201P104</t>
  </si>
  <si>
    <t>Huỳnh Thị Minh</t>
  </si>
  <si>
    <t>Vy</t>
  </si>
  <si>
    <t>13D201P106</t>
  </si>
  <si>
    <t>Nguyễn Huỳnh Như</t>
  </si>
  <si>
    <t>13D201P005</t>
  </si>
  <si>
    <t>13CĐ-TP3</t>
  </si>
  <si>
    <t>Bé</t>
  </si>
  <si>
    <t>13D201P110</t>
  </si>
  <si>
    <t>13D201P127</t>
  </si>
  <si>
    <t>13D201P016</t>
  </si>
  <si>
    <t>Đào Mạnh</t>
  </si>
  <si>
    <t>13D201P072</t>
  </si>
  <si>
    <t>Lê Sỹ</t>
  </si>
  <si>
    <t>13D201P060</t>
  </si>
  <si>
    <t>Sâm Lý</t>
  </si>
  <si>
    <t>13D201P117</t>
  </si>
  <si>
    <t xml:space="preserve">Lại Xuân </t>
  </si>
  <si>
    <t>06.03.93</t>
  </si>
  <si>
    <t>13D201P118</t>
  </si>
  <si>
    <t>Trần Bửu</t>
  </si>
  <si>
    <t>13D201P109</t>
  </si>
  <si>
    <t>13D201P114</t>
  </si>
  <si>
    <t>13D201P123</t>
  </si>
  <si>
    <t>08.04.94</t>
  </si>
  <si>
    <t>13D201P107</t>
  </si>
  <si>
    <t>Đếm
cột
thi
chính
&lt;5</t>
  </si>
  <si>
    <t>13D201P121</t>
  </si>
  <si>
    <t>Hoàng Quốc</t>
  </si>
  <si>
    <t>13D201M095</t>
  </si>
  <si>
    <t>Trần Long</t>
  </si>
  <si>
    <t>13CĐ-TM1</t>
  </si>
  <si>
    <t>13D201M001</t>
  </si>
  <si>
    <t>Huỳnh Lâm Thế</t>
  </si>
  <si>
    <t>25.12.94</t>
  </si>
  <si>
    <t>13D201M004</t>
  </si>
  <si>
    <t xml:space="preserve">Châu Thị </t>
  </si>
  <si>
    <t>13D201M005</t>
  </si>
  <si>
    <t>13D201M087</t>
  </si>
  <si>
    <t>Diệp</t>
  </si>
  <si>
    <t>28.01.95</t>
  </si>
  <si>
    <t>13D201M009</t>
  </si>
  <si>
    <t>Khương Công Thái</t>
  </si>
  <si>
    <t>13D201M013</t>
  </si>
  <si>
    <t>Trương Quốc</t>
  </si>
  <si>
    <t>13D201M015</t>
  </si>
  <si>
    <t xml:space="preserve">Nguyễn Thành </t>
  </si>
  <si>
    <t>30.11.90</t>
  </si>
  <si>
    <t>13D201M017</t>
  </si>
  <si>
    <t>13D201M086</t>
  </si>
  <si>
    <t>Huỳnh Thị Hồng</t>
  </si>
  <si>
    <t>13D201M081</t>
  </si>
  <si>
    <t>Hồ Gia</t>
  </si>
  <si>
    <t>Hưởng</t>
  </si>
  <si>
    <t>13D201M025</t>
  </si>
  <si>
    <t>22.12.95</t>
  </si>
  <si>
    <t>13D201M027</t>
  </si>
  <si>
    <t>Khanh</t>
  </si>
  <si>
    <t>13D201M029</t>
  </si>
  <si>
    <t>Lai</t>
  </si>
  <si>
    <t>13D201M031</t>
  </si>
  <si>
    <t>13D201M033</t>
  </si>
  <si>
    <t>Đinh Hoàng Phi</t>
  </si>
  <si>
    <t>13D201M094</t>
  </si>
  <si>
    <t>13D201M035</t>
  </si>
  <si>
    <t>13D201M037</t>
  </si>
  <si>
    <t>31.08.95</t>
  </si>
  <si>
    <t>13D201M099</t>
  </si>
  <si>
    <t>28.04.95</t>
  </si>
  <si>
    <t>13D201M039</t>
  </si>
  <si>
    <t>Bùi Thành</t>
  </si>
  <si>
    <t>13D201M041</t>
  </si>
  <si>
    <t>Nguyễn Hiếu</t>
  </si>
  <si>
    <t>13D201M043</t>
  </si>
  <si>
    <t>Nguyễn Thị Kim</t>
  </si>
  <si>
    <t>ỦY BAN NHÂN DÂN TP. HỒ CHÍ MINH</t>
  </si>
  <si>
    <t xml:space="preserve">CỘNG HÒA XÃ HỘI CHỦ NGHĨA VIỆT NAM </t>
  </si>
  <si>
    <t>TRƯỜNG CAO ĐẲNG  KỸ THUẬT  LÝ TỰ TRỌNG</t>
  </si>
  <si>
    <t>Độc lập - Tự do - Hạnh phúc</t>
  </si>
  <si>
    <t>‾‾‾‾‾‾‾‾‾‾‾‾‾‾‾‾‾‾‾‾‾‾‾‾‾‾‾‾‾‾‾‾‾‾</t>
  </si>
  <si>
    <t>BẢNG ĐIỂM HỌC PHẦN THỰC HÀNH</t>
  </si>
  <si>
    <t>Điểm các bài thực hành</t>
  </si>
  <si>
    <t>BS1</t>
  </si>
  <si>
    <t>BS2</t>
  </si>
  <si>
    <t>BS3</t>
  </si>
  <si>
    <t>BS4</t>
  </si>
  <si>
    <t>BS5</t>
  </si>
  <si>
    <t>BS6</t>
  </si>
  <si>
    <t>BS7</t>
  </si>
  <si>
    <t>BS8</t>
  </si>
  <si>
    <t>BS9</t>
  </si>
  <si>
    <t>TH01</t>
  </si>
  <si>
    <t>(23)</t>
  </si>
  <si>
    <t>Nhạn</t>
  </si>
  <si>
    <t>18.01.94</t>
  </si>
  <si>
    <t>13D201M088</t>
  </si>
  <si>
    <t>Trần Mãnh</t>
  </si>
  <si>
    <t>13D201M045</t>
  </si>
  <si>
    <t>Nhơn</t>
  </si>
  <si>
    <t>13D201M047</t>
  </si>
  <si>
    <t>13D201M051</t>
  </si>
  <si>
    <t>20.01.95</t>
  </si>
  <si>
    <t>13D201M057</t>
  </si>
  <si>
    <t>13D201M109</t>
  </si>
  <si>
    <t>Thận</t>
  </si>
  <si>
    <t>13D201M059</t>
  </si>
  <si>
    <t>Phồng Phú</t>
  </si>
  <si>
    <t>13D201M065</t>
  </si>
  <si>
    <t>Phan Nguyễn Anh</t>
  </si>
  <si>
    <t>13D201M067</t>
  </si>
  <si>
    <t>13D201M071</t>
  </si>
  <si>
    <t>Lường Văn</t>
  </si>
  <si>
    <t>20.06.93</t>
  </si>
  <si>
    <t>13D201M084</t>
  </si>
  <si>
    <t>Phạm Gia Đức</t>
  </si>
  <si>
    <t>13D201M073</t>
  </si>
  <si>
    <t>Lê Nguyễn Anh</t>
  </si>
  <si>
    <t>13D201M075</t>
  </si>
  <si>
    <t>11.10.93</t>
  </si>
  <si>
    <t>13D201M077</t>
  </si>
  <si>
    <t>13D201M079</t>
  </si>
  <si>
    <t>Mai Lê Thanh</t>
  </si>
  <si>
    <t>13CĐ-TM2</t>
  </si>
  <si>
    <t>13D201M010</t>
  </si>
  <si>
    <t>13D201M011</t>
  </si>
  <si>
    <t>13D201M012</t>
  </si>
  <si>
    <t>Trần Mẫn</t>
  </si>
  <si>
    <t>13D201M016</t>
  </si>
  <si>
    <t>Ngô Hiền</t>
  </si>
  <si>
    <t>13D201M018</t>
  </si>
  <si>
    <t>Huỳnh Trường</t>
  </si>
  <si>
    <t>19.04.95</t>
  </si>
  <si>
    <t>13D201M020</t>
  </si>
  <si>
    <t>13D201M056</t>
  </si>
  <si>
    <t>Lý Hữu</t>
  </si>
  <si>
    <t>10.07.92</t>
  </si>
  <si>
    <t>13D201M022</t>
  </si>
  <si>
    <t>13D201M024</t>
  </si>
  <si>
    <r>
      <t xml:space="preserve">Các bảng tính: </t>
    </r>
    <r>
      <rPr>
        <b/>
        <sz val="13"/>
        <rFont val="Arial"/>
        <family val="2"/>
      </rPr>
      <t>TEN HOC PHAN HKI</t>
    </r>
    <r>
      <rPr>
        <sz val="13"/>
        <rFont val="Arial"/>
        <family val="2"/>
      </rPr>
      <t xml:space="preserve">; </t>
    </r>
    <r>
      <rPr>
        <b/>
        <sz val="13"/>
        <rFont val="Arial"/>
        <family val="2"/>
      </rPr>
      <t>DS LOP HKI</t>
    </r>
    <r>
      <rPr>
        <sz val="13"/>
        <rFont val="Arial"/>
        <family val="2"/>
      </rPr>
      <t xml:space="preserve"> là các bảng tính nền cơ sở, xin quý Thầy Cô đừng chỉnh sửa, để tránh sai sót, nhầm lẫn trong quá trình nhập điểm tổng kết.</t>
    </r>
  </si>
  <si>
    <r>
      <t xml:space="preserve">Nếu Quý Thầy Cô có vướng mắc gì, xin gởi mail qua địa chỉ: </t>
    </r>
    <r>
      <rPr>
        <b/>
        <sz val="13"/>
        <rFont val="Arial"/>
        <family val="2"/>
      </rPr>
      <t>kqht.lytutrong@gmail.com</t>
    </r>
    <r>
      <rPr>
        <sz val="13"/>
        <rFont val="Arial"/>
        <family val="2"/>
      </rPr>
      <t xml:space="preserve"> hoặc </t>
    </r>
    <r>
      <rPr>
        <b/>
        <sz val="13"/>
        <rFont val="Arial"/>
        <family val="2"/>
      </rPr>
      <t>khaothiltt@gmail.com</t>
    </r>
    <r>
      <rPr>
        <sz val="13"/>
        <rFont val="Arial"/>
        <family val="2"/>
      </rPr>
      <t xml:space="preserve"> hoặc liên hệ trực tiếp với Phòng Đào tạo hoặc Phòng Khảo thí và Đảm bảo chất lượng.</t>
    </r>
  </si>
  <si>
    <r>
      <t>TP3-</t>
    </r>
    <r>
      <rPr>
        <sz val="12"/>
        <color indexed="10"/>
        <rFont val="Times New Roman"/>
        <family val="1"/>
      </rPr>
      <t>DT.Hoa</t>
    </r>
  </si>
  <si>
    <t>Nguyễn Văn Mạnh</t>
  </si>
  <si>
    <t>13D201M028</t>
  </si>
  <si>
    <t>Hồ Hoàn</t>
  </si>
  <si>
    <t>26.07.94</t>
  </si>
  <si>
    <t>13D201M030</t>
  </si>
  <si>
    <t>Lâm Đức</t>
  </si>
  <si>
    <t>Lễ</t>
  </si>
  <si>
    <t>13D201M032</t>
  </si>
  <si>
    <t>Kiều Tấn</t>
  </si>
  <si>
    <t>13D201M105</t>
  </si>
  <si>
    <t>Huỳnh Thị</t>
  </si>
  <si>
    <t>Lùy</t>
  </si>
  <si>
    <t>13D201M036</t>
  </si>
  <si>
    <t>13D201M091</t>
  </si>
  <si>
    <t>13D201M038</t>
  </si>
  <si>
    <t>Ôn Nhật</t>
  </si>
  <si>
    <t>13D201M040</t>
  </si>
  <si>
    <t>11.12.93</t>
  </si>
  <si>
    <t>13D201M042</t>
  </si>
  <si>
    <t>04.05.93</t>
  </si>
  <si>
    <t>13D201M093</t>
  </si>
  <si>
    <t>02.02.95</t>
  </si>
  <si>
    <t>13D201M044</t>
  </si>
  <si>
    <t>13D201M046</t>
  </si>
  <si>
    <t xml:space="preserve">Nguyễn Đoàn Thanh </t>
  </si>
  <si>
    <t>13D201M048</t>
  </si>
  <si>
    <t>13D201M050</t>
  </si>
  <si>
    <t>13D201M083</t>
  </si>
  <si>
    <t>Song</t>
  </si>
  <si>
    <t>13D201M054</t>
  </si>
  <si>
    <t>05.04.94</t>
  </si>
  <si>
    <t>13D201M082</t>
  </si>
  <si>
    <t>04.07.94</t>
  </si>
  <si>
    <t>13D201M058</t>
  </si>
  <si>
    <t>13D201M060</t>
  </si>
  <si>
    <t>13D201M062</t>
  </si>
  <si>
    <t>20.03.95</t>
  </si>
  <si>
    <t>13D201M064</t>
  </si>
  <si>
    <t>Lê Trường</t>
  </si>
  <si>
    <t>13D201M068</t>
  </si>
  <si>
    <t>13D201M102</t>
  </si>
  <si>
    <t>To</t>
  </si>
  <si>
    <t>13D201M090</t>
  </si>
  <si>
    <t>Đỗ Khánh</t>
  </si>
  <si>
    <t>13D201M103</t>
  </si>
  <si>
    <t>Lê Phú</t>
  </si>
  <si>
    <t>13D201M072</t>
  </si>
  <si>
    <t>Lê Thị Cẩm</t>
  </si>
  <si>
    <t>13D201M074</t>
  </si>
  <si>
    <t>29.04.95</t>
  </si>
  <si>
    <t>13D201M078</t>
  </si>
  <si>
    <t>By</t>
  </si>
  <si>
    <t>Ưn</t>
  </si>
  <si>
    <t>05.11.91</t>
  </si>
  <si>
    <t>13D201M106</t>
  </si>
  <si>
    <t>Trương Huỳnh</t>
  </si>
  <si>
    <t>Xương</t>
  </si>
  <si>
    <t>Thi Chính</t>
  </si>
  <si>
    <t>Kỳ Thi Chính</t>
  </si>
  <si>
    <t>Thi Phụ</t>
  </si>
  <si>
    <t>Kỳ Thi Phụ</t>
  </si>
  <si>
    <t>HP Phụ</t>
  </si>
  <si>
    <t>HP Chính</t>
  </si>
  <si>
    <t>LỚP:</t>
  </si>
  <si>
    <t>MSSV</t>
  </si>
  <si>
    <t>Họ tên sinh viên</t>
  </si>
  <si>
    <t>TRƯỞNG KHOA</t>
  </si>
  <si>
    <t>Nguyễn Công</t>
  </si>
  <si>
    <t>Bằng</t>
  </si>
  <si>
    <t>Nguyễn Minh</t>
  </si>
  <si>
    <t>Cảnh</t>
  </si>
  <si>
    <t>Phạm Văn</t>
  </si>
  <si>
    <t>Chiến</t>
  </si>
  <si>
    <t>Cường</t>
  </si>
  <si>
    <t>Nguyễn Thanh</t>
  </si>
  <si>
    <t>Đông</t>
  </si>
  <si>
    <t>Đoàn Văn</t>
  </si>
  <si>
    <t>Giang</t>
  </si>
  <si>
    <t>Nguyễn Văn</t>
  </si>
  <si>
    <t>Hải</t>
  </si>
  <si>
    <t>Nguyễn Chí</t>
  </si>
  <si>
    <t>Hiển</t>
  </si>
  <si>
    <t>Hòa</t>
  </si>
  <si>
    <t>Trần Văn</t>
  </si>
  <si>
    <t>Khải</t>
  </si>
  <si>
    <t>Trần Trọng</t>
  </si>
  <si>
    <t>Kiên</t>
  </si>
  <si>
    <t>Nguyễn Tấn</t>
  </si>
  <si>
    <t>Lộc</t>
  </si>
  <si>
    <t>Phan Tấn</t>
  </si>
  <si>
    <t>Lực</t>
  </si>
  <si>
    <t>Ngân</t>
  </si>
  <si>
    <t>Trần Minh</t>
  </si>
  <si>
    <t>Nghĩa</t>
  </si>
  <si>
    <t>Ninh</t>
  </si>
  <si>
    <t>Đỗ Văn</t>
  </si>
  <si>
    <t>Phú</t>
  </si>
  <si>
    <t>Phục</t>
  </si>
  <si>
    <t>Lê Đình</t>
  </si>
  <si>
    <t>Phương</t>
  </si>
  <si>
    <t>Trần Xuân</t>
  </si>
  <si>
    <t>Quyền</t>
  </si>
  <si>
    <t>Sang</t>
  </si>
  <si>
    <t>Lê Quốc</t>
  </si>
  <si>
    <t>Tài</t>
  </si>
  <si>
    <t>Tâm</t>
  </si>
  <si>
    <t>Lê Thanh</t>
  </si>
  <si>
    <t>Tân</t>
  </si>
  <si>
    <t>Nguyễn Quốc</t>
  </si>
  <si>
    <t>Thái</t>
  </si>
  <si>
    <t>Thông</t>
  </si>
  <si>
    <t>Huỳnh Ngọc</t>
  </si>
  <si>
    <t>Thuần</t>
  </si>
  <si>
    <t>Thuận</t>
  </si>
  <si>
    <t>Thủy</t>
  </si>
  <si>
    <t>Tiến</t>
  </si>
  <si>
    <t>Phạm Duy</t>
  </si>
  <si>
    <t>Trí</t>
  </si>
  <si>
    <t>Đỗ Thanh</t>
  </si>
  <si>
    <t>Lê Quang</t>
  </si>
  <si>
    <t>Tú</t>
  </si>
  <si>
    <t>Nguyễn Đình</t>
  </si>
  <si>
    <t>Tuấn</t>
  </si>
  <si>
    <t>Tùng</t>
  </si>
  <si>
    <t>Hồ Tuấn</t>
  </si>
  <si>
    <t>Vũ</t>
  </si>
  <si>
    <t>TRƯỜNG CĐKT LÝ TỰ TRỌNG THÀNH PHỐ HỒ CHÍ MINH</t>
  </si>
  <si>
    <t>ỦY BAN NHÂN DÂN THÀNH PHỐ HỒ CHÍ MINH</t>
  </si>
  <si>
    <t>SĨ SỐ:</t>
  </si>
  <si>
    <t>HỆ CHUẨN</t>
  </si>
  <si>
    <t>NGÀY NGHỈ</t>
  </si>
  <si>
    <t>P</t>
  </si>
  <si>
    <t>K</t>
  </si>
  <si>
    <t>Số thứ tự</t>
  </si>
  <si>
    <t>HỌC PHẦN</t>
  </si>
  <si>
    <t>SỐ ĐVHT</t>
  </si>
  <si>
    <t>TBC
HỌC TẬP</t>
  </si>
  <si>
    <t>KHEN THƯỞNG</t>
  </si>
  <si>
    <t>GHI CHÚ</t>
  </si>
  <si>
    <t>Ngày      tháng   năm 201</t>
  </si>
  <si>
    <t>%</t>
  </si>
  <si>
    <t xml:space="preserve">ỦY BAN NHÂN DÂN TP.HCM </t>
  </si>
  <si>
    <t xml:space="preserve"> CỘNG HÒA XÃ HỘI CHỦ NGHĨA VIỆT NAM </t>
  </si>
  <si>
    <t>TRƯỜNG CĐKT LÝ TỰ TRỌNG TP.HCM</t>
  </si>
  <si>
    <t xml:space="preserve">Độc lập – Tự do – Hạnh phúc </t>
  </si>
  <si>
    <t>**********</t>
  </si>
  <si>
    <t>******</t>
  </si>
  <si>
    <t>BẢNG ĐIỂM HỌC PHẦN LÝ THUYẾT</t>
  </si>
  <si>
    <t>HỌC PHẦN:</t>
  </si>
  <si>
    <t>HỌC KỲ:</t>
  </si>
  <si>
    <t>I</t>
  </si>
  <si>
    <t>NĂM HỌC:</t>
  </si>
  <si>
    <t xml:space="preserve"> 2013 - 2014</t>
  </si>
  <si>
    <t>TT</t>
  </si>
  <si>
    <t xml:space="preserve">    TRƯỞNG BỘ MÔN</t>
  </si>
  <si>
    <t>GIÁO VIÊN GIẢNG DẠY</t>
  </si>
  <si>
    <t>XL
lần
I</t>
  </si>
  <si>
    <t>Điểm
bảo
lưu</t>
  </si>
  <si>
    <t xml:space="preserve"> Yêu cầu : Khoa niêm yết cho sinh viên, lưu Giáo vụ Khoa và nộp bản chính cho Phòng KT&amp;KĐCLGD.</t>
  </si>
  <si>
    <t>Điểm
HP</t>
  </si>
  <si>
    <t>DL</t>
  </si>
  <si>
    <t>LBT1</t>
  </si>
  <si>
    <t>THL1</t>
  </si>
  <si>
    <t>LBT2</t>
  </si>
  <si>
    <t>THL2</t>
  </si>
  <si>
    <t>LBT3</t>
  </si>
  <si>
    <t>THL3</t>
  </si>
  <si>
    <t>GHP</t>
  </si>
  <si>
    <t>THI
CHÍNH</t>
  </si>
  <si>
    <t>THI
PHỤ</t>
  </si>
  <si>
    <t>Điểm
HP
phụ</t>
  </si>
  <si>
    <t>Số Tín chỉ:</t>
  </si>
  <si>
    <t>STT</t>
  </si>
  <si>
    <t>Họ</t>
  </si>
  <si>
    <t>Tên</t>
  </si>
  <si>
    <t>Ngày sinh</t>
  </si>
  <si>
    <t>Lớp</t>
  </si>
  <si>
    <t>Phái</t>
  </si>
  <si>
    <t>Hệ</t>
  </si>
  <si>
    <t>Hoàng Thanh</t>
  </si>
  <si>
    <t>An</t>
  </si>
  <si>
    <t>19.01.95</t>
  </si>
  <si>
    <t>13CĐ-ĐT1</t>
  </si>
  <si>
    <t>B</t>
  </si>
  <si>
    <t>13D3010005</t>
  </si>
  <si>
    <t>Nguyễn Thành</t>
  </si>
  <si>
    <t>Chung</t>
  </si>
  <si>
    <t>10.02.94</t>
  </si>
  <si>
    <t>Nguyễn Kim</t>
  </si>
  <si>
    <t>17.01.94</t>
  </si>
  <si>
    <t>Nữ</t>
  </si>
  <si>
    <t>13D3010010</t>
  </si>
  <si>
    <t>Bùi Thanh</t>
  </si>
  <si>
    <t>Diễn</t>
  </si>
  <si>
    <t>12.05.95</t>
  </si>
  <si>
    <t>13D3010014</t>
  </si>
  <si>
    <t>Nguyễn Khánh</t>
  </si>
  <si>
    <t>Duy</t>
  </si>
  <si>
    <t>26.09.95</t>
  </si>
  <si>
    <t>13D3010018</t>
  </si>
  <si>
    <t>Nguyễn Hải</t>
  </si>
  <si>
    <t>Đăng</t>
  </si>
  <si>
    <t>19.05.95</t>
  </si>
  <si>
    <t>13D3010022</t>
  </si>
  <si>
    <t>Nguyễn Trung</t>
  </si>
  <si>
    <t>Đức</t>
  </si>
  <si>
    <t>15.02.95</t>
  </si>
  <si>
    <t>13D3010026</t>
  </si>
  <si>
    <t>Phạm Giang</t>
  </si>
  <si>
    <t>20.05.95</t>
  </si>
  <si>
    <t>13D3010027</t>
  </si>
  <si>
    <t>Hạnh</t>
  </si>
  <si>
    <t>14.02.95</t>
  </si>
  <si>
    <t>13D3010039</t>
  </si>
  <si>
    <t xml:space="preserve">Nguyễn Văn </t>
  </si>
  <si>
    <t>Hoanh</t>
  </si>
  <si>
    <t>14.10.95</t>
  </si>
  <si>
    <t>13D3010045</t>
  </si>
  <si>
    <t>Lê Thành</t>
  </si>
  <si>
    <t>Huy</t>
  </si>
  <si>
    <t>25.04.95</t>
  </si>
  <si>
    <t>15.08.94</t>
  </si>
  <si>
    <t>13D3010051</t>
  </si>
  <si>
    <t>Huỳnh Duy</t>
  </si>
  <si>
    <t>Khánh</t>
  </si>
  <si>
    <t>09.10.95</t>
  </si>
  <si>
    <t>Khoa</t>
  </si>
  <si>
    <t>30.10.95</t>
  </si>
  <si>
    <t>12D3010064</t>
  </si>
  <si>
    <t>CỐ VẤN HỌC TẬP</t>
  </si>
  <si>
    <t>Số HP nợ</t>
  </si>
  <si>
    <t>Số lượng Sinh viên nợ theo học phần</t>
  </si>
  <si>
    <t>SS:</t>
  </si>
  <si>
    <t>(1)</t>
  </si>
  <si>
    <t>(2)</t>
  </si>
  <si>
    <t>(3)</t>
  </si>
  <si>
    <t>(4)</t>
  </si>
  <si>
    <t>(5)</t>
  </si>
  <si>
    <t>(6)</t>
  </si>
  <si>
    <t>(7)</t>
  </si>
  <si>
    <t>(8)</t>
  </si>
  <si>
    <t>(9)</t>
  </si>
  <si>
    <t>(10)</t>
  </si>
  <si>
    <t>(11)</t>
  </si>
  <si>
    <t>(12)</t>
  </si>
  <si>
    <t>(13)</t>
  </si>
  <si>
    <t>(14)</t>
  </si>
  <si>
    <t>(15)</t>
  </si>
  <si>
    <t>(16)</t>
  </si>
  <si>
    <t>(17)</t>
  </si>
  <si>
    <t>(18)</t>
  </si>
  <si>
    <t>(19)</t>
  </si>
  <si>
    <t>(20)</t>
  </si>
  <si>
    <t>(21)</t>
  </si>
  <si>
    <t>(22)</t>
  </si>
  <si>
    <t xml:space="preserve">Nguyễn Văn  </t>
  </si>
  <si>
    <t>Khương</t>
  </si>
  <si>
    <t>30.06.94</t>
  </si>
  <si>
    <t xml:space="preserve"> </t>
  </si>
  <si>
    <t>13D3010057</t>
  </si>
  <si>
    <t>Kiệt</t>
  </si>
  <si>
    <t>10.05.95</t>
  </si>
  <si>
    <t>Ngô Hoàng</t>
  </si>
  <si>
    <t>18.03.95</t>
  </si>
  <si>
    <t>13D3010063</t>
  </si>
  <si>
    <t>Linh</t>
  </si>
  <si>
    <t>08.10.94</t>
  </si>
  <si>
    <t>Luân</t>
  </si>
  <si>
    <t>30.01.95</t>
  </si>
  <si>
    <t>LPHT</t>
  </si>
  <si>
    <t>Minh</t>
  </si>
  <si>
    <t>01.02.95</t>
  </si>
  <si>
    <t>13D3010073</t>
  </si>
  <si>
    <t>Trịnh Phương</t>
  </si>
  <si>
    <t>Nam</t>
  </si>
  <si>
    <t>21.02.95</t>
  </si>
  <si>
    <t>Nguyên</t>
  </si>
  <si>
    <t>13D3010077</t>
  </si>
  <si>
    <t>Lâm Trọng</t>
  </si>
  <si>
    <t>Nhân</t>
  </si>
  <si>
    <t>04.09.95</t>
  </si>
  <si>
    <t>LT</t>
  </si>
  <si>
    <t>13D3010042</t>
  </si>
  <si>
    <t>Nguyễn Sinh</t>
  </si>
  <si>
    <t>Nhật</t>
  </si>
  <si>
    <t>12.01.95</t>
  </si>
  <si>
    <t>Pháp</t>
  </si>
  <si>
    <t>03.03.94</t>
  </si>
  <si>
    <t>Phong</t>
  </si>
  <si>
    <t>13D3010086</t>
  </si>
  <si>
    <t>Viên Ngọc</t>
  </si>
  <si>
    <t>09.11.95</t>
  </si>
  <si>
    <t>Phúc</t>
  </si>
  <si>
    <t>13D3010092</t>
  </si>
  <si>
    <t>Nguyễn Anh</t>
  </si>
  <si>
    <t>Phụng</t>
  </si>
  <si>
    <t>13D3010095</t>
  </si>
  <si>
    <t xml:space="preserve">Trịnh Ngọc </t>
  </si>
  <si>
    <t>Phước</t>
  </si>
  <si>
    <t>12.12.95</t>
  </si>
  <si>
    <t>13D3010098</t>
  </si>
  <si>
    <t>20.03.94</t>
  </si>
  <si>
    <t>13D3010099</t>
  </si>
  <si>
    <t>Trương Thái</t>
  </si>
  <si>
    <t>Quốc</t>
  </si>
  <si>
    <t>11.01.95</t>
  </si>
  <si>
    <t>13D3010102</t>
  </si>
  <si>
    <t>Nguyễn Đức</t>
  </si>
  <si>
    <t>Quynh</t>
  </si>
  <si>
    <t>15.10.94</t>
  </si>
  <si>
    <t>13D3010105</t>
  </si>
  <si>
    <t>Sơn</t>
  </si>
  <si>
    <t>05.04.95</t>
  </si>
  <si>
    <t>31.10.95</t>
  </si>
  <si>
    <t>13D3010117</t>
  </si>
  <si>
    <t>Lê Chí Hoàng</t>
  </si>
  <si>
    <t>Thắng</t>
  </si>
  <si>
    <t>18.04.95</t>
  </si>
  <si>
    <t>13D3010120</t>
  </si>
  <si>
    <t>Bùi Văn</t>
  </si>
  <si>
    <t>Thành</t>
  </si>
  <si>
    <t>08.09.93</t>
  </si>
  <si>
    <t>13D3010123</t>
  </si>
  <si>
    <t>Thể</t>
  </si>
  <si>
    <t>20.09.95</t>
  </si>
  <si>
    <t>13D3010129</t>
  </si>
  <si>
    <t>Ngô Công</t>
  </si>
  <si>
    <t>Thuật</t>
  </si>
  <si>
    <t>09.06.94</t>
  </si>
  <si>
    <t>13D3010135</t>
  </si>
  <si>
    <t>Toàn</t>
  </si>
  <si>
    <t>30.09.95</t>
  </si>
  <si>
    <t>13D3010138</t>
  </si>
  <si>
    <t>Trãi</t>
  </si>
  <si>
    <t>15.01.95</t>
  </si>
  <si>
    <t>Nguyễn Tiến</t>
  </si>
  <si>
    <t>31.07.95</t>
  </si>
  <si>
    <t>Đỗ Thành</t>
  </si>
  <si>
    <t>Triệu</t>
  </si>
  <si>
    <t>13D3010144</t>
  </si>
  <si>
    <t>Trần Nhựt</t>
  </si>
  <si>
    <t>Trường</t>
  </si>
  <si>
    <t>30.07.95</t>
  </si>
  <si>
    <t>LPKL</t>
  </si>
  <si>
    <t>13D3010031</t>
  </si>
  <si>
    <t>19.01.94</t>
  </si>
  <si>
    <t>13D3010155</t>
  </si>
  <si>
    <t>Lâm Xuân</t>
  </si>
  <si>
    <t>01.05.95</t>
  </si>
  <si>
    <t>13D3010002</t>
  </si>
  <si>
    <t>Đinh Khắc</t>
  </si>
  <si>
    <t>Bình</t>
  </si>
  <si>
    <t>15.03.95</t>
  </si>
  <si>
    <t>13CĐ-ĐT2</t>
  </si>
  <si>
    <t>07.02.95</t>
  </si>
  <si>
    <t>13D3010011</t>
  </si>
  <si>
    <t>Dũng</t>
  </si>
  <si>
    <t>26.11.93</t>
  </si>
  <si>
    <t>22.08.94</t>
  </si>
  <si>
    <t>Đạt</t>
  </si>
  <si>
    <t>13D3010023</t>
  </si>
  <si>
    <t>Nguyễn Trường</t>
  </si>
  <si>
    <t>07.08.93</t>
  </si>
  <si>
    <t>Hiếu</t>
  </si>
  <si>
    <t>13D3010036</t>
  </si>
  <si>
    <t>Đinh Khải</t>
  </si>
  <si>
    <t>Hoàn</t>
  </si>
  <si>
    <t>19.11.94</t>
  </si>
  <si>
    <t>13D3010040</t>
  </si>
  <si>
    <t>Nguyễn Ngọc</t>
  </si>
  <si>
    <t>Huấn</t>
  </si>
  <si>
    <t>17.04.95</t>
  </si>
  <si>
    <t>Đặng Minh</t>
  </si>
  <si>
    <t>Hữu</t>
  </si>
  <si>
    <t>13D3010046</t>
  </si>
  <si>
    <t>Mai Ngọc</t>
  </si>
  <si>
    <t>27.04.94</t>
  </si>
  <si>
    <t>13D3010049</t>
  </si>
  <si>
    <t>Huỳnh</t>
  </si>
  <si>
    <t>04.10.94</t>
  </si>
  <si>
    <t>13D3010052</t>
  </si>
  <si>
    <t>Nguyễn Quang</t>
  </si>
  <si>
    <t>Trần Đăng</t>
  </si>
  <si>
    <t>13D3010058</t>
  </si>
  <si>
    <t>Lâm</t>
  </si>
  <si>
    <t>10.02.95</t>
  </si>
  <si>
    <t>13D3010061</t>
  </si>
  <si>
    <t>Lành</t>
  </si>
  <si>
    <t>20.07.94</t>
  </si>
  <si>
    <t>13D3010070</t>
  </si>
  <si>
    <t>Trần Chí</t>
  </si>
  <si>
    <t>Mỹ</t>
  </si>
  <si>
    <t>16.06.93</t>
  </si>
  <si>
    <t>13D3010071</t>
  </si>
  <si>
    <t>11.06.94</t>
  </si>
  <si>
    <t>13D3010074</t>
  </si>
  <si>
    <t>Huỳnh Trọng</t>
  </si>
  <si>
    <t>20.07.95</t>
  </si>
  <si>
    <t>13D3010078</t>
  </si>
  <si>
    <t>Võ Phước</t>
  </si>
  <si>
    <t>13D3010081</t>
  </si>
  <si>
    <t xml:space="preserve">Huỳnh Tấn </t>
  </si>
  <si>
    <t>Phát</t>
  </si>
  <si>
    <t>20.02.95</t>
  </si>
  <si>
    <t>13D3010084</t>
  </si>
  <si>
    <t>Võ Trần Vũ</t>
  </si>
  <si>
    <t>23.10.95</t>
  </si>
  <si>
    <t>Dương Văn</t>
  </si>
  <si>
    <t>30.04.95</t>
  </si>
  <si>
    <t>13D3010090</t>
  </si>
  <si>
    <t>Trịnh Hoàng</t>
  </si>
  <si>
    <t>09.03.95</t>
  </si>
  <si>
    <t>13D3010162</t>
  </si>
  <si>
    <t>Võ Trường</t>
  </si>
  <si>
    <t>08.09.95</t>
  </si>
  <si>
    <t>13D3010093</t>
  </si>
  <si>
    <t>Nguyễn Đại</t>
  </si>
  <si>
    <t>13D3010096</t>
  </si>
  <si>
    <t>Hoàng Minh</t>
  </si>
  <si>
    <t>14.09.93</t>
  </si>
  <si>
    <t>13D3010100</t>
  </si>
  <si>
    <t>Quý</t>
  </si>
  <si>
    <t>23.02.95</t>
  </si>
  <si>
    <t>13D3010103</t>
  </si>
  <si>
    <t>Trần Quang</t>
  </si>
  <si>
    <t>Sáng</t>
  </si>
  <si>
    <t>05.12.95</t>
  </si>
  <si>
    <t>Nguyễn Thái</t>
  </si>
  <si>
    <t>13.02.95</t>
  </si>
  <si>
    <t>07.07.95</t>
  </si>
  <si>
    <t>13D3010109</t>
  </si>
  <si>
    <t>22.09.94</t>
  </si>
  <si>
    <t>13D3010112</t>
  </si>
  <si>
    <t>12.04.95</t>
  </si>
  <si>
    <t>13D3010115</t>
  </si>
  <si>
    <t>11.12.95</t>
  </si>
  <si>
    <t>13D3010118</t>
  </si>
  <si>
    <t>11.03.94</t>
  </si>
  <si>
    <t>13D3010121</t>
  </si>
  <si>
    <t>Đặng Xuân</t>
  </si>
  <si>
    <t>16.02.95</t>
  </si>
  <si>
    <t>Thịnh</t>
  </si>
  <si>
    <t>13D3010127</t>
  </si>
  <si>
    <t>31.01.95</t>
  </si>
  <si>
    <t>13D3010130</t>
  </si>
  <si>
    <t>Huỳnh Văn</t>
  </si>
  <si>
    <t>Thưởng</t>
  </si>
  <si>
    <t>08.08.95</t>
  </si>
  <si>
    <t>13D3010133</t>
  </si>
  <si>
    <t xml:space="preserve">Nguyễn Trung </t>
  </si>
  <si>
    <t>Tín</t>
  </si>
  <si>
    <t>Phạm Minh</t>
  </si>
  <si>
    <t>07.12.95</t>
  </si>
  <si>
    <t>13D3010142</t>
  </si>
  <si>
    <t>Trình</t>
  </si>
  <si>
    <t>07.03.95</t>
  </si>
  <si>
    <t>13D3010145</t>
  </si>
  <si>
    <t>23.01.95</t>
  </si>
  <si>
    <t>06.10.95</t>
  </si>
  <si>
    <t>13D3010151</t>
  </si>
  <si>
    <t>Ngô Phi</t>
  </si>
  <si>
    <t>Tường</t>
  </si>
  <si>
    <t>20.12.95</t>
  </si>
  <si>
    <t>13D3010153</t>
  </si>
  <si>
    <t>Vĩ</t>
  </si>
  <si>
    <t>19.02.95</t>
  </si>
  <si>
    <t>13CĐ-ĐT3</t>
  </si>
  <si>
    <t>13D3010008</t>
  </si>
  <si>
    <t>09.04.95</t>
  </si>
  <si>
    <t>13D3010012</t>
  </si>
  <si>
    <t>03.08.94</t>
  </si>
  <si>
    <t>13D3010076</t>
  </si>
  <si>
    <t>Lữ Đình</t>
  </si>
  <si>
    <t>13D3010024</t>
  </si>
  <si>
    <t>Hồ Thanh</t>
  </si>
  <si>
    <t>03.12.95</t>
  </si>
  <si>
    <t>13D3010029</t>
  </si>
  <si>
    <t>Nguyễn Tấn Anh</t>
  </si>
  <si>
    <t>Hào</t>
  </si>
  <si>
    <t>Lê Huy</t>
  </si>
  <si>
    <t>Hoàng</t>
  </si>
  <si>
    <t>12.10.95</t>
  </si>
  <si>
    <t>13D3010041</t>
  </si>
  <si>
    <t>Hùng</t>
  </si>
  <si>
    <t>08.05.94</t>
  </si>
  <si>
    <t>21.10.95</t>
  </si>
  <si>
    <t>13D3010047</t>
  </si>
  <si>
    <t>14.04.95</t>
  </si>
  <si>
    <t>Lâm Hoàng</t>
  </si>
  <si>
    <t>Khang</t>
  </si>
  <si>
    <t>07.07.94</t>
  </si>
  <si>
    <t>13D3010053</t>
  </si>
  <si>
    <t>Đỗ Đăng</t>
  </si>
  <si>
    <t>01.01.94</t>
  </si>
  <si>
    <t>13D3010056</t>
  </si>
  <si>
    <t>Phan Trung</t>
  </si>
  <si>
    <t>13.03.95</t>
  </si>
  <si>
    <t>Nguyễn Viết</t>
  </si>
  <si>
    <t>10.07.95</t>
  </si>
  <si>
    <t>Nguyễn Phương</t>
  </si>
  <si>
    <t>16.10.94</t>
  </si>
  <si>
    <t>Luận</t>
  </si>
  <si>
    <t>13D3010069</t>
  </si>
  <si>
    <t>10.01.95</t>
  </si>
  <si>
    <t>13D3010079</t>
  </si>
  <si>
    <t>Hồ Đình</t>
  </si>
  <si>
    <t>Nhựt</t>
  </si>
  <si>
    <t>14.11.95</t>
  </si>
  <si>
    <t>Hoàng Văn</t>
  </si>
  <si>
    <t>03.08.95</t>
  </si>
  <si>
    <t>13D3010091</t>
  </si>
  <si>
    <t xml:space="preserve">Võ Thế </t>
  </si>
  <si>
    <t>13D3010094</t>
  </si>
  <si>
    <t>Phạm Hữu</t>
  </si>
  <si>
    <t>18.11.95</t>
  </si>
  <si>
    <t>Nguyễn Duy</t>
  </si>
  <si>
    <t>28.12.95</t>
  </si>
  <si>
    <t>13D3010101</t>
  </si>
  <si>
    <t>Vòng Đông</t>
  </si>
  <si>
    <t>09.02.94</t>
  </si>
  <si>
    <t>13D3010104</t>
  </si>
  <si>
    <t>Đặng Kỳ</t>
  </si>
  <si>
    <t>16.07.95</t>
  </si>
  <si>
    <t>13D3010107</t>
  </si>
  <si>
    <t>Ngô Văn</t>
  </si>
  <si>
    <t>Tạc</t>
  </si>
  <si>
    <t>26.01.95</t>
  </si>
  <si>
    <t>13D3010110</t>
  </si>
  <si>
    <t>Phan Chí</t>
  </si>
  <si>
    <t>13D3010116</t>
  </si>
  <si>
    <t>Vũ Hứa Minh</t>
  </si>
  <si>
    <t>13D3010119</t>
  </si>
  <si>
    <t>Bạch Ngọc</t>
  </si>
  <si>
    <t>13D3010122</t>
  </si>
  <si>
    <t>Nguyễn Thạch</t>
  </si>
  <si>
    <t>Thảo</t>
  </si>
  <si>
    <t>13D3010125</t>
  </si>
  <si>
    <t xml:space="preserve">Nguyễn Ngọc Huy </t>
  </si>
  <si>
    <t>09.05.93</t>
  </si>
  <si>
    <t>13D3010128</t>
  </si>
  <si>
    <t>Vũ Duy</t>
  </si>
  <si>
    <t>12.03.93</t>
  </si>
  <si>
    <t>13D3010131</t>
  </si>
  <si>
    <t>Tiên</t>
  </si>
  <si>
    <t>02.01.95</t>
  </si>
  <si>
    <t>13D3010134</t>
  </si>
  <si>
    <t>Đào Hữu</t>
  </si>
  <si>
    <t>13D3010137</t>
  </si>
  <si>
    <t>Tới</t>
  </si>
  <si>
    <t>13D3010140</t>
  </si>
  <si>
    <t>13D3010143</t>
  </si>
  <si>
    <t>Trung</t>
  </si>
  <si>
    <t>13D3010146</t>
  </si>
  <si>
    <t xml:space="preserve">Võ Duy </t>
  </si>
  <si>
    <t>13D3010150</t>
  </si>
  <si>
    <t>Trần Ngọc</t>
  </si>
  <si>
    <t>15.01.91</t>
  </si>
  <si>
    <t>Ty</t>
  </si>
  <si>
    <t>13D3010154</t>
  </si>
  <si>
    <t>Lâm Hoài</t>
  </si>
  <si>
    <t>13.05.95</t>
  </si>
  <si>
    <t>13D3010159</t>
  </si>
  <si>
    <t>Xuân</t>
  </si>
  <si>
    <t>27.06.95</t>
  </si>
  <si>
    <t>13D3010160</t>
  </si>
  <si>
    <t>Ấn</t>
  </si>
  <si>
    <t>06.08.95</t>
  </si>
  <si>
    <t>13CĐ-ĐT4</t>
  </si>
  <si>
    <t>Bảo</t>
  </si>
  <si>
    <t>13D3010176</t>
  </si>
  <si>
    <t>Đặng Thanh</t>
  </si>
  <si>
    <t>22.03.95</t>
  </si>
  <si>
    <t>Phạm Tấn</t>
  </si>
  <si>
    <t>Bửu</t>
  </si>
  <si>
    <t>10.10.95</t>
  </si>
  <si>
    <t>13D3010166</t>
  </si>
  <si>
    <t>Trần Khánh</t>
  </si>
  <si>
    <t>20.05.94</t>
  </si>
  <si>
    <t>Nguyễn Phi</t>
  </si>
  <si>
    <t>13D3010013</t>
  </si>
  <si>
    <t>Lê Hoàng</t>
  </si>
  <si>
    <t>26.04.95</t>
  </si>
  <si>
    <t>13D3010017</t>
  </si>
  <si>
    <t>Võ Văn</t>
  </si>
  <si>
    <t>Đại</t>
  </si>
  <si>
    <t>12.12.94</t>
  </si>
  <si>
    <t>13D3010177</t>
  </si>
  <si>
    <t>Nguyễn Hồng</t>
  </si>
  <si>
    <t>08.09.94</t>
  </si>
  <si>
    <t>13D3010168</t>
  </si>
  <si>
    <t>03.02.95</t>
  </si>
  <si>
    <t>Hậu</t>
  </si>
  <si>
    <t>Bùi Xuân</t>
  </si>
  <si>
    <t>Hiền</t>
  </si>
  <si>
    <t>20.09.94</t>
  </si>
  <si>
    <t>13D3010167</t>
  </si>
  <si>
    <t>Trần Huệ</t>
  </si>
  <si>
    <t>09.06.95</t>
  </si>
  <si>
    <t>13D3010034</t>
  </si>
  <si>
    <t>01.07.95</t>
  </si>
  <si>
    <t>Hoài</t>
  </si>
  <si>
    <t>18.05.94</t>
  </si>
  <si>
    <t>13D3010035</t>
  </si>
  <si>
    <t>Lê Nguyễn</t>
  </si>
  <si>
    <t>13D3010169</t>
  </si>
  <si>
    <t>Phạm Ngọc</t>
  </si>
  <si>
    <t>03.04.95</t>
  </si>
  <si>
    <t>13D3010178</t>
  </si>
  <si>
    <t>Đinh Tiến</t>
  </si>
  <si>
    <t>Hưng</t>
  </si>
  <si>
    <t>10.08.92</t>
  </si>
  <si>
    <t>Phạm Thanh</t>
  </si>
  <si>
    <t>Nguyễn Hoàng</t>
  </si>
  <si>
    <t>13D3010180</t>
  </si>
  <si>
    <t>Mạnh</t>
  </si>
  <si>
    <t>01.03.93</t>
  </si>
  <si>
    <t>Hoàng Quang</t>
  </si>
  <si>
    <t>16.12.94</t>
  </si>
  <si>
    <t>13D3010181</t>
  </si>
  <si>
    <t>Trần Đức</t>
  </si>
  <si>
    <t>02.02.94</t>
  </si>
  <si>
    <t>13D3010194</t>
  </si>
  <si>
    <t>Võ Duy</t>
  </si>
  <si>
    <t>05.03.95</t>
  </si>
  <si>
    <t>13D3010182</t>
  </si>
  <si>
    <t xml:space="preserve">Lê Thanh </t>
  </si>
  <si>
    <t>06.02.95</t>
  </si>
  <si>
    <t>13D3010185</t>
  </si>
  <si>
    <t>Phan Vũ</t>
  </si>
  <si>
    <t>Thanh</t>
  </si>
  <si>
    <t>06.09.91</t>
  </si>
  <si>
    <t>13D3010172</t>
  </si>
  <si>
    <t>Tiễn</t>
  </si>
  <si>
    <t>24.07.95</t>
  </si>
  <si>
    <t>13D3010174</t>
  </si>
  <si>
    <t>Trần Quốc</t>
  </si>
  <si>
    <t>Trạng</t>
  </si>
  <si>
    <t>10.03.95</t>
  </si>
  <si>
    <t>13D3010067</t>
  </si>
  <si>
    <t>Vương Huỳnh</t>
  </si>
  <si>
    <t>20.11.94</t>
  </si>
  <si>
    <t>13D3010193</t>
  </si>
  <si>
    <t>Đặng Thế</t>
  </si>
  <si>
    <t>27.09.93</t>
  </si>
  <si>
    <t>13D3010190</t>
  </si>
  <si>
    <t>Trần Triệu</t>
  </si>
  <si>
    <t>13D3010158</t>
  </si>
  <si>
    <t>Võ Tấn</t>
  </si>
  <si>
    <t>24.03.94</t>
  </si>
  <si>
    <t>13D3010195</t>
  </si>
  <si>
    <t>Nguyễn Xuân</t>
  </si>
  <si>
    <t>29.06.89</t>
  </si>
  <si>
    <t>13D301Đ001</t>
  </si>
  <si>
    <t>Lương Hoàng Thuận</t>
  </si>
  <si>
    <t>07.11.94</t>
  </si>
  <si>
    <t>13CĐ-Đ1</t>
  </si>
  <si>
    <t>13D301Đ009</t>
  </si>
  <si>
    <t>Võ Thành</t>
  </si>
  <si>
    <t>26.03.95</t>
  </si>
  <si>
    <t>13D301Đ013</t>
  </si>
  <si>
    <t>15.09.95</t>
  </si>
  <si>
    <t>Trịnh Thanh</t>
  </si>
  <si>
    <t>13D301Đ017</t>
  </si>
  <si>
    <t>Chinh</t>
  </si>
  <si>
    <t>13D301Đ021</t>
  </si>
  <si>
    <t>13D301Đ025</t>
  </si>
  <si>
    <t>16.11.93</t>
  </si>
  <si>
    <t>Ngô Thành</t>
  </si>
  <si>
    <t>12.07.95</t>
  </si>
  <si>
    <t>13D301Đ033</t>
  </si>
  <si>
    <t xml:space="preserve">Trương Văn </t>
  </si>
  <si>
    <t>13D301Đ037</t>
  </si>
  <si>
    <t>28.02.95</t>
  </si>
  <si>
    <t>13D301Đ041</t>
  </si>
  <si>
    <t>08.12.94</t>
  </si>
  <si>
    <t>13D301Đ045</t>
  </si>
  <si>
    <t>Lê Công</t>
  </si>
  <si>
    <t>03.01.94</t>
  </si>
  <si>
    <t>13D301Đ049</t>
  </si>
  <si>
    <t>Lê Minh</t>
  </si>
  <si>
    <t>14.07.95</t>
  </si>
  <si>
    <t>13D301Đ053</t>
  </si>
  <si>
    <t>13D301Đ057</t>
  </si>
  <si>
    <t>02.10.94</t>
  </si>
  <si>
    <t>13D301Đ061</t>
  </si>
  <si>
    <t>Huỳnh Thanh</t>
  </si>
  <si>
    <t>20.04.93</t>
  </si>
  <si>
    <t>13D301Đ065</t>
  </si>
  <si>
    <t>Đoàn Lê Xuân</t>
  </si>
  <si>
    <t>13D301Đ073</t>
  </si>
  <si>
    <t>Trịnh Đại</t>
  </si>
  <si>
    <t>Lăng</t>
  </si>
  <si>
    <t>31.07.94</t>
  </si>
  <si>
    <t>13D301Đ204</t>
  </si>
  <si>
    <t>24.04.95</t>
  </si>
  <si>
    <t>Lợi</t>
  </si>
  <si>
    <t>13D301Đ162</t>
  </si>
  <si>
    <t>Lượng</t>
  </si>
  <si>
    <t>13D301Đ081</t>
  </si>
  <si>
    <t>Mai Đình</t>
  </si>
  <si>
    <t>Luyện</t>
  </si>
  <si>
    <t>05.02.92</t>
  </si>
  <si>
    <t>13D301Đ085</t>
  </si>
  <si>
    <t>09.09.94</t>
  </si>
  <si>
    <t>13D301Đ089</t>
  </si>
  <si>
    <t>Bảng tính thao tác</t>
  </si>
  <si>
    <t>Công việc thực hiện</t>
  </si>
  <si>
    <t>Thực hiện</t>
  </si>
  <si>
    <t>Ghi chú: Danh sách SV, tên các HP và số đơn vị học trình sẽ được truyền tự động vào cho các bảng tính của HKI và bảng điểm từng HP</t>
  </si>
  <si>
    <t>Nhập các điểm thành phần vào từng cột tương ứng</t>
  </si>
  <si>
    <r>
      <t xml:space="preserve">Vào bảng tính </t>
    </r>
    <r>
      <rPr>
        <b/>
        <sz val="13"/>
        <rFont val="Arial"/>
        <family val="2"/>
      </rPr>
      <t>DS LOP HKI</t>
    </r>
  </si>
  <si>
    <r>
      <t xml:space="preserve">Vào bảng tính </t>
    </r>
    <r>
      <rPr>
        <b/>
        <sz val="13"/>
        <rFont val="Arial"/>
        <family val="2"/>
      </rPr>
      <t>HKI</t>
    </r>
  </si>
  <si>
    <r>
      <t xml:space="preserve">Kích vào ô đầu tiên của mã số sinh viên (ô </t>
    </r>
    <r>
      <rPr>
        <b/>
        <sz val="13"/>
        <rFont val="Arial"/>
        <family val="2"/>
      </rPr>
      <t>B11</t>
    </r>
    <r>
      <rPr>
        <sz val="13"/>
        <rFont val="Arial"/>
        <family val="2"/>
      </rPr>
      <t>), nhấn Ctrl-V.</t>
    </r>
  </si>
  <si>
    <r>
      <t xml:space="preserve">Vào bảng tính </t>
    </r>
    <r>
      <rPr>
        <b/>
        <sz val="13"/>
        <rFont val="Arial"/>
        <family val="2"/>
      </rPr>
      <t>TEN HOC PHAN HKI</t>
    </r>
  </si>
  <si>
    <t>Đếm
cột
HP
chính
&lt;4</t>
  </si>
  <si>
    <t>AB</t>
  </si>
  <si>
    <t>Điểm tích luỹ năm 2013-2014</t>
  </si>
  <si>
    <t>ĐIỂM SỐ</t>
  </si>
  <si>
    <t>ĐIỂM CHỮ</t>
  </si>
  <si>
    <r>
      <t xml:space="preserve">Vào bảng tính "XYZ" </t>
    </r>
    <r>
      <rPr>
        <b/>
        <sz val="13"/>
        <rFont val="Arial"/>
        <family val="2"/>
      </rPr>
      <t>tương ứng với học phần "ABC" quy định trong bước 3</t>
    </r>
  </si>
  <si>
    <r>
      <t xml:space="preserve">Nhập hệ chuẩn vào cột </t>
    </r>
    <r>
      <rPr>
        <b/>
        <sz val="13"/>
        <rFont val="Arial"/>
        <family val="2"/>
      </rPr>
      <t xml:space="preserve">E, </t>
    </r>
    <r>
      <rPr>
        <sz val="13"/>
        <rFont val="Arial"/>
        <family val="2"/>
      </rPr>
      <t xml:space="preserve">số ngày nghỉ có phép vào cột </t>
    </r>
    <r>
      <rPr>
        <b/>
        <sz val="13"/>
        <rFont val="Arial"/>
        <family val="2"/>
      </rPr>
      <t>F</t>
    </r>
    <r>
      <rPr>
        <sz val="13"/>
        <rFont val="Arial"/>
        <family val="2"/>
      </rPr>
      <t xml:space="preserve">, số ngày không phép vào cột </t>
    </r>
    <r>
      <rPr>
        <b/>
        <sz val="13"/>
        <rFont val="Arial"/>
        <family val="2"/>
      </rPr>
      <t>G</t>
    </r>
    <r>
      <rPr>
        <sz val="13"/>
        <rFont val="Arial"/>
        <family val="2"/>
      </rPr>
      <t>.</t>
    </r>
  </si>
  <si>
    <r>
      <t xml:space="preserve">Cột </t>
    </r>
    <r>
      <rPr>
        <b/>
        <sz val="13"/>
        <rFont val="Arial"/>
        <family val="2"/>
      </rPr>
      <t>GHI CHÚ</t>
    </r>
    <r>
      <rPr>
        <sz val="13"/>
        <rFont val="Arial"/>
        <family val="2"/>
      </rPr>
      <t xml:space="preserve"> chỉ điền vào các thông tin về hình thức kỷ luật (nếu có)</t>
    </r>
  </si>
  <si>
    <t>Nguyễn Hữu</t>
  </si>
  <si>
    <t>29.12.94</t>
  </si>
  <si>
    <t>XẾP LOẠI HT</t>
  </si>
  <si>
    <t>13D301Đ097</t>
  </si>
  <si>
    <t>13D301Đ101</t>
  </si>
  <si>
    <t>05.01.95</t>
  </si>
  <si>
    <t>23.09.95</t>
  </si>
  <si>
    <t>03.09.95</t>
  </si>
  <si>
    <t>13D301Đ117</t>
  </si>
  <si>
    <t>Trịnh Ngọc</t>
  </si>
  <si>
    <t>01.01.95</t>
  </si>
  <si>
    <t>13D301Đ121</t>
  </si>
  <si>
    <t>30.04.94</t>
  </si>
  <si>
    <t>13D301Đ124</t>
  </si>
  <si>
    <t>Cao Nguyễn Nhật</t>
  </si>
  <si>
    <t>02.12.95</t>
  </si>
  <si>
    <t>02.03.95</t>
  </si>
  <si>
    <t>13D301Đ130</t>
  </si>
  <si>
    <t>Nguyễn Việt</t>
  </si>
  <si>
    <t>13D301Đ133</t>
  </si>
  <si>
    <t>Nguyễn Khắc</t>
  </si>
  <si>
    <t>11.07.92</t>
  </si>
  <si>
    <t>13D301Đ136</t>
  </si>
  <si>
    <t>13D301Đ169</t>
  </si>
  <si>
    <t>Ngô Minh</t>
  </si>
  <si>
    <t>Thiện</t>
  </si>
  <si>
    <t>05.07.95</t>
  </si>
  <si>
    <t>Lê Phúc</t>
  </si>
  <si>
    <t>21.04.94</t>
  </si>
  <si>
    <t>12.07.94</t>
  </si>
  <si>
    <t>13D301Đ154</t>
  </si>
  <si>
    <t>Võ Đức</t>
  </si>
  <si>
    <t>17.08.95</t>
  </si>
  <si>
    <t>Phan Văn</t>
  </si>
  <si>
    <t>Trọng</t>
  </si>
  <si>
    <t>20.10.94</t>
  </si>
  <si>
    <t>13D301Đ160</t>
  </si>
  <si>
    <t>Nguyễn Bá</t>
  </si>
  <si>
    <t>13D301Đ163</t>
  </si>
  <si>
    <t>Trước</t>
  </si>
  <si>
    <t>07.09.94</t>
  </si>
  <si>
    <t>13D301Đ166</t>
  </si>
  <si>
    <t>Tư</t>
  </si>
  <si>
    <t>Vinh</t>
  </si>
  <si>
    <t>12.11.95</t>
  </si>
  <si>
    <t>13D301Đ178</t>
  </si>
  <si>
    <t>Lê Văn</t>
  </si>
  <si>
    <t>09.10.94</t>
  </si>
  <si>
    <t>13D301Đ006</t>
  </si>
  <si>
    <t>Dương Hồng</t>
  </si>
  <si>
    <t>29.09.95</t>
  </si>
  <si>
    <t>13CĐ-Đ2</t>
  </si>
  <si>
    <t>13D301Đ010</t>
  </si>
  <si>
    <t>Trần Đình</t>
  </si>
  <si>
    <t>Bảy</t>
  </si>
  <si>
    <t>06.06.95</t>
  </si>
  <si>
    <t>13D301Đ022</t>
  </si>
  <si>
    <t>22.07.95</t>
  </si>
  <si>
    <t>13D301Đ026</t>
  </si>
  <si>
    <t>Trương Thành</t>
  </si>
  <si>
    <t>Dương</t>
  </si>
  <si>
    <t>27.09.95</t>
  </si>
  <si>
    <t>29.10.95</t>
  </si>
  <si>
    <t>13D301Đ034</t>
  </si>
  <si>
    <t>Điệp</t>
  </si>
  <si>
    <t>03.11.93</t>
  </si>
  <si>
    <t>13D301Đ038</t>
  </si>
  <si>
    <t>Hàn Minh</t>
  </si>
  <si>
    <t>26.08.95</t>
  </si>
  <si>
    <t>13D301Đ042</t>
  </si>
  <si>
    <t>Hà</t>
  </si>
  <si>
    <t>23.03.95</t>
  </si>
  <si>
    <t>13D301Đ205</t>
  </si>
  <si>
    <t>Mai Văn</t>
  </si>
  <si>
    <t>Hảo</t>
  </si>
  <si>
    <t>22.05.95</t>
  </si>
  <si>
    <t>20.04.95</t>
  </si>
  <si>
    <t>13D301Đ054</t>
  </si>
  <si>
    <t>Nguyễn</t>
  </si>
  <si>
    <t>27.12.95</t>
  </si>
  <si>
    <t>13D301Đ058</t>
  </si>
  <si>
    <t>Trương Anh</t>
  </si>
  <si>
    <t>29.11.95</t>
  </si>
  <si>
    <t>13D301Đ062</t>
  </si>
  <si>
    <t>Hoàng Đức</t>
  </si>
  <si>
    <t>15.08.93</t>
  </si>
  <si>
    <t>27.01.95</t>
  </si>
  <si>
    <t>Trần Anh</t>
  </si>
  <si>
    <t>18.01.95</t>
  </si>
  <si>
    <t>13D301Đ074</t>
  </si>
  <si>
    <t>Ngô Quốc Thái</t>
  </si>
  <si>
    <t>13D301Đ078</t>
  </si>
  <si>
    <t>28.06.94</t>
  </si>
  <si>
    <t>13D301Đ086</t>
  </si>
  <si>
    <t>Nghị</t>
  </si>
  <si>
    <t>02.06.95</t>
  </si>
  <si>
    <t>13D301Đ198</t>
  </si>
  <si>
    <t>Hoàng Chí</t>
  </si>
  <si>
    <t>Nguyện</t>
  </si>
  <si>
    <t>11.06.95</t>
  </si>
  <si>
    <t>Võ Hoàng</t>
  </si>
  <si>
    <t>13D301Đ098</t>
  </si>
  <si>
    <t>Hồ Sỹ</t>
  </si>
  <si>
    <t>06.04.94</t>
  </si>
  <si>
    <t>13D301Đ106</t>
  </si>
  <si>
    <t>Trần Hữu</t>
  </si>
  <si>
    <t>19.06.95</t>
  </si>
  <si>
    <t>13D301Đ110</t>
  </si>
  <si>
    <t>04.01.95</t>
  </si>
  <si>
    <t>10.06.95</t>
  </si>
  <si>
    <t>13D301Đ122</t>
  </si>
  <si>
    <t>18.07.95</t>
  </si>
  <si>
    <t>13D301Đ125</t>
  </si>
  <si>
    <t>05.11.95</t>
  </si>
  <si>
    <t>13D301Đ128</t>
  </si>
  <si>
    <t>Lâm Ngọc</t>
  </si>
  <si>
    <t>Thạch</t>
  </si>
  <si>
    <t>23.06.94</t>
  </si>
  <si>
    <t>01.03.95</t>
  </si>
  <si>
    <t>13D301Đ134</t>
  </si>
  <si>
    <t>Nguyễn Lê Trung</t>
  </si>
  <si>
    <t>27.02.95</t>
  </si>
  <si>
    <t>13D301Đ137</t>
  </si>
  <si>
    <t>Trần Phúc</t>
  </si>
  <si>
    <t>Thạnh</t>
  </si>
  <si>
    <t>12.08.95</t>
  </si>
  <si>
    <t>13D301Đ140</t>
  </si>
  <si>
    <t>Phạm Hoàng</t>
  </si>
  <si>
    <t>06.11.95</t>
  </si>
  <si>
    <t>13D301Đ143</t>
  </si>
  <si>
    <t>18.10.95</t>
  </si>
  <si>
    <t>13D301Đ146</t>
  </si>
  <si>
    <t>13D301Đ152</t>
  </si>
  <si>
    <t>Phạm Cao Hữu</t>
  </si>
  <si>
    <t>Tình</t>
  </si>
  <si>
    <t>04.06.95</t>
  </si>
  <si>
    <t>13D301Đ155</t>
  </si>
  <si>
    <t>Hồ Huynh</t>
  </si>
  <si>
    <t>27.10.95</t>
  </si>
  <si>
    <t>16.06.95</t>
  </si>
  <si>
    <t>13D301Đ158</t>
  </si>
  <si>
    <t>Đỗ Tiến</t>
  </si>
  <si>
    <t>02.01.94</t>
  </si>
  <si>
    <t>13D301Đ161</t>
  </si>
  <si>
    <t>27.07.95</t>
  </si>
  <si>
    <t>13D301Đ164</t>
  </si>
  <si>
    <t>Đàm Quốc</t>
  </si>
  <si>
    <t>10.01.94</t>
  </si>
  <si>
    <t>13D301Đ167</t>
  </si>
  <si>
    <t>Phạm Lê Tuấn</t>
  </si>
  <si>
    <t>22.09.93</t>
  </si>
  <si>
    <t>13D301Đ170</t>
  </si>
  <si>
    <t>Tuệ</t>
  </si>
  <si>
    <t>05.08.93</t>
  </si>
  <si>
    <t>13D301Đ176</t>
  </si>
  <si>
    <t>Đoàn Tuấn</t>
  </si>
  <si>
    <t>13D301Đ184</t>
  </si>
  <si>
    <t>13D301Đ203</t>
  </si>
  <si>
    <t>Vui</t>
  </si>
  <si>
    <t>15.02.93</t>
  </si>
  <si>
    <t>13D301Đ003</t>
  </si>
  <si>
    <t>Võ Phạm Trường</t>
  </si>
  <si>
    <t>15.07.95</t>
  </si>
  <si>
    <t>13CĐ-Đ3</t>
  </si>
  <si>
    <t>13D301Đ035</t>
  </si>
  <si>
    <t>Mai Tuấn</t>
  </si>
  <si>
    <t>Anh</t>
  </si>
  <si>
    <t>13D301Đ007</t>
  </si>
  <si>
    <t>26.10.94</t>
  </si>
  <si>
    <t>13D301Đ090</t>
  </si>
  <si>
    <t>Đoàn Thái</t>
  </si>
  <si>
    <t>13D301Đ011</t>
  </si>
  <si>
    <t>27.03.93</t>
  </si>
  <si>
    <t>13D301Đ015</t>
  </si>
  <si>
    <t>25.03.95</t>
  </si>
  <si>
    <t>Cung</t>
  </si>
  <si>
    <t>22.11.95</t>
  </si>
  <si>
    <t>Duẩn</t>
  </si>
  <si>
    <t>01.11.94</t>
  </si>
  <si>
    <t>Nguyễn Trọng</t>
  </si>
  <si>
    <t>16.12.95</t>
  </si>
  <si>
    <t>13D301Đ043</t>
  </si>
  <si>
    <t>Nguyễn Khắc Thanh</t>
  </si>
  <si>
    <t>02.09.95</t>
  </si>
  <si>
    <t>13D301Đ047</t>
  </si>
  <si>
    <t>Phương Văn</t>
  </si>
  <si>
    <t>05.08.94</t>
  </si>
  <si>
    <t>13D301Đ051</t>
  </si>
  <si>
    <t>13D301Đ055</t>
  </si>
  <si>
    <t>Phạm Huy</t>
  </si>
  <si>
    <t>01.10.95</t>
  </si>
  <si>
    <t>13D301Đ059</t>
  </si>
  <si>
    <t>05.06.95</t>
  </si>
  <si>
    <t>13D301Đ063</t>
  </si>
  <si>
    <t>Diêu Anh</t>
  </si>
  <si>
    <t>13D301Đ067</t>
  </si>
  <si>
    <t>05.09.95</t>
  </si>
  <si>
    <t>13D301Đ071</t>
  </si>
  <si>
    <t>Phạm</t>
  </si>
  <si>
    <t>Kính</t>
  </si>
  <si>
    <t>02.09.93</t>
  </si>
  <si>
    <t>13D301Đ075</t>
  </si>
  <si>
    <t>08.02.95</t>
  </si>
  <si>
    <t>13D301Đ079</t>
  </si>
  <si>
    <t>Khương Trung</t>
  </si>
  <si>
    <t>Long</t>
  </si>
  <si>
    <t>13D301Đ087</t>
  </si>
  <si>
    <t>Huỳnh Hữu</t>
  </si>
  <si>
    <t>09.12.95</t>
  </si>
  <si>
    <t>13D301Đ091</t>
  </si>
  <si>
    <t>13D301Đ095</t>
  </si>
  <si>
    <t>Huỳnh Hoàng</t>
  </si>
  <si>
    <t>19.07.95</t>
  </si>
  <si>
    <t>13D301Đ099</t>
  </si>
  <si>
    <t>03.04.94</t>
  </si>
  <si>
    <t>13D301Đ103</t>
  </si>
  <si>
    <t>10.04.94</t>
  </si>
  <si>
    <t>Quang</t>
  </si>
  <si>
    <t>13D301Đ111</t>
  </si>
  <si>
    <t>Hồ Văn</t>
  </si>
  <si>
    <t>17.06.94</t>
  </si>
  <si>
    <t>13D301Đ202</t>
  </si>
  <si>
    <t>Trần Hoàng</t>
  </si>
  <si>
    <t>23.05.94</t>
  </si>
  <si>
    <t>13D301Đ115</t>
  </si>
  <si>
    <t>Đoàn Viết Cao</t>
  </si>
  <si>
    <t>29.12.95</t>
  </si>
  <si>
    <t>13D301Đ119</t>
  </si>
  <si>
    <t>Lưu Đức</t>
  </si>
  <si>
    <t>01.08.95</t>
  </si>
  <si>
    <t>Nguyễn Nhật</t>
  </si>
  <si>
    <t>13D301Đ129</t>
  </si>
  <si>
    <t>Văn Hữu Duy</t>
  </si>
  <si>
    <t>12.02.95</t>
  </si>
  <si>
    <t>13D301Đ151</t>
  </si>
  <si>
    <t>Đào Văn</t>
  </si>
  <si>
    <t>16.07.94</t>
  </si>
  <si>
    <t>13D301Đ135</t>
  </si>
  <si>
    <t>Phan Duy</t>
  </si>
  <si>
    <t>13D301Đ138</t>
  </si>
  <si>
    <t>Trương Công</t>
  </si>
  <si>
    <t>13D301Đ185</t>
  </si>
  <si>
    <t>13D301Đ144</t>
  </si>
  <si>
    <t>20.06.95</t>
  </si>
  <si>
    <t>13D301Đ147</t>
  </si>
  <si>
    <t>14.09.95</t>
  </si>
  <si>
    <t>13D301Đ153</t>
  </si>
  <si>
    <t>Trượng Tân</t>
  </si>
  <si>
    <t>Trang</t>
  </si>
  <si>
    <t>13D301Đ159</t>
  </si>
  <si>
    <t>Huỳnh Minh</t>
  </si>
  <si>
    <t>25.08.95</t>
  </si>
  <si>
    <t>13D301Đ165</t>
  </si>
  <si>
    <t>13D301Đ168</t>
  </si>
  <si>
    <t>Lê Mạnh</t>
  </si>
  <si>
    <t>19.11.95</t>
  </si>
  <si>
    <t>13D301Đ171</t>
  </si>
  <si>
    <t>Võ Xuân</t>
  </si>
  <si>
    <t>13.07.91</t>
  </si>
  <si>
    <t>13D301Đ174</t>
  </si>
  <si>
    <t>Tăng Ngọc</t>
  </si>
  <si>
    <t>Viên</t>
  </si>
  <si>
    <t>13D301Đ177</t>
  </si>
  <si>
    <t>17.06.95</t>
  </si>
  <si>
    <t>13D301Đ180</t>
  </si>
  <si>
    <t>Ý</t>
  </si>
  <si>
    <t>29.06.95</t>
  </si>
  <si>
    <t>13D301Đ004</t>
  </si>
  <si>
    <t>13CĐ-Đ4</t>
  </si>
  <si>
    <t>13D301Đ149</t>
  </si>
  <si>
    <t>Đỗ Huỳnh</t>
  </si>
  <si>
    <t>13D301Đ008</t>
  </si>
  <si>
    <t>Trương Vũ</t>
  </si>
  <si>
    <t>03.11.94</t>
  </si>
  <si>
    <t>13D301Đ016</t>
  </si>
  <si>
    <t>Vũ Văn</t>
  </si>
  <si>
    <t>17.03.95</t>
  </si>
  <si>
    <t>13D301Đ193</t>
  </si>
  <si>
    <t>Phạm Công</t>
  </si>
  <si>
    <t>Chính</t>
  </si>
  <si>
    <t>14.02.94</t>
  </si>
  <si>
    <t>13D301Đ020</t>
  </si>
  <si>
    <t>Trịnh Lê</t>
  </si>
  <si>
    <t>20.08.95</t>
  </si>
  <si>
    <t>13D301Đ024</t>
  </si>
  <si>
    <t xml:space="preserve">Trương Công </t>
  </si>
  <si>
    <t>13D301Đ192</t>
  </si>
  <si>
    <t>Cao Trùng</t>
  </si>
  <si>
    <t>26.02.95</t>
  </si>
  <si>
    <t>13D301Đ028</t>
  </si>
  <si>
    <t>02.08.91</t>
  </si>
  <si>
    <t>13D301Đ181</t>
  </si>
  <si>
    <t>Lâm Văn</t>
  </si>
  <si>
    <t>04.04.94</t>
  </si>
  <si>
    <t>Đoàn</t>
  </si>
  <si>
    <t>13D301Đ191</t>
  </si>
  <si>
    <t>Nguyễn Hiền</t>
  </si>
  <si>
    <t>05.05.95</t>
  </si>
  <si>
    <t>13D301Đ040</t>
  </si>
  <si>
    <t>03.06.95</t>
  </si>
  <si>
    <t>13D301Đ048</t>
  </si>
  <si>
    <t>Hiệp</t>
  </si>
  <si>
    <t>Hóa</t>
  </si>
  <si>
    <t>15.11.94</t>
  </si>
  <si>
    <t>Nguyễn Phước</t>
  </si>
  <si>
    <t>13D301Đ056</t>
  </si>
  <si>
    <t>Trần Huy</t>
  </si>
  <si>
    <t>13D301Đ201</t>
  </si>
  <si>
    <t>Huân</t>
  </si>
  <si>
    <t>13.09.95</t>
  </si>
  <si>
    <t>Phạm Trọng</t>
  </si>
  <si>
    <t>13D301Đ064</t>
  </si>
  <si>
    <t>Đào Tuấn</t>
  </si>
  <si>
    <t>11.09.95</t>
  </si>
  <si>
    <t>13D301Đ068</t>
  </si>
  <si>
    <t>23.01.93</t>
  </si>
  <si>
    <t>13D301Đ194</t>
  </si>
  <si>
    <t>13D301Đ076</t>
  </si>
  <si>
    <t xml:space="preserve">Nguyễn Bá </t>
  </si>
  <si>
    <t>13D301Đ084</t>
  </si>
  <si>
    <t>25.03.93</t>
  </si>
  <si>
    <t>13D301Đ088</t>
  </si>
  <si>
    <t>14.07.93</t>
  </si>
  <si>
    <t>13D301Đ096</t>
  </si>
  <si>
    <t>01.10.94</t>
  </si>
  <si>
    <t>13D301Đ206</t>
  </si>
  <si>
    <t>Diệp Hoàng</t>
  </si>
  <si>
    <t>13D301Đ100</t>
  </si>
  <si>
    <t xml:space="preserve">Phạm Nguyễn Anh </t>
  </si>
  <si>
    <t>28.09.95</t>
  </si>
  <si>
    <t>13D301Đ104</t>
  </si>
  <si>
    <t>Trần Lê Đức</t>
  </si>
  <si>
    <t>30.08.95</t>
  </si>
  <si>
    <t>13D301Đ005</t>
  </si>
  <si>
    <t>25.11.95</t>
  </si>
  <si>
    <t>13D301Đ108</t>
  </si>
  <si>
    <t>Võ Tống Hồng</t>
  </si>
  <si>
    <t>25.12.95</t>
  </si>
  <si>
    <t>08.03.95</t>
  </si>
  <si>
    <t>13D301Đ116</t>
  </si>
  <si>
    <t>17.11.92</t>
  </si>
  <si>
    <t>13D301Đ195</t>
  </si>
  <si>
    <t>19.08.94</t>
  </si>
  <si>
    <t>13D301Đ196</t>
  </si>
  <si>
    <t>Nguyễn Toàn</t>
  </si>
  <si>
    <t>13.08.95</t>
  </si>
  <si>
    <t>13D301Đ197</t>
  </si>
  <si>
    <t>Đinh Văn</t>
  </si>
  <si>
    <t>13D301Đ188</t>
  </si>
  <si>
    <t>Đặng Ngọc</t>
  </si>
  <si>
    <t>03.06.94</t>
  </si>
  <si>
    <t>15.05.95</t>
  </si>
  <si>
    <t>13D301Đ183</t>
  </si>
  <si>
    <t>Trương Hoàng</t>
  </si>
  <si>
    <t>13D301Đ182</t>
  </si>
  <si>
    <t>Trần Tuấn</t>
  </si>
  <si>
    <t>13D301Đ179</t>
  </si>
  <si>
    <t>Lương Triều</t>
  </si>
  <si>
    <t>Vỹ</t>
  </si>
  <si>
    <t>21.06.95</t>
  </si>
  <si>
    <t>13D2060001</t>
  </si>
  <si>
    <t>10.10.94</t>
  </si>
  <si>
    <t>13CĐ-NL1</t>
  </si>
  <si>
    <t>13D2060003</t>
  </si>
  <si>
    <t>Nguyễn Khoa</t>
  </si>
  <si>
    <t>01.09.95</t>
  </si>
  <si>
    <t>13D2060005</t>
  </si>
  <si>
    <t>Phạm Quốc</t>
  </si>
  <si>
    <t>13D2060007</t>
  </si>
  <si>
    <t>Danh</t>
  </si>
  <si>
    <t>13D2060009</t>
  </si>
  <si>
    <t>12.06.94</t>
  </si>
  <si>
    <t>13D2060013</t>
  </si>
  <si>
    <t>Gia</t>
  </si>
  <si>
    <t>28.03.88</t>
  </si>
  <si>
    <t>13D2060015</t>
  </si>
  <si>
    <t>Phạm Khắc</t>
  </si>
  <si>
    <t>13D2060017</t>
  </si>
  <si>
    <t>Phan Thị</t>
  </si>
  <si>
    <t>Hết</t>
  </si>
  <si>
    <t>10.12.95</t>
  </si>
  <si>
    <t>13D2060070</t>
  </si>
  <si>
    <t>Hoàng Trung</t>
  </si>
  <si>
    <t>13D2060071</t>
  </si>
  <si>
    <t>04.11.95</t>
  </si>
  <si>
    <t>14.03.95</t>
  </si>
  <si>
    <t>13D2060023</t>
  </si>
  <si>
    <t>Lại Văn</t>
  </si>
  <si>
    <t>13D2060025</t>
  </si>
  <si>
    <t>29.03.94</t>
  </si>
  <si>
    <t>13D2060027</t>
  </si>
  <si>
    <t>Đặng Vĩ</t>
  </si>
  <si>
    <t>13D2060029</t>
  </si>
  <si>
    <t>17.12.95</t>
  </si>
  <si>
    <t>13D2060033</t>
  </si>
  <si>
    <t>Phạm Nhật</t>
  </si>
  <si>
    <t>Nhàn</t>
  </si>
  <si>
    <t>13D2060039</t>
  </si>
  <si>
    <t>Lê Hồng</t>
  </si>
  <si>
    <t>Phi</t>
  </si>
  <si>
    <t>27.07.93</t>
  </si>
  <si>
    <t>13D2060041</t>
  </si>
  <si>
    <t>07.11.95</t>
  </si>
  <si>
    <t>13D2060043</t>
  </si>
  <si>
    <t>Đặng Vinh</t>
  </si>
  <si>
    <t>Quan</t>
  </si>
  <si>
    <t>13D2060047</t>
  </si>
  <si>
    <t>Quyên</t>
  </si>
  <si>
    <t>11.04.94</t>
  </si>
  <si>
    <t>13D2060049</t>
  </si>
  <si>
    <t>Đỗ Ngọc</t>
  </si>
  <si>
    <t>Sịn</t>
  </si>
  <si>
    <t>04.02.95</t>
  </si>
  <si>
    <t>13D2060051</t>
  </si>
  <si>
    <t>18.04.94</t>
  </si>
  <si>
    <t>13D2060053</t>
  </si>
  <si>
    <t>Hồ Tấn</t>
  </si>
  <si>
    <t>11.04.95</t>
  </si>
  <si>
    <t>13D2060055</t>
  </si>
  <si>
    <t>Lê Song</t>
  </si>
  <si>
    <t>Thương</t>
  </si>
  <si>
    <t>13D2060057</t>
  </si>
  <si>
    <t>Phan Phước</t>
  </si>
  <si>
    <t>Trà</t>
  </si>
  <si>
    <t>04.05.94</t>
  </si>
  <si>
    <t>28.06.95</t>
  </si>
  <si>
    <t>15.05.93</t>
  </si>
  <si>
    <t>13D2060063</t>
  </si>
  <si>
    <t>Lê Nguyễn Quốc</t>
  </si>
  <si>
    <t>Việt</t>
  </si>
  <si>
    <t>13D2060065</t>
  </si>
  <si>
    <t>13D2060067</t>
  </si>
  <si>
    <t>13D2060006</t>
  </si>
  <si>
    <t>Hà Phúc Thanh</t>
  </si>
  <si>
    <t>Chương</t>
  </si>
  <si>
    <t>08.07.95</t>
  </si>
  <si>
    <t>13CĐ-NL2</t>
  </si>
  <si>
    <t>Diệu</t>
  </si>
  <si>
    <t>13D2060010</t>
  </si>
  <si>
    <t>13D2060012</t>
  </si>
  <si>
    <t>Võ Trung</t>
  </si>
  <si>
    <t>21.12.95</t>
  </si>
  <si>
    <t>13D2060014</t>
  </si>
  <si>
    <t>13D2060016</t>
  </si>
  <si>
    <t>Lê Trung</t>
  </si>
  <si>
    <t>29.07.95</t>
  </si>
  <si>
    <t>13D2060018</t>
  </si>
  <si>
    <t>Hương</t>
  </si>
  <si>
    <t>01.02.94</t>
  </si>
  <si>
    <t>13D2060072</t>
  </si>
  <si>
    <t>Đinh Hồ</t>
  </si>
  <si>
    <t>24.12.95</t>
  </si>
  <si>
    <t>13D2060020</t>
  </si>
  <si>
    <t>Ngô Đăng</t>
  </si>
  <si>
    <t>13D2060022</t>
  </si>
  <si>
    <t>Trần Nguyễn Đăng</t>
  </si>
  <si>
    <t>13D2060024</t>
  </si>
  <si>
    <t>Kí</t>
  </si>
  <si>
    <t>09.03.94</t>
  </si>
  <si>
    <t>13D2060002</t>
  </si>
  <si>
    <t>Bạch Trung</t>
  </si>
  <si>
    <t>Kiều</t>
  </si>
  <si>
    <t>20.06.94</t>
  </si>
  <si>
    <t>13D2060030</t>
  </si>
  <si>
    <t>18.06.95</t>
  </si>
  <si>
    <t>13D2060032</t>
  </si>
  <si>
    <t>SỐ TC NỢ
SAU KỲ THI PHỤ</t>
  </si>
  <si>
    <t>Nguyễn Thế</t>
  </si>
  <si>
    <t>09.01.95</t>
  </si>
  <si>
    <t>13D2060073</t>
  </si>
  <si>
    <t>Phan Trọng</t>
  </si>
  <si>
    <t>19.10.95</t>
  </si>
  <si>
    <t>13D2060034</t>
  </si>
  <si>
    <t>13D2060036</t>
  </si>
  <si>
    <t>13D2060038</t>
  </si>
  <si>
    <t>Liêu Nguyên</t>
  </si>
  <si>
    <t>13D2060042</t>
  </si>
  <si>
    <t>Hồ Thế</t>
  </si>
  <si>
    <t>Phy</t>
  </si>
  <si>
    <t>03.12.92</t>
  </si>
  <si>
    <t>13D2060044</t>
  </si>
  <si>
    <t>Hoàng Mạnh</t>
  </si>
  <si>
    <t>Quân</t>
  </si>
  <si>
    <t>22.06.95</t>
  </si>
  <si>
    <t>Hồ</t>
  </si>
  <si>
    <t>13D2060050</t>
  </si>
  <si>
    <t>Nguyễn Mai Thành</t>
  </si>
  <si>
    <t>22.09.95</t>
  </si>
  <si>
    <t>Nguyễn Đăng</t>
  </si>
  <si>
    <t>13D2060052</t>
  </si>
  <si>
    <t>Trà Quí</t>
  </si>
  <si>
    <t>14.05.93</t>
  </si>
  <si>
    <t>13D2060054</t>
  </si>
  <si>
    <t>21.01.95</t>
  </si>
  <si>
    <t>13D2060056</t>
  </si>
  <si>
    <t>Đoàn Hữu</t>
  </si>
  <si>
    <t>13D2060058</t>
  </si>
  <si>
    <t>Ngô Đặng Nhật</t>
  </si>
  <si>
    <t>13D2060060</t>
  </si>
  <si>
    <t>Đỗ Duy</t>
  </si>
  <si>
    <t>06.06.93</t>
  </si>
  <si>
    <t>13D2060062</t>
  </si>
  <si>
    <t>Đặng Văn</t>
  </si>
  <si>
    <t>Tuyền</t>
  </si>
  <si>
    <t>13D2060064</t>
  </si>
  <si>
    <t>13D2060066</t>
  </si>
  <si>
    <t>13D2010004</t>
  </si>
  <si>
    <t>Trương Văn</t>
  </si>
  <si>
    <t>Ẩn</t>
  </si>
  <si>
    <t>13CĐ-CK1</t>
  </si>
  <si>
    <t>13D2010012</t>
  </si>
  <si>
    <t>Nguyễn Trương</t>
  </si>
  <si>
    <t>26.12.95</t>
  </si>
  <si>
    <t>13D2010030</t>
  </si>
  <si>
    <t>Vũ Minh</t>
  </si>
  <si>
    <t>01.04.95</t>
  </si>
  <si>
    <t>13D2010048</t>
  </si>
  <si>
    <t>30.03.95</t>
  </si>
  <si>
    <t>13D2010052</t>
  </si>
  <si>
    <t>06.07.93</t>
  </si>
  <si>
    <t>13D2010054</t>
  </si>
  <si>
    <t>15.10.95</t>
  </si>
  <si>
    <t>13D2010066</t>
  </si>
  <si>
    <t>12D2010067</t>
  </si>
  <si>
    <t>19.02.93</t>
  </si>
  <si>
    <t>13D2010088</t>
  </si>
  <si>
    <t>Khôi</t>
  </si>
  <si>
    <t>13D2010093</t>
  </si>
  <si>
    <t>Kỵ</t>
  </si>
  <si>
    <t>13D2010111</t>
  </si>
  <si>
    <t>Mai Tấn</t>
  </si>
  <si>
    <t>03.10.95</t>
  </si>
  <si>
    <t>13D2010113</t>
  </si>
  <si>
    <t>Lý</t>
  </si>
  <si>
    <t>13D2010118</t>
  </si>
  <si>
    <t>Nguyễn Cao</t>
  </si>
  <si>
    <t>13D2010123</t>
  </si>
  <si>
    <t>Năm</t>
  </si>
  <si>
    <t>13D2010136</t>
  </si>
  <si>
    <t>Tô Trọng</t>
  </si>
  <si>
    <t>13D2010138</t>
  </si>
  <si>
    <t>Võ Thanh</t>
  </si>
  <si>
    <t>27.08.94</t>
  </si>
  <si>
    <t>13D2010143</t>
  </si>
  <si>
    <t>01.06.95</t>
  </si>
  <si>
    <t>13D2010153</t>
  </si>
  <si>
    <t>13D2010158</t>
  </si>
  <si>
    <t>23.07.95</t>
  </si>
  <si>
    <t>19.08.95</t>
  </si>
  <si>
    <t>13D2010173</t>
  </si>
  <si>
    <t>29.07.94</t>
  </si>
  <si>
    <t>13D2010183</t>
  </si>
  <si>
    <t>Hoàng Nhật</t>
  </si>
  <si>
    <t>02.11.95</t>
  </si>
  <si>
    <t>13D2010188</t>
  </si>
  <si>
    <t>ĐIỂM TBC TÍCH LUỸ
SAU KỲ THI PHỤ</t>
  </si>
  <si>
    <t>KẾT QUẢ RÈN LUYỆN</t>
  </si>
  <si>
    <t>CỘNG HOÀ XÃ HỘI CHỦ NGHĨA VIỆT NAM</t>
  </si>
  <si>
    <t>Độc lập - Tự do - hạnh phúc</t>
  </si>
  <si>
    <r>
      <t xml:space="preserve">THỐNG KÊ KẾT QUẢ HỌC TẬP
</t>
    </r>
    <r>
      <rPr>
        <sz val="11"/>
        <rFont val="Times New Roman"/>
        <family val="1"/>
      </rPr>
      <t>(căn cứ vào điểm trung bình chung học tập sau kỳ thi chính)</t>
    </r>
  </si>
  <si>
    <r>
      <t>Tên học phần</t>
    </r>
    <r>
      <rPr>
        <sz val="13"/>
        <rFont val="Arial"/>
        <family val="2"/>
      </rPr>
      <t xml:space="preserve"> và số </t>
    </r>
    <r>
      <rPr>
        <b/>
        <sz val="13"/>
        <rFont val="Arial"/>
        <family val="2"/>
      </rPr>
      <t>Tín chỉ</t>
    </r>
    <r>
      <rPr>
        <sz val="13"/>
        <rFont val="Arial"/>
        <family val="2"/>
      </rPr>
      <t xml:space="preserve"> đã được đưa vào các bảng tính tương ứng theo lớp, Quý Thầy Cô vào bảng tính này để biết học phần ABC muốn nhập điểm nằm ở bảng tính ABC nào.</t>
    </r>
  </si>
  <si>
    <t>Dương Hải</t>
  </si>
  <si>
    <t>10.06.94</t>
  </si>
  <si>
    <t>13D2010193</t>
  </si>
  <si>
    <t>13D2010203</t>
  </si>
  <si>
    <t>Nguyễn Phùng</t>
  </si>
  <si>
    <t>04.05.95</t>
  </si>
  <si>
    <t>13D2010208</t>
  </si>
  <si>
    <t>Trần Văn Minh</t>
  </si>
  <si>
    <t>13D2010211</t>
  </si>
  <si>
    <t>12.09.94</t>
  </si>
  <si>
    <t>13D2010213</t>
  </si>
  <si>
    <t>13D2010218</t>
  </si>
  <si>
    <t>13D2010223</t>
  </si>
  <si>
    <t>15.12.95</t>
  </si>
  <si>
    <t>13D2010227</t>
  </si>
  <si>
    <t>Trao</t>
  </si>
  <si>
    <t>24.06.94</t>
  </si>
  <si>
    <t>13D2010228</t>
  </si>
  <si>
    <t>Đỗ Thượng</t>
  </si>
  <si>
    <t>26.11.94</t>
  </si>
  <si>
    <t>13D2010233</t>
  </si>
  <si>
    <t>Đặng Quốc</t>
  </si>
  <si>
    <t>07.09.95</t>
  </si>
  <si>
    <t>13D2010238</t>
  </si>
  <si>
    <t>Lê Ngọc Vũ</t>
  </si>
  <si>
    <t>13D2010243</t>
  </si>
  <si>
    <t>Võ Trần Nhật</t>
  </si>
  <si>
    <t>13D2010253</t>
  </si>
  <si>
    <t>13D2010258</t>
  </si>
  <si>
    <t>13D2010001</t>
  </si>
  <si>
    <t>Huỳnh Trần Công</t>
  </si>
  <si>
    <t>13CĐ-CK2</t>
  </si>
  <si>
    <t>13D2010007</t>
  </si>
  <si>
    <t>Đinh Quốc</t>
  </si>
  <si>
    <t>13D2010013</t>
  </si>
  <si>
    <t>24.08.95</t>
  </si>
  <si>
    <t>13D2010019</t>
  </si>
  <si>
    <t>13D2010025</t>
  </si>
  <si>
    <t>Đỗ Trương</t>
  </si>
  <si>
    <t>28.05.95</t>
  </si>
  <si>
    <t>13D2010037</t>
  </si>
  <si>
    <t>13D2010043</t>
  </si>
  <si>
    <t>Được</t>
  </si>
  <si>
    <t>06.10.94</t>
  </si>
  <si>
    <t>13D2010049</t>
  </si>
  <si>
    <t>Võ Ngọc</t>
  </si>
  <si>
    <t>24.02.95</t>
  </si>
  <si>
    <t>13D2010055</t>
  </si>
  <si>
    <t>Lê Thái</t>
  </si>
  <si>
    <t>13D2010061</t>
  </si>
  <si>
    <t>13.04.95</t>
  </si>
  <si>
    <t>13D2010067</t>
  </si>
  <si>
    <t>13D2010073</t>
  </si>
  <si>
    <t>27.05.95</t>
  </si>
  <si>
    <t>13D2010079</t>
  </si>
  <si>
    <t>Nguyễn Phát</t>
  </si>
  <si>
    <t>25.05.94</t>
  </si>
  <si>
    <t>04.09.94</t>
  </si>
  <si>
    <t>13D2010094</t>
  </si>
  <si>
    <t>Trương Thanh</t>
  </si>
  <si>
    <t>Kỳ</t>
  </si>
  <si>
    <t>26.11.95</t>
  </si>
  <si>
    <t>13D2010099</t>
  </si>
  <si>
    <t>Lương Tấn</t>
  </si>
  <si>
    <t>13D2010104</t>
  </si>
  <si>
    <t>23.08.95</t>
  </si>
  <si>
    <t>13D2010109</t>
  </si>
  <si>
    <r>
      <t xml:space="preserve">Để thống nhất trong việc quản lý điểm số của HSSV trong toàn trường, sau khi hoàn thành bảng tính, xin Quý Thầy Cô lưu lại file theo định dạng: </t>
    </r>
    <r>
      <rPr>
        <b/>
        <sz val="13"/>
        <rFont val="Arial"/>
        <family val="2"/>
      </rPr>
      <t>tenlop_hocky_nămhọc</t>
    </r>
    <r>
      <rPr>
        <sz val="13"/>
        <rFont val="Arial"/>
        <family val="2"/>
      </rPr>
      <t xml:space="preserve"> (ví dụ </t>
    </r>
    <r>
      <rPr>
        <b/>
        <sz val="13"/>
        <rFont val="Arial"/>
        <family val="2"/>
      </rPr>
      <t>13CD-DT1_HKI_NH14-15</t>
    </r>
    <r>
      <rPr>
        <sz val="13"/>
        <rFont val="Arial"/>
        <family val="2"/>
      </rPr>
      <t>) và gởi bằng mail cho Khoa, Phòng CTHSSV, Phòng Đào tạo (</t>
    </r>
    <r>
      <rPr>
        <b/>
        <sz val="13"/>
        <rFont val="Arial"/>
        <family val="2"/>
      </rPr>
      <t>kqht.lytutrong@gmail.com</t>
    </r>
    <r>
      <rPr>
        <sz val="13"/>
        <rFont val="Arial"/>
        <family val="2"/>
      </rPr>
      <t>) và Phòng KT&amp;DBCL (</t>
    </r>
    <r>
      <rPr>
        <b/>
        <sz val="13"/>
        <rFont val="Arial"/>
        <family val="2"/>
      </rPr>
      <t>khaothiltt@gmail.com</t>
    </r>
    <r>
      <rPr>
        <sz val="13"/>
        <rFont val="Arial"/>
        <family val="2"/>
      </rPr>
      <t>).</t>
    </r>
  </si>
  <si>
    <t>BẢNG TỔNG KẾT HỌC TẬP NĂM HỌC 2013 - 2014</t>
  </si>
  <si>
    <t>Toán cao cấp 1</t>
  </si>
  <si>
    <t>Vật lý đại cương 1</t>
  </si>
  <si>
    <t>Hóa học đại cương 1</t>
  </si>
  <si>
    <t xml:space="preserve">Pháp luật đại cương </t>
  </si>
  <si>
    <t xml:space="preserve">Nhập môn Tin học </t>
  </si>
  <si>
    <t xml:space="preserve">Đo lường và mạch điện </t>
  </si>
  <si>
    <t xml:space="preserve">Mạng cung cấp điện </t>
  </si>
  <si>
    <t/>
  </si>
  <si>
    <t>Toán cao cấp 2</t>
  </si>
  <si>
    <t>Anh văn 1</t>
  </si>
  <si>
    <t>Xác suất thống kê</t>
  </si>
  <si>
    <t>Vật lý đại cương 2</t>
  </si>
  <si>
    <t>Hoá học đại cương 2</t>
  </si>
  <si>
    <t>Những NLCB của CNMLN 1</t>
  </si>
  <si>
    <t xml:space="preserve">Điện tử cơ bản </t>
  </si>
  <si>
    <t>An toàn điện</t>
  </si>
  <si>
    <t>KẾT QUẢ
RÈN LUYỆN</t>
  </si>
  <si>
    <t>XẾP LOẠI
HT</t>
  </si>
  <si>
    <t>CẢNH BÁO HỌC TẬP</t>
  </si>
  <si>
    <t>TỔNG SỐ TÍN CHỈ ĐÃ HỌC</t>
  </si>
  <si>
    <t>SỐ TC ĐÃ TÍCH LUỸ
SAU KỲ THI CHÍNH</t>
  </si>
  <si>
    <t>SỐ TC NỢ
SAU KỲ THI CHÍNH</t>
  </si>
  <si>
    <t>SỐ TC ĐÃ TÍCH LUỸ
SAU KỲ THI PHỤ</t>
  </si>
  <si>
    <t>SỐ TC NỢSAU KỲ THI PHỤ</t>
  </si>
  <si>
    <t>HẠNG NĂM ĐÀO TẠO</t>
  </si>
  <si>
    <t>TKHP Chính</t>
  </si>
  <si>
    <t>TKHP Phụ</t>
  </si>
  <si>
    <t>Kỳ thi Chính</t>
  </si>
  <si>
    <t>Kỳ thi Phụ</t>
  </si>
  <si>
    <t>TỔNG KẾT HỌC PHẦN CHÍNH</t>
  </si>
  <si>
    <t>TỔNG KẾT TRUNG BÌNH CHUNG TÍCH LUỸ KỲ THI CHÍNH</t>
  </si>
  <si>
    <t>THAY THẾ ĐIỂM THI PHỤ ĐỂ TÍNH HỌC PHẦN PHỤ</t>
  </si>
  <si>
    <t>TỔNG KẾT TRUNG BÌNH CHUNG TÍCH LUỸ KỲ THI PHỤ</t>
  </si>
  <si>
    <t>(36)</t>
  </si>
  <si>
    <t>(37)</t>
  </si>
  <si>
    <t>(38)</t>
  </si>
  <si>
    <t>(39)</t>
  </si>
  <si>
    <t>(40)</t>
  </si>
  <si>
    <t>(41)</t>
  </si>
  <si>
    <t>(42)</t>
  </si>
  <si>
    <t>(43)</t>
  </si>
  <si>
    <t>(44)</t>
  </si>
  <si>
    <t>(45)</t>
  </si>
  <si>
    <t>(46)</t>
  </si>
  <si>
    <t>Khá</t>
  </si>
  <si>
    <t>BT</t>
  </si>
  <si>
    <t>SV năm 2</t>
  </si>
  <si>
    <t>TB</t>
  </si>
  <si>
    <t>SV năm 1</t>
  </si>
  <si>
    <t>Yếu</t>
  </si>
  <si>
    <t>13D301Đ014</t>
  </si>
  <si>
    <t>TBKhá</t>
  </si>
  <si>
    <t>Y</t>
  </si>
  <si>
    <t>13D301Đ077</t>
  </si>
  <si>
    <t>13D301Đ113</t>
  </si>
  <si>
    <t>Kém</t>
  </si>
  <si>
    <t>Cảnh Báo</t>
  </si>
  <si>
    <t>13D301Đ142</t>
  </si>
  <si>
    <t>13D301Đ145</t>
  </si>
  <si>
    <t>13D301Đ157</t>
  </si>
  <si>
    <t>13D301Đ175</t>
  </si>
  <si>
    <t>Châu Hữu</t>
  </si>
  <si>
    <t>THỐNG KÊ KẾT QUẢ HỌC TẬP
(căn cứ vào điểm trung bình chung học tập sau kỳ thi chính)</t>
  </si>
  <si>
    <t>SL 42 SV</t>
  </si>
  <si>
    <t>HIỆU TRƯỞNG</t>
  </si>
  <si>
    <t>Loại Xuất sắc</t>
  </si>
  <si>
    <t>(9 đến 10)</t>
  </si>
  <si>
    <t>0/42</t>
  </si>
  <si>
    <t>0 %</t>
  </si>
  <si>
    <t>Loại Giỏi</t>
  </si>
  <si>
    <t>(8 đến cận 9)</t>
  </si>
  <si>
    <t>Loại Khá</t>
  </si>
  <si>
    <t>(7 đến cận 8)</t>
  </si>
  <si>
    <t>2/42</t>
  </si>
  <si>
    <t>4.76 %</t>
  </si>
  <si>
    <t>Loại Trung bình</t>
  </si>
  <si>
    <t>(5,5 đến cận 7)</t>
  </si>
  <si>
    <t>20/42</t>
  </si>
  <si>
    <t>47.62 %</t>
  </si>
  <si>
    <t>Loại Trung bình yếu</t>
  </si>
  <si>
    <t>(4 đến cận 5,5)</t>
  </si>
  <si>
    <t>16/42</t>
  </si>
  <si>
    <t>38.1 %</t>
  </si>
  <si>
    <t>Loại Kém</t>
  </si>
  <si>
    <t>(&lt; 4)</t>
  </si>
  <si>
    <t>3/42</t>
  </si>
  <si>
    <t>7.14 %</t>
  </si>
  <si>
    <t>Chưa đủ dữ liệu để xếp loại</t>
  </si>
  <si>
    <t>0 SV</t>
  </si>
  <si>
    <t>THỐNG KÊ KẾT QUẢ HỌC TẬP
(căn cứ vào điểm trung bình chung học tập sau kỳ thi phụ)</t>
  </si>
  <si>
    <t>25/42</t>
  </si>
  <si>
    <t>59.52 %</t>
  </si>
  <si>
    <t>11/42</t>
  </si>
  <si>
    <t>26.19 %</t>
  </si>
  <si>
    <t>TỔNG KẾT CHUNG</t>
  </si>
  <si>
    <t>SL</t>
  </si>
  <si>
    <t>Số sinh viên năm thứ 3</t>
  </si>
  <si>
    <t>Số sinh viên năm thứ 2</t>
  </si>
  <si>
    <t>Số sinh viên năm thứ 1</t>
  </si>
  <si>
    <t>Hạng học lực YẾU HK1</t>
  </si>
  <si>
    <t>Hạng học lực YẾU HK2</t>
  </si>
  <si>
    <t>Hạng học lực YẾU cả năm</t>
  </si>
</sst>
</file>

<file path=xl/styles.xml><?xml version="1.0" encoding="utf-8"?>
<styleSheet xmlns="http://schemas.openxmlformats.org/spreadsheetml/2006/main">
  <numFmts count="14">
    <numFmt numFmtId="43" formatCode="_(* #,##0.00_);_(* \(#,##0.00\);_(* &quot;-&quot;??_);_(@_)"/>
    <numFmt numFmtId="164" formatCode="0.0"/>
    <numFmt numFmtId="165" formatCode="_(* #,##0_);_(* \(#,##0\);_(* &quot;-&quot;??_);_(@_)"/>
    <numFmt numFmtId="166" formatCode="&quot;$&quot;#&quot;,&quot;##0_);[Red]\(&quot;$&quot;#&quot;,&quot;##0\)"/>
    <numFmt numFmtId="167" formatCode="_-&quot;$&quot;* #&quot;,&quot;##0_-;\-&quot;$&quot;* #&quot;,&quot;##0_-;_-&quot;$&quot;* &quot;-&quot;_-;_-@_-"/>
    <numFmt numFmtId="168" formatCode="_-* #&quot;,&quot;##0_-;\-* #&quot;,&quot;##0_-;_-* &quot;-&quot;_-;_-@_-"/>
    <numFmt numFmtId="169" formatCode="_-&quot;$&quot;* #&quot;,&quot;##0.00_-;\-&quot;$&quot;* #&quot;,&quot;##0.00_-;_-&quot;$&quot;* &quot;-&quot;??_-;_-@_-"/>
    <numFmt numFmtId="170" formatCode="00.000"/>
    <numFmt numFmtId="171" formatCode="&quot;￥&quot;#&quot;,&quot;##0;&quot;￥&quot;\-#&quot;,&quot;##0"/>
    <numFmt numFmtId="172" formatCode="#&quot;,&quot;##0\ &quot;DM&quot;;\-#&quot;,&quot;##0\ &quot;DM&quot;"/>
    <numFmt numFmtId="173" formatCode="0.000%"/>
    <numFmt numFmtId="174" formatCode="\$#,##0\ ;\(\$#,##0\)"/>
    <numFmt numFmtId="175" formatCode="#,##0.0"/>
    <numFmt numFmtId="176" formatCode="0.0%"/>
  </numFmts>
  <fonts count="69">
    <font>
      <sz val="10"/>
      <name val="Arial"/>
    </font>
    <font>
      <sz val="10"/>
      <name val="Arial"/>
    </font>
    <font>
      <sz val="11"/>
      <name val="Times New Roman"/>
      <family val="1"/>
    </font>
    <font>
      <b/>
      <sz val="12"/>
      <name val="Times New Roman"/>
      <family val="1"/>
    </font>
    <font>
      <b/>
      <sz val="11"/>
      <name val="Times New Roman"/>
      <family val="1"/>
    </font>
    <font>
      <sz val="12"/>
      <name val="Times New Roman"/>
      <family val="1"/>
    </font>
    <font>
      <b/>
      <sz val="14"/>
      <color indexed="8"/>
      <name val="Times New Roman"/>
      <family val="1"/>
    </font>
    <font>
      <sz val="10"/>
      <name val="Times New Roman"/>
      <family val="1"/>
    </font>
    <font>
      <b/>
      <sz val="13"/>
      <color indexed="8"/>
      <name val="Times New Roman"/>
      <family val="1"/>
    </font>
    <font>
      <sz val="8"/>
      <name val="Arial"/>
    </font>
    <font>
      <b/>
      <sz val="10"/>
      <name val="Times New Roman"/>
      <family val="1"/>
    </font>
    <font>
      <i/>
      <sz val="11"/>
      <name val="Times New Roman"/>
      <family val="1"/>
    </font>
    <font>
      <sz val="10"/>
      <name val="VNI-Times"/>
    </font>
    <font>
      <b/>
      <sz val="11"/>
      <color indexed="8"/>
      <name val="Times New Roman"/>
      <family val="1"/>
    </font>
    <font>
      <b/>
      <sz val="9"/>
      <name val="Times New Roman"/>
      <family val="1"/>
    </font>
    <font>
      <b/>
      <sz val="14"/>
      <name val="Times New Roman"/>
      <family val="1"/>
    </font>
    <font>
      <sz val="14"/>
      <name val="Times New Roman"/>
      <family val="1"/>
    </font>
    <font>
      <b/>
      <i/>
      <sz val="14"/>
      <name val="Times New Roman"/>
      <family val="1"/>
    </font>
    <font>
      <sz val="13"/>
      <name val="Times New Roman"/>
      <family val="1"/>
    </font>
    <font>
      <sz val="14"/>
      <name val="VNI-Times"/>
    </font>
    <font>
      <sz val="12"/>
      <color indexed="9"/>
      <name val="Vni-times"/>
    </font>
    <font>
      <b/>
      <sz val="12"/>
      <name val="Vni-times"/>
    </font>
    <font>
      <b/>
      <sz val="8"/>
      <name val="Times New Roman"/>
      <family val="1"/>
    </font>
    <font>
      <sz val="12"/>
      <name val="VNI-Times"/>
    </font>
    <font>
      <b/>
      <sz val="12"/>
      <color indexed="9"/>
      <name val="VNI-Times"/>
    </font>
    <font>
      <sz val="12"/>
      <color indexed="10"/>
      <name val="Times New Roman"/>
      <family val="1"/>
    </font>
    <font>
      <sz val="13"/>
      <color indexed="10"/>
      <name val="Times New Roman"/>
      <family val="1"/>
    </font>
    <font>
      <sz val="9"/>
      <name val="Times New Roman"/>
      <family val="1"/>
    </font>
    <font>
      <i/>
      <sz val="9"/>
      <name val="Times New Roman"/>
      <family val="1"/>
    </font>
    <font>
      <sz val="12"/>
      <color indexed="9"/>
      <name val="Times New Roman"/>
      <family val="1"/>
    </font>
    <font>
      <b/>
      <sz val="12"/>
      <color indexed="8"/>
      <name val="Times New Roman"/>
      <family val="1"/>
    </font>
    <font>
      <sz val="20"/>
      <name val="Arial"/>
    </font>
    <font>
      <sz val="16"/>
      <name val="Arial"/>
    </font>
    <font>
      <b/>
      <sz val="13"/>
      <name val="Arial"/>
      <family val="2"/>
    </font>
    <font>
      <sz val="13"/>
      <name val="Arial"/>
      <family val="2"/>
    </font>
    <font>
      <sz val="14"/>
      <name val="Arial"/>
    </font>
    <font>
      <b/>
      <i/>
      <sz val="13"/>
      <name val="Arial"/>
      <family val="2"/>
    </font>
    <font>
      <sz val="13"/>
      <name val="Arial"/>
    </font>
    <font>
      <sz val="12"/>
      <name val="Arial"/>
    </font>
    <font>
      <b/>
      <sz val="10"/>
      <name val="Arial"/>
    </font>
    <font>
      <sz val="10"/>
      <name val="Arial"/>
      <family val="2"/>
    </font>
    <font>
      <b/>
      <sz val="12"/>
      <name val="Arial"/>
      <family val="2"/>
    </font>
    <font>
      <b/>
      <sz val="18"/>
      <name val="Arial"/>
      <family val="2"/>
    </font>
    <font>
      <b/>
      <sz val="14"/>
      <name val=".VnTimeH"/>
      <family val="2"/>
    </font>
    <font>
      <sz val="12"/>
      <name val="Arial"/>
      <family val="2"/>
    </font>
    <font>
      <sz val="14"/>
      <name val="뼻뮝"/>
      <family val="3"/>
    </font>
    <font>
      <sz val="12"/>
      <name val="바탕체"/>
      <family val="3"/>
    </font>
    <font>
      <sz val="12"/>
      <name val="뼻뮝"/>
      <family val="3"/>
    </font>
    <font>
      <b/>
      <sz val="9"/>
      <name val="Arial"/>
      <family val="2"/>
    </font>
    <font>
      <sz val="12"/>
      <name val="新細明體"/>
      <charset val="136"/>
    </font>
    <font>
      <sz val="12"/>
      <name val="Courier"/>
      <family val="3"/>
    </font>
    <font>
      <sz val="11"/>
      <name val="돋움"/>
      <family val="3"/>
    </font>
    <font>
      <sz val="10"/>
      <name val="굴림체"/>
      <family val="3"/>
    </font>
    <font>
      <sz val="10"/>
      <name val=" "/>
      <family val="1"/>
      <charset val="136"/>
    </font>
    <font>
      <sz val="12"/>
      <color indexed="8"/>
      <name val="Times New Roman"/>
      <family val="1"/>
    </font>
    <font>
      <b/>
      <sz val="18"/>
      <color indexed="8"/>
      <name val="Times New Roman"/>
      <family val="1"/>
    </font>
    <font>
      <b/>
      <sz val="10"/>
      <color indexed="8"/>
      <name val="Times New Roman"/>
      <family val="1"/>
    </font>
    <font>
      <sz val="10"/>
      <name val="Times New Roman"/>
    </font>
    <font>
      <sz val="13"/>
      <color indexed="8"/>
      <name val="Times New Roman"/>
      <family val="1"/>
    </font>
    <font>
      <sz val="14"/>
      <color indexed="8"/>
      <name val="Times New Roman"/>
      <family val="1"/>
    </font>
    <font>
      <b/>
      <sz val="24"/>
      <color indexed="8"/>
      <name val="Times New Roman"/>
      <family val="1"/>
    </font>
    <font>
      <sz val="16"/>
      <name val="Times New Roman"/>
      <family val="1"/>
    </font>
    <font>
      <b/>
      <sz val="16"/>
      <name val="Times New Roman"/>
      <family val="1"/>
    </font>
    <font>
      <i/>
      <sz val="14"/>
      <name val="Times New Roman"/>
      <family val="1"/>
    </font>
    <font>
      <b/>
      <sz val="20"/>
      <name val="Arial"/>
      <family val="2"/>
    </font>
    <font>
      <b/>
      <sz val="12"/>
      <color indexed="10"/>
      <name val="Times New Roman"/>
      <family val="1"/>
    </font>
    <font>
      <sz val="12"/>
      <color indexed="8"/>
      <name val="Arial"/>
    </font>
    <font>
      <sz val="24"/>
      <name val="Times New Roman"/>
      <family val="1"/>
    </font>
    <font>
      <sz val="11"/>
      <color theme="1"/>
      <name val="Times New Roman"/>
      <family val="1"/>
    </font>
  </fonts>
  <fills count="9">
    <fill>
      <patternFill patternType="none"/>
    </fill>
    <fill>
      <patternFill patternType="gray125"/>
    </fill>
    <fill>
      <patternFill patternType="solid">
        <fgColor indexed="14"/>
        <bgColor indexed="64"/>
      </patternFill>
    </fill>
    <fill>
      <patternFill patternType="solid">
        <fgColor indexed="13"/>
        <bgColor indexed="64"/>
      </patternFill>
    </fill>
    <fill>
      <patternFill patternType="solid">
        <fgColor indexed="43"/>
        <bgColor indexed="64"/>
      </patternFill>
    </fill>
    <fill>
      <patternFill patternType="solid">
        <fgColor indexed="41"/>
        <bgColor indexed="64"/>
      </patternFill>
    </fill>
    <fill>
      <patternFill patternType="solid">
        <fgColor indexed="42"/>
        <bgColor indexed="64"/>
      </patternFill>
    </fill>
    <fill>
      <patternFill patternType="solid">
        <fgColor indexed="9"/>
        <bgColor indexed="64"/>
      </patternFill>
    </fill>
    <fill>
      <patternFill patternType="solid">
        <fgColor theme="0"/>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double">
        <color indexed="64"/>
      </top>
      <bottom/>
      <diagonal/>
    </border>
    <border>
      <left/>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style="medium">
        <color indexed="64"/>
      </right>
      <top style="thin">
        <color indexed="64"/>
      </top>
      <bottom style="thin">
        <color indexed="64"/>
      </bottom>
      <diagonal/>
    </border>
    <border>
      <left/>
      <right/>
      <top/>
      <bottom style="medium">
        <color indexed="64"/>
      </bottom>
      <diagonal/>
    </border>
    <border>
      <left style="medium">
        <color indexed="64"/>
      </left>
      <right style="medium">
        <color indexed="64"/>
      </right>
      <top style="thin">
        <color indexed="64"/>
      </top>
      <bottom style="medium">
        <color indexed="64"/>
      </bottom>
      <diagonal/>
    </border>
    <border>
      <left style="medium">
        <color indexed="64"/>
      </left>
      <right/>
      <top style="medium">
        <color indexed="64"/>
      </top>
      <bottom/>
      <diagonal/>
    </border>
    <border>
      <left/>
      <right style="medium">
        <color indexed="64"/>
      </right>
      <top/>
      <bottom/>
      <diagonal/>
    </border>
    <border>
      <left style="medium">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bottom style="thin">
        <color indexed="64"/>
      </bottom>
      <diagonal/>
    </border>
    <border>
      <left style="medium">
        <color indexed="64"/>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medium">
        <color indexed="64"/>
      </bottom>
      <diagonal/>
    </border>
    <border>
      <left style="medium">
        <color indexed="64"/>
      </left>
      <right/>
      <top/>
      <bottom style="medium">
        <color indexed="64"/>
      </bottom>
      <diagonal/>
    </border>
    <border>
      <left style="medium">
        <color indexed="64"/>
      </left>
      <right style="medium">
        <color indexed="64"/>
      </right>
      <top/>
      <bottom/>
      <diagonal/>
    </border>
    <border>
      <left/>
      <right style="medium">
        <color indexed="64"/>
      </right>
      <top style="medium">
        <color indexed="64"/>
      </top>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thin">
        <color indexed="64"/>
      </top>
      <bottom/>
      <diagonal/>
    </border>
    <border>
      <left/>
      <right style="medium">
        <color indexed="64"/>
      </right>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ck">
        <color indexed="64"/>
      </left>
      <right style="thin">
        <color indexed="64"/>
      </right>
      <top style="medium">
        <color indexed="64"/>
      </top>
      <bottom style="thin">
        <color indexed="64"/>
      </bottom>
      <diagonal/>
    </border>
    <border>
      <left style="thin">
        <color indexed="64"/>
      </left>
      <right style="thick">
        <color indexed="64"/>
      </right>
      <top style="thin">
        <color indexed="64"/>
      </top>
      <bottom style="thin">
        <color indexed="64"/>
      </bottom>
      <diagonal/>
    </border>
    <border>
      <left/>
      <right style="thick">
        <color indexed="64"/>
      </right>
      <top/>
      <bottom/>
      <diagonal/>
    </border>
    <border>
      <left style="thick">
        <color indexed="64"/>
      </left>
      <right/>
      <top/>
      <bottom/>
      <diagonal/>
    </border>
    <border>
      <left style="thin">
        <color indexed="64"/>
      </left>
      <right style="thick">
        <color indexed="64"/>
      </right>
      <top style="medium">
        <color indexed="64"/>
      </top>
      <bottom style="thin">
        <color indexed="64"/>
      </bottom>
      <diagonal/>
    </border>
    <border>
      <left style="medium">
        <color indexed="64"/>
      </left>
      <right style="medium">
        <color indexed="64"/>
      </right>
      <top style="thin">
        <color indexed="64"/>
      </top>
      <bottom/>
      <diagonal/>
    </border>
    <border>
      <left style="thin">
        <color indexed="64"/>
      </left>
      <right style="thin">
        <color indexed="64"/>
      </right>
      <top style="medium">
        <color indexed="64"/>
      </top>
      <bottom style="medium">
        <color indexed="64"/>
      </bottom>
      <diagonal/>
    </border>
    <border>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style="thin">
        <color indexed="64"/>
      </bottom>
      <diagonal/>
    </border>
    <border>
      <left style="medium">
        <color indexed="64"/>
      </left>
      <right/>
      <top style="thin">
        <color indexed="64"/>
      </top>
      <bottom/>
      <diagonal/>
    </border>
    <border>
      <left/>
      <right style="medium">
        <color indexed="64"/>
      </right>
      <top style="medium">
        <color indexed="64"/>
      </top>
      <bottom style="thin">
        <color indexed="64"/>
      </bottom>
      <diagonal/>
    </border>
    <border>
      <left style="thick">
        <color indexed="64"/>
      </left>
      <right/>
      <top/>
      <bottom style="medium">
        <color indexed="64"/>
      </bottom>
      <diagonal/>
    </border>
    <border>
      <left/>
      <right/>
      <top style="thin">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hair">
        <color indexed="64"/>
      </top>
      <bottom/>
      <diagonal/>
    </border>
    <border>
      <left style="thin">
        <color indexed="64"/>
      </left>
      <right style="thin">
        <color indexed="64"/>
      </right>
      <top style="hair">
        <color indexed="64"/>
      </top>
      <bottom style="hair">
        <color indexed="64"/>
      </bottom>
      <diagonal/>
    </border>
  </borders>
  <cellStyleXfs count="39">
    <xf numFmtId="0" fontId="0" fillId="0" borderId="0"/>
    <xf numFmtId="43" fontId="1" fillId="0" borderId="0" applyFont="0" applyFill="0" applyBorder="0" applyAlignment="0" applyProtection="0"/>
    <xf numFmtId="3" fontId="40" fillId="0" borderId="0" applyFont="0" applyFill="0" applyBorder="0" applyAlignment="0" applyProtection="0"/>
    <xf numFmtId="174" fontId="40" fillId="0" borderId="0" applyFont="0" applyFill="0" applyBorder="0" applyAlignment="0" applyProtection="0"/>
    <xf numFmtId="0" fontId="40" fillId="0" borderId="0" applyFont="0" applyFill="0" applyBorder="0" applyAlignment="0" applyProtection="0"/>
    <xf numFmtId="2" fontId="40" fillId="0" borderId="0" applyFont="0" applyFill="0" applyBorder="0" applyAlignment="0" applyProtection="0"/>
    <xf numFmtId="0" fontId="41" fillId="0" borderId="1" applyNumberFormat="0" applyAlignment="0" applyProtection="0">
      <alignment horizontal="left" vertical="center"/>
    </xf>
    <xf numFmtId="0" fontId="41" fillId="0" borderId="2">
      <alignment horizontal="left" vertical="center"/>
    </xf>
    <xf numFmtId="0" fontId="42" fillId="0" borderId="0" applyNumberFormat="0" applyFill="0" applyBorder="0" applyAlignment="0" applyProtection="0"/>
    <xf numFmtId="0" fontId="41" fillId="0" borderId="0" applyNumberFormat="0" applyFill="0" applyBorder="0" applyAlignment="0" applyProtection="0"/>
    <xf numFmtId="49" fontId="43" fillId="0" borderId="3">
      <alignment vertical="center"/>
    </xf>
    <xf numFmtId="0" fontId="44" fillId="0" borderId="0" applyNumberFormat="0" applyFont="0" applyFill="0" applyAlignment="0"/>
    <xf numFmtId="0" fontId="12" fillId="0" borderId="0"/>
    <xf numFmtId="0" fontId="1" fillId="0" borderId="0"/>
    <xf numFmtId="0" fontId="12" fillId="0" borderId="0"/>
    <xf numFmtId="0" fontId="12" fillId="0" borderId="0"/>
    <xf numFmtId="0" fontId="57" fillId="0" borderId="0"/>
    <xf numFmtId="9" fontId="1" fillId="0" borderId="0" applyFont="0" applyFill="0" applyBorder="0" applyAlignment="0" applyProtection="0"/>
    <xf numFmtId="0" fontId="40" fillId="0" borderId="4" applyNumberFormat="0" applyFont="0" applyFill="0" applyAlignment="0" applyProtection="0"/>
    <xf numFmtId="40" fontId="45" fillId="0" borderId="0" applyFont="0" applyFill="0" applyBorder="0" applyAlignment="0" applyProtection="0"/>
    <xf numFmtId="38" fontId="45" fillId="0" borderId="0" applyFont="0" applyFill="0" applyBorder="0" applyAlignment="0" applyProtection="0"/>
    <xf numFmtId="0" fontId="45" fillId="0" borderId="0" applyFont="0" applyFill="0" applyBorder="0" applyAlignment="0" applyProtection="0"/>
    <xf numFmtId="0" fontId="45" fillId="0" borderId="0" applyFont="0" applyFill="0" applyBorder="0" applyAlignment="0" applyProtection="0"/>
    <xf numFmtId="9" fontId="46" fillId="0" borderId="0" applyFont="0" applyFill="0" applyBorder="0" applyAlignment="0" applyProtection="0"/>
    <xf numFmtId="0" fontId="47" fillId="0" borderId="0"/>
    <xf numFmtId="0" fontId="48" fillId="0" borderId="0" applyProtection="0"/>
    <xf numFmtId="168" fontId="49" fillId="0" borderId="0" applyFont="0" applyFill="0" applyBorder="0" applyAlignment="0" applyProtection="0"/>
    <xf numFmtId="40" fontId="50" fillId="0" borderId="0" applyFont="0" applyFill="0" applyBorder="0" applyAlignment="0" applyProtection="0"/>
    <xf numFmtId="172" fontId="51" fillId="0" borderId="0" applyFont="0" applyFill="0" applyBorder="0" applyAlignment="0" applyProtection="0"/>
    <xf numFmtId="173" fontId="51" fillId="0" borderId="0" applyFont="0" applyFill="0" applyBorder="0" applyAlignment="0" applyProtection="0"/>
    <xf numFmtId="171" fontId="51" fillId="0" borderId="0" applyFont="0" applyFill="0" applyBorder="0" applyAlignment="0" applyProtection="0"/>
    <xf numFmtId="170" fontId="51" fillId="0" borderId="0" applyFont="0" applyFill="0" applyBorder="0" applyAlignment="0" applyProtection="0"/>
    <xf numFmtId="0" fontId="52" fillId="0" borderId="0"/>
    <xf numFmtId="167" fontId="49" fillId="0" borderId="0" applyFont="0" applyFill="0" applyBorder="0" applyAlignment="0" applyProtection="0"/>
    <xf numFmtId="166" fontId="50" fillId="0" borderId="0" applyFont="0" applyFill="0" applyBorder="0" applyAlignment="0" applyProtection="0"/>
    <xf numFmtId="169" fontId="49" fillId="0" borderId="0" applyFont="0" applyFill="0" applyBorder="0" applyAlignment="0" applyProtection="0"/>
    <xf numFmtId="0" fontId="53" fillId="0" borderId="0" applyFont="0" applyFill="0" applyBorder="0" applyAlignment="0" applyProtection="0"/>
    <xf numFmtId="0" fontId="53" fillId="0" borderId="0" applyFont="0" applyFill="0" applyBorder="0" applyAlignment="0" applyProtection="0"/>
    <xf numFmtId="0" fontId="5" fillId="0" borderId="0">
      <alignment vertical="center"/>
    </xf>
  </cellStyleXfs>
  <cellXfs count="826">
    <xf numFmtId="0" fontId="0" fillId="0" borderId="0" xfId="0"/>
    <xf numFmtId="0" fontId="3" fillId="0" borderId="0" xfId="0" applyFont="1" applyBorder="1" applyAlignment="1" applyProtection="1">
      <protection hidden="1"/>
    </xf>
    <xf numFmtId="0" fontId="2" fillId="0" borderId="3" xfId="0" applyFont="1" applyFill="1" applyBorder="1" applyAlignment="1" applyProtection="1">
      <alignment horizontal="center"/>
      <protection hidden="1"/>
    </xf>
    <xf numFmtId="0" fontId="7" fillId="0" borderId="0" xfId="0" applyFont="1" applyProtection="1">
      <protection locked="0"/>
    </xf>
    <xf numFmtId="0" fontId="7" fillId="0" borderId="0" xfId="15" applyFont="1" applyFill="1" applyProtection="1">
      <protection locked="0"/>
    </xf>
    <xf numFmtId="0" fontId="7" fillId="0" borderId="0" xfId="14" applyFont="1" applyFill="1" applyProtection="1">
      <protection locked="0"/>
    </xf>
    <xf numFmtId="0" fontId="7" fillId="0" borderId="0" xfId="14" applyFont="1" applyFill="1" applyAlignment="1" applyProtection="1">
      <alignment horizontal="center"/>
      <protection locked="0"/>
    </xf>
    <xf numFmtId="0" fontId="2" fillId="0" borderId="0" xfId="0" applyFont="1" applyFill="1" applyProtection="1">
      <protection hidden="1"/>
    </xf>
    <xf numFmtId="0" fontId="7" fillId="0" borderId="5" xfId="0" applyFont="1" applyBorder="1" applyProtection="1">
      <protection hidden="1"/>
    </xf>
    <xf numFmtId="9" fontId="4" fillId="0" borderId="3" xfId="0" applyNumberFormat="1" applyFont="1" applyFill="1" applyBorder="1" applyAlignment="1" applyProtection="1">
      <alignment horizontal="center" vertical="center" wrapText="1"/>
      <protection locked="0"/>
    </xf>
    <xf numFmtId="9" fontId="4" fillId="0" borderId="3" xfId="0" applyNumberFormat="1" applyFont="1" applyFill="1" applyBorder="1" applyAlignment="1" applyProtection="1">
      <alignment horizontal="center" vertical="center"/>
      <protection locked="0"/>
    </xf>
    <xf numFmtId="0" fontId="5" fillId="0" borderId="3" xfId="0" applyNumberFormat="1" applyFont="1" applyBorder="1" applyAlignment="1" applyProtection="1">
      <alignment horizontal="center" vertical="center"/>
      <protection hidden="1"/>
    </xf>
    <xf numFmtId="164" fontId="2" fillId="0" borderId="6" xfId="0" applyNumberFormat="1" applyFont="1" applyFill="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5" fillId="0" borderId="3" xfId="0" applyFont="1" applyBorder="1" applyAlignment="1" applyProtection="1">
      <alignment vertical="center"/>
      <protection hidden="1"/>
    </xf>
    <xf numFmtId="0" fontId="3" fillId="0" borderId="0" xfId="0" applyFont="1" applyFill="1" applyBorder="1" applyAlignment="1" applyProtection="1">
      <alignment horizontal="right"/>
      <protection locked="0"/>
    </xf>
    <xf numFmtId="0" fontId="3" fillId="0" borderId="0" xfId="0" applyFont="1" applyFill="1" applyBorder="1" applyAlignment="1" applyProtection="1">
      <protection hidden="1"/>
    </xf>
    <xf numFmtId="0" fontId="0" fillId="0" borderId="0" xfId="0" applyProtection="1">
      <protection hidden="1"/>
    </xf>
    <xf numFmtId="0" fontId="7" fillId="0" borderId="3" xfId="0" applyFont="1" applyBorder="1" applyAlignment="1" applyProtection="1">
      <alignment horizontal="center" vertical="center" wrapText="1"/>
      <protection hidden="1"/>
    </xf>
    <xf numFmtId="0" fontId="0" fillId="0" borderId="0" xfId="0" applyAlignment="1" applyProtection="1">
      <alignment horizontal="center" vertical="center"/>
      <protection hidden="1"/>
    </xf>
    <xf numFmtId="0" fontId="10" fillId="0" borderId="3" xfId="0" applyFont="1" applyBorder="1" applyAlignment="1" applyProtection="1">
      <alignment horizontal="justify" vertical="center" wrapText="1"/>
      <protection hidden="1"/>
    </xf>
    <xf numFmtId="0" fontId="10" fillId="0" borderId="3" xfId="12" applyFont="1" applyBorder="1" applyAlignment="1" applyProtection="1">
      <alignment horizontal="justify" vertical="center" wrapText="1"/>
      <protection hidden="1"/>
    </xf>
    <xf numFmtId="0" fontId="10" fillId="0" borderId="7" xfId="0" applyFont="1" applyBorder="1" applyAlignment="1" applyProtection="1">
      <alignment horizontal="justify" vertical="center" wrapText="1"/>
      <protection hidden="1"/>
    </xf>
    <xf numFmtId="0" fontId="10" fillId="0" borderId="7" xfId="0" applyFont="1" applyBorder="1" applyAlignment="1" applyProtection="1">
      <alignment horizontal="center" vertical="center" wrapText="1"/>
      <protection hidden="1"/>
    </xf>
    <xf numFmtId="0" fontId="10" fillId="0" borderId="6" xfId="0" applyFont="1" applyBorder="1" applyAlignment="1" applyProtection="1">
      <alignment horizontal="justify" vertical="center" wrapText="1"/>
      <protection hidden="1"/>
    </xf>
    <xf numFmtId="0" fontId="7" fillId="0" borderId="6" xfId="0" applyFont="1" applyBorder="1" applyAlignment="1" applyProtection="1">
      <alignment horizontal="center" vertical="center" wrapText="1"/>
      <protection hidden="1"/>
    </xf>
    <xf numFmtId="0" fontId="10" fillId="0" borderId="8" xfId="0" applyFont="1" applyBorder="1" applyAlignment="1" applyProtection="1">
      <alignment horizontal="justify" vertical="center" wrapText="1"/>
      <protection hidden="1"/>
    </xf>
    <xf numFmtId="0" fontId="7" fillId="0" borderId="8" xfId="0" applyFont="1" applyBorder="1" applyAlignment="1" applyProtection="1">
      <alignment horizontal="center" vertical="center" wrapText="1"/>
      <protection hidden="1"/>
    </xf>
    <xf numFmtId="0" fontId="7" fillId="0" borderId="9" xfId="0" applyFont="1" applyBorder="1" applyAlignment="1" applyProtection="1">
      <alignment horizontal="center" vertical="center" wrapText="1"/>
      <protection hidden="1"/>
    </xf>
    <xf numFmtId="0" fontId="7" fillId="0" borderId="10" xfId="0" applyFont="1" applyBorder="1" applyAlignment="1" applyProtection="1">
      <alignment horizontal="center" vertical="center" wrapText="1"/>
      <protection hidden="1"/>
    </xf>
    <xf numFmtId="0" fontId="10" fillId="0" borderId="11" xfId="0" applyFont="1" applyBorder="1" applyAlignment="1" applyProtection="1">
      <alignment horizontal="justify" vertical="center" wrapText="1"/>
      <protection hidden="1"/>
    </xf>
    <xf numFmtId="0" fontId="7" fillId="0" borderId="11" xfId="0" applyFont="1" applyBorder="1" applyAlignment="1" applyProtection="1">
      <alignment horizontal="center" vertical="center" wrapText="1"/>
      <protection hidden="1"/>
    </xf>
    <xf numFmtId="0" fontId="7" fillId="0" borderId="12" xfId="0" applyFont="1" applyBorder="1" applyAlignment="1" applyProtection="1">
      <alignment horizontal="center" vertical="center" wrapText="1"/>
      <protection hidden="1"/>
    </xf>
    <xf numFmtId="0" fontId="10" fillId="0" borderId="6" xfId="12" applyFont="1" applyBorder="1" applyAlignment="1" applyProtection="1">
      <alignment horizontal="justify" vertical="center" wrapText="1"/>
      <protection hidden="1"/>
    </xf>
    <xf numFmtId="0" fontId="7" fillId="0" borderId="7" xfId="0" applyFont="1" applyBorder="1" applyAlignment="1" applyProtection="1">
      <alignment horizontal="center" vertical="center" wrapText="1"/>
      <protection hidden="1"/>
    </xf>
    <xf numFmtId="0" fontId="7" fillId="0" borderId="13" xfId="0" applyFont="1" applyBorder="1" applyAlignment="1" applyProtection="1">
      <alignment horizontal="center" vertical="center" wrapText="1"/>
      <protection hidden="1"/>
    </xf>
    <xf numFmtId="0" fontId="10" fillId="0" borderId="8" xfId="12" applyFont="1" applyBorder="1" applyAlignment="1" applyProtection="1">
      <alignment horizontal="justify" vertical="center" wrapText="1"/>
      <protection hidden="1"/>
    </xf>
    <xf numFmtId="0" fontId="7" fillId="0" borderId="14" xfId="0" applyFont="1" applyBorder="1" applyAlignment="1" applyProtection="1">
      <alignment horizontal="center" vertical="center" wrapText="1"/>
      <protection hidden="1"/>
    </xf>
    <xf numFmtId="0" fontId="7" fillId="0" borderId="0" xfId="0" applyFont="1" applyFill="1" applyProtection="1">
      <protection locked="0"/>
    </xf>
    <xf numFmtId="0" fontId="3" fillId="0" borderId="0" xfId="0" applyNumberFormat="1" applyFont="1" applyFill="1" applyBorder="1" applyAlignment="1" applyProtection="1">
      <alignment horizontal="center" vertical="center"/>
      <protection locked="0"/>
    </xf>
    <xf numFmtId="0" fontId="5" fillId="0" borderId="15" xfId="0" applyNumberFormat="1" applyFont="1" applyFill="1" applyBorder="1" applyAlignment="1" applyProtection="1">
      <alignment horizontal="center" vertical="center"/>
      <protection hidden="1"/>
    </xf>
    <xf numFmtId="0" fontId="2" fillId="0" borderId="0" xfId="0" applyFont="1" applyFill="1" applyProtection="1">
      <protection locked="0"/>
    </xf>
    <xf numFmtId="0" fontId="3" fillId="0" borderId="5" xfId="0" applyNumberFormat="1" applyFont="1" applyFill="1" applyBorder="1" applyAlignment="1" applyProtection="1">
      <alignment horizontal="center" vertical="center" wrapText="1"/>
      <protection locked="0"/>
    </xf>
    <xf numFmtId="0" fontId="3" fillId="0" borderId="16" xfId="0" applyNumberFormat="1" applyFont="1" applyFill="1" applyBorder="1" applyAlignment="1" applyProtection="1">
      <alignment horizontal="center" vertical="center" wrapText="1"/>
      <protection locked="0"/>
    </xf>
    <xf numFmtId="0" fontId="0" fillId="0" borderId="0" xfId="0" applyAlignment="1" applyProtection="1">
      <alignment horizontal="justify"/>
      <protection hidden="1"/>
    </xf>
    <xf numFmtId="0" fontId="13" fillId="0" borderId="0" xfId="14" applyFont="1" applyFill="1" applyBorder="1" applyAlignment="1" applyProtection="1">
      <alignment horizontal="center"/>
      <protection locked="0"/>
    </xf>
    <xf numFmtId="0" fontId="7" fillId="0" borderId="0" xfId="15" applyFont="1" applyFill="1" applyAlignment="1" applyProtection="1">
      <alignment vertical="center" wrapText="1"/>
      <protection locked="0"/>
    </xf>
    <xf numFmtId="0" fontId="5" fillId="0" borderId="0" xfId="14" applyFont="1" applyFill="1" applyAlignment="1" applyProtection="1">
      <alignment horizontal="center"/>
      <protection locked="0"/>
    </xf>
    <xf numFmtId="0" fontId="5" fillId="0" borderId="3" xfId="0" applyFont="1" applyFill="1" applyBorder="1" applyAlignment="1" applyProtection="1">
      <alignment horizontal="center"/>
      <protection hidden="1"/>
    </xf>
    <xf numFmtId="0" fontId="5" fillId="0" borderId="3" xfId="14" applyFont="1" applyBorder="1" applyAlignment="1" applyProtection="1">
      <alignment horizontal="center" vertical="center"/>
      <protection hidden="1"/>
    </xf>
    <xf numFmtId="0" fontId="5" fillId="0" borderId="0" xfId="0" applyFont="1" applyBorder="1" applyAlignment="1" applyProtection="1">
      <protection locked="0"/>
    </xf>
    <xf numFmtId="0" fontId="3" fillId="0" borderId="0" xfId="0" applyFont="1" applyBorder="1" applyAlignment="1" applyProtection="1">
      <protection locked="0"/>
    </xf>
    <xf numFmtId="0" fontId="5" fillId="0" borderId="15" xfId="0" applyNumberFormat="1" applyFont="1" applyBorder="1" applyAlignment="1" applyProtection="1">
      <alignment horizontal="center" vertical="center"/>
      <protection hidden="1"/>
    </xf>
    <xf numFmtId="0" fontId="5" fillId="0" borderId="17" xfId="0" applyNumberFormat="1" applyFont="1" applyBorder="1" applyAlignment="1" applyProtection="1">
      <alignment horizontal="center" vertical="center"/>
      <protection hidden="1"/>
    </xf>
    <xf numFmtId="2" fontId="5" fillId="0" borderId="15" xfId="0" applyNumberFormat="1" applyFont="1" applyBorder="1" applyAlignment="1" applyProtection="1">
      <alignment horizontal="center" vertical="center"/>
      <protection hidden="1"/>
    </xf>
    <xf numFmtId="2" fontId="5" fillId="0" borderId="17" xfId="0" applyNumberFormat="1" applyFont="1" applyBorder="1" applyAlignment="1" applyProtection="1">
      <alignment horizontal="center" vertical="center"/>
      <protection hidden="1"/>
    </xf>
    <xf numFmtId="0" fontId="8" fillId="0" borderId="0" xfId="0" applyFont="1" applyBorder="1" applyAlignment="1" applyProtection="1">
      <alignment horizontal="right"/>
      <protection locked="0"/>
    </xf>
    <xf numFmtId="0" fontId="8" fillId="0" borderId="0" xfId="0" applyFont="1" applyFill="1" applyBorder="1" applyAlignment="1" applyProtection="1">
      <protection locked="0"/>
    </xf>
    <xf numFmtId="0" fontId="8" fillId="0" borderId="0" xfId="0" applyFont="1" applyFill="1" applyBorder="1" applyAlignment="1" applyProtection="1">
      <alignment horizontal="center"/>
      <protection locked="0"/>
    </xf>
    <xf numFmtId="0" fontId="8" fillId="0" borderId="0" xfId="0" applyFont="1" applyBorder="1" applyAlignment="1" applyProtection="1">
      <protection locked="0"/>
    </xf>
    <xf numFmtId="0" fontId="7" fillId="0" borderId="5" xfId="0" applyFont="1" applyBorder="1" applyProtection="1">
      <protection locked="0"/>
    </xf>
    <xf numFmtId="0" fontId="7" fillId="0" borderId="18" xfId="0" applyFont="1" applyFill="1" applyBorder="1" applyProtection="1">
      <protection locked="0"/>
    </xf>
    <xf numFmtId="0" fontId="7" fillId="0" borderId="5" xfId="0" applyFont="1" applyFill="1" applyBorder="1" applyProtection="1">
      <protection locked="0"/>
    </xf>
    <xf numFmtId="0" fontId="7" fillId="2" borderId="0" xfId="0" applyFont="1" applyFill="1" applyProtection="1">
      <protection locked="0"/>
    </xf>
    <xf numFmtId="0" fontId="7" fillId="0" borderId="0" xfId="0" applyFont="1" applyBorder="1" applyProtection="1">
      <protection locked="0"/>
    </xf>
    <xf numFmtId="0" fontId="7" fillId="2" borderId="19" xfId="0" applyFont="1" applyFill="1" applyBorder="1" applyProtection="1">
      <protection locked="0"/>
    </xf>
    <xf numFmtId="0" fontId="7" fillId="0" borderId="20" xfId="0" applyFont="1" applyFill="1" applyBorder="1" applyProtection="1">
      <protection locked="0"/>
    </xf>
    <xf numFmtId="0" fontId="7" fillId="0" borderId="0" xfId="0" applyFont="1" applyFill="1" applyBorder="1" applyProtection="1">
      <protection locked="0"/>
    </xf>
    <xf numFmtId="0" fontId="7" fillId="0" borderId="20" xfId="0" applyFont="1" applyBorder="1" applyProtection="1">
      <protection locked="0"/>
    </xf>
    <xf numFmtId="0" fontId="7" fillId="0" borderId="16" xfId="0" applyFont="1" applyBorder="1" applyProtection="1">
      <protection locked="0"/>
    </xf>
    <xf numFmtId="0" fontId="5" fillId="0" borderId="15" xfId="0" applyNumberFormat="1" applyFont="1" applyBorder="1" applyAlignment="1" applyProtection="1">
      <alignment horizontal="center" vertical="center"/>
      <protection locked="0"/>
    </xf>
    <xf numFmtId="0" fontId="5" fillId="0" borderId="17" xfId="0" applyNumberFormat="1" applyFont="1" applyBorder="1" applyAlignment="1" applyProtection="1">
      <alignment horizontal="center" vertical="center"/>
      <protection locked="0"/>
    </xf>
    <xf numFmtId="0" fontId="5" fillId="0" borderId="0" xfId="0" applyFont="1" applyAlignment="1" applyProtection="1">
      <protection locked="0"/>
    </xf>
    <xf numFmtId="0" fontId="4" fillId="0" borderId="0" xfId="0" applyFont="1" applyAlignment="1" applyProtection="1">
      <alignment horizontal="center"/>
      <protection locked="0"/>
    </xf>
    <xf numFmtId="0" fontId="2" fillId="0" borderId="0" xfId="0" applyFont="1" applyAlignment="1" applyProtection="1">
      <alignment horizontal="center"/>
      <protection locked="0"/>
    </xf>
    <xf numFmtId="0" fontId="2" fillId="0" borderId="0" xfId="0" applyFont="1" applyAlignment="1" applyProtection="1">
      <protection locked="0"/>
    </xf>
    <xf numFmtId="0" fontId="2" fillId="0" borderId="0" xfId="0" applyFont="1" applyProtection="1">
      <protection locked="0"/>
    </xf>
    <xf numFmtId="0" fontId="4" fillId="0" borderId="0" xfId="0" applyFont="1" applyAlignment="1" applyProtection="1">
      <protection locked="0"/>
    </xf>
    <xf numFmtId="0" fontId="7" fillId="0" borderId="0" xfId="0" applyFont="1" applyAlignment="1" applyProtection="1">
      <alignment horizontal="center"/>
      <protection locked="0"/>
    </xf>
    <xf numFmtId="0" fontId="3" fillId="0" borderId="0" xfId="14" applyFont="1" applyFill="1" applyBorder="1" applyAlignment="1" applyProtection="1">
      <protection locked="0"/>
    </xf>
    <xf numFmtId="0" fontId="5" fillId="0" borderId="0" xfId="14" applyFont="1" applyFill="1" applyBorder="1" applyAlignment="1" applyProtection="1">
      <protection locked="0"/>
    </xf>
    <xf numFmtId="0" fontId="2" fillId="0" borderId="0" xfId="14" applyFont="1" applyFill="1" applyProtection="1">
      <protection locked="0"/>
    </xf>
    <xf numFmtId="0" fontId="13" fillId="0" borderId="0" xfId="14" applyFont="1" applyFill="1" applyBorder="1" applyAlignment="1" applyProtection="1">
      <alignment vertical="center"/>
      <protection locked="0"/>
    </xf>
    <xf numFmtId="0" fontId="13" fillId="0" borderId="0" xfId="14" applyFont="1" applyFill="1" applyBorder="1" applyAlignment="1" applyProtection="1">
      <alignment horizontal="center" vertical="center"/>
      <protection hidden="1"/>
    </xf>
    <xf numFmtId="0" fontId="4" fillId="0" borderId="0" xfId="14" applyFont="1" applyFill="1" applyAlignment="1" applyProtection="1">
      <alignment horizontal="center"/>
      <protection locked="0"/>
    </xf>
    <xf numFmtId="0" fontId="13" fillId="0" borderId="0" xfId="14" applyFont="1" applyFill="1" applyBorder="1" applyAlignment="1" applyProtection="1">
      <alignment vertical="center"/>
      <protection hidden="1"/>
    </xf>
    <xf numFmtId="0" fontId="2" fillId="0" borderId="0" xfId="14" applyFont="1" applyFill="1" applyBorder="1" applyProtection="1">
      <protection locked="0"/>
    </xf>
    <xf numFmtId="0" fontId="13" fillId="0" borderId="0" xfId="14" applyFont="1" applyFill="1" applyBorder="1" applyAlignment="1" applyProtection="1">
      <alignment horizontal="right"/>
      <protection locked="0"/>
    </xf>
    <xf numFmtId="0" fontId="13" fillId="0" borderId="0" xfId="14" applyFont="1" applyFill="1" applyBorder="1" applyAlignment="1" applyProtection="1">
      <protection locked="0"/>
    </xf>
    <xf numFmtId="0" fontId="2" fillId="0" borderId="0" xfId="14" applyFont="1" applyFill="1" applyAlignment="1" applyProtection="1">
      <alignment horizontal="center" vertical="center"/>
      <protection locked="0"/>
    </xf>
    <xf numFmtId="0" fontId="2" fillId="0" borderId="3" xfId="14" applyFont="1" applyFill="1" applyBorder="1" applyAlignment="1" applyProtection="1">
      <alignment horizontal="center" vertical="center"/>
      <protection hidden="1"/>
    </xf>
    <xf numFmtId="0" fontId="2" fillId="0" borderId="21" xfId="0" applyFont="1" applyFill="1" applyBorder="1" applyAlignment="1" applyProtection="1">
      <alignment vertical="center"/>
      <protection hidden="1"/>
    </xf>
    <xf numFmtId="0" fontId="2" fillId="0" borderId="2" xfId="0" applyFont="1" applyFill="1" applyBorder="1" applyAlignment="1" applyProtection="1">
      <alignment vertical="center"/>
      <protection hidden="1"/>
    </xf>
    <xf numFmtId="0" fontId="7" fillId="0" borderId="0" xfId="14" applyFont="1" applyFill="1" applyAlignment="1" applyProtection="1">
      <alignment horizontal="center"/>
      <protection hidden="1"/>
    </xf>
    <xf numFmtId="0" fontId="7" fillId="0" borderId="0" xfId="0" applyFont="1" applyFill="1" applyAlignment="1" applyProtection="1">
      <alignment vertical="center" wrapText="1"/>
      <protection locked="0"/>
    </xf>
    <xf numFmtId="0" fontId="14" fillId="0" borderId="0" xfId="14" applyFont="1" applyFill="1" applyAlignment="1" applyProtection="1">
      <protection locked="0"/>
    </xf>
    <xf numFmtId="0" fontId="31" fillId="0" borderId="0" xfId="0" applyFont="1" applyFill="1" applyAlignment="1" applyProtection="1">
      <alignment vertical="center" wrapText="1"/>
      <protection hidden="1"/>
    </xf>
    <xf numFmtId="0" fontId="33"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protection hidden="1"/>
    </xf>
    <xf numFmtId="0" fontId="34" fillId="0" borderId="3" xfId="0" applyFont="1" applyFill="1" applyBorder="1" applyAlignment="1" applyProtection="1">
      <alignment horizontal="justify" vertical="center"/>
      <protection hidden="1"/>
    </xf>
    <xf numFmtId="0" fontId="33" fillId="0" borderId="3" xfId="0" applyFont="1" applyBorder="1" applyAlignment="1" applyProtection="1">
      <alignment horizontal="justify" vertical="center" wrapText="1"/>
      <protection hidden="1"/>
    </xf>
    <xf numFmtId="0" fontId="37" fillId="0" borderId="0" xfId="13" applyFont="1" applyFill="1" applyAlignment="1" applyProtection="1">
      <alignment vertical="center" wrapText="1"/>
      <protection hidden="1"/>
    </xf>
    <xf numFmtId="0" fontId="33" fillId="0" borderId="3" xfId="0" applyFont="1" applyFill="1" applyBorder="1" applyAlignment="1" applyProtection="1">
      <alignment vertical="center" wrapText="1"/>
      <protection hidden="1"/>
    </xf>
    <xf numFmtId="0" fontId="33" fillId="0" borderId="0" xfId="0" applyFont="1" applyFill="1" applyAlignment="1" applyProtection="1">
      <alignment vertical="center" wrapText="1"/>
      <protection hidden="1"/>
    </xf>
    <xf numFmtId="0" fontId="34" fillId="0" borderId="0" xfId="0" applyFont="1" applyFill="1" applyAlignment="1" applyProtection="1">
      <alignment vertical="center" wrapText="1"/>
      <protection hidden="1"/>
    </xf>
    <xf numFmtId="0" fontId="35" fillId="0" borderId="0" xfId="0" applyFont="1" applyFill="1" applyAlignment="1" applyProtection="1">
      <alignment vertical="center"/>
      <protection hidden="1"/>
    </xf>
    <xf numFmtId="0" fontId="34" fillId="0" borderId="3" xfId="0" applyFont="1" applyFill="1" applyBorder="1" applyAlignment="1" applyProtection="1">
      <alignment vertical="center" wrapText="1"/>
      <protection hidden="1"/>
    </xf>
    <xf numFmtId="0" fontId="35" fillId="0" borderId="0" xfId="0" applyFont="1" applyFill="1" applyAlignment="1" applyProtection="1">
      <alignment vertical="center" wrapText="1"/>
      <protection hidden="1"/>
    </xf>
    <xf numFmtId="0" fontId="3" fillId="0" borderId="0" xfId="0" applyFont="1" applyFill="1" applyBorder="1" applyAlignment="1" applyProtection="1">
      <alignment horizontal="center"/>
      <protection hidden="1"/>
    </xf>
    <xf numFmtId="164" fontId="2" fillId="0" borderId="3" xfId="14" applyNumberFormat="1" applyFont="1" applyFill="1" applyBorder="1" applyAlignment="1" applyProtection="1">
      <alignment horizontal="center"/>
      <protection locked="0"/>
    </xf>
    <xf numFmtId="0" fontId="3" fillId="0" borderId="0" xfId="0" applyFont="1" applyFill="1" applyProtection="1">
      <protection locked="0"/>
    </xf>
    <xf numFmtId="0" fontId="7" fillId="0" borderId="0" xfId="0" applyFont="1" applyFill="1" applyProtection="1">
      <protection hidden="1"/>
    </xf>
    <xf numFmtId="0" fontId="4" fillId="0" borderId="0" xfId="14" applyFont="1" applyFill="1" applyAlignment="1" applyProtection="1">
      <protection locked="0"/>
    </xf>
    <xf numFmtId="0" fontId="39" fillId="0" borderId="0" xfId="0" applyFont="1" applyAlignment="1" applyProtection="1">
      <alignment horizontal="center" vertical="center"/>
      <protection hidden="1"/>
    </xf>
    <xf numFmtId="0" fontId="39" fillId="0" borderId="0" xfId="0" applyFont="1" applyProtection="1">
      <protection hidden="1"/>
    </xf>
    <xf numFmtId="0" fontId="39" fillId="0" borderId="0" xfId="0" applyFont="1" applyAlignment="1" applyProtection="1">
      <alignment horizontal="center"/>
      <protection hidden="1"/>
    </xf>
    <xf numFmtId="0" fontId="5" fillId="0" borderId="0" xfId="0" applyFont="1" applyProtection="1">
      <protection hidden="1"/>
    </xf>
    <xf numFmtId="0" fontId="18" fillId="0" borderId="0" xfId="0" applyFont="1" applyAlignment="1" applyProtection="1">
      <alignment horizontal="left"/>
      <protection hidden="1"/>
    </xf>
    <xf numFmtId="0" fontId="16" fillId="0" borderId="0" xfId="0" applyFont="1" applyAlignment="1" applyProtection="1">
      <alignment horizontal="center"/>
      <protection hidden="1"/>
    </xf>
    <xf numFmtId="0" fontId="19" fillId="0" borderId="0" xfId="0" applyFont="1" applyAlignment="1" applyProtection="1">
      <alignment horizontal="center"/>
      <protection hidden="1"/>
    </xf>
    <xf numFmtId="0" fontId="20" fillId="0" borderId="0" xfId="0" applyFont="1" applyProtection="1">
      <protection hidden="1"/>
    </xf>
    <xf numFmtId="0" fontId="15" fillId="0" borderId="3" xfId="0" applyFont="1" applyBorder="1" applyAlignment="1" applyProtection="1">
      <alignment horizontal="center" vertical="center" wrapText="1"/>
      <protection hidden="1"/>
    </xf>
    <xf numFmtId="0" fontId="5" fillId="0" borderId="3" xfId="0" applyFont="1" applyBorder="1" applyAlignment="1" applyProtection="1">
      <alignment horizontal="justify" vertical="center"/>
      <protection hidden="1"/>
    </xf>
    <xf numFmtId="0" fontId="5" fillId="0" borderId="3" xfId="0" applyFont="1" applyBorder="1" applyAlignment="1" applyProtection="1">
      <alignment horizontal="center" vertical="center"/>
      <protection hidden="1"/>
    </xf>
    <xf numFmtId="0" fontId="23" fillId="0" borderId="3" xfId="0" applyFont="1" applyBorder="1" applyAlignment="1" applyProtection="1">
      <alignment horizontal="center" vertical="center"/>
      <protection hidden="1"/>
    </xf>
    <xf numFmtId="0" fontId="25" fillId="0" borderId="3" xfId="0" applyFont="1" applyBorder="1" applyAlignment="1" applyProtection="1">
      <alignment horizontal="center" vertical="center"/>
      <protection hidden="1"/>
    </xf>
    <xf numFmtId="0" fontId="0" fillId="0" borderId="0" xfId="0" applyBorder="1" applyAlignment="1" applyProtection="1">
      <alignment horizontal="center" vertical="center"/>
      <protection hidden="1"/>
    </xf>
    <xf numFmtId="0" fontId="15" fillId="0" borderId="0" xfId="0" applyFont="1" applyBorder="1" applyAlignment="1" applyProtection="1">
      <alignment horizontal="center" vertical="center" wrapText="1"/>
      <protection hidden="1"/>
    </xf>
    <xf numFmtId="0" fontId="26" fillId="0" borderId="0" xfId="0" applyFont="1" applyBorder="1" applyAlignment="1" applyProtection="1">
      <alignment horizontal="left" vertical="center"/>
      <protection hidden="1"/>
    </xf>
    <xf numFmtId="0" fontId="16" fillId="0" borderId="0" xfId="0" applyFont="1" applyBorder="1" applyAlignment="1" applyProtection="1">
      <alignment horizontal="center" vertical="center"/>
      <protection hidden="1"/>
    </xf>
    <xf numFmtId="0" fontId="19" fillId="0" borderId="0" xfId="0" applyFont="1" applyBorder="1" applyAlignment="1" applyProtection="1">
      <alignment horizontal="center" vertical="center"/>
      <protection hidden="1"/>
    </xf>
    <xf numFmtId="165" fontId="24" fillId="0" borderId="0" xfId="1" applyNumberFormat="1" applyFont="1" applyBorder="1" applyProtection="1">
      <protection hidden="1"/>
    </xf>
    <xf numFmtId="0" fontId="0" fillId="0" borderId="0" xfId="0" applyBorder="1" applyProtection="1">
      <protection hidden="1"/>
    </xf>
    <xf numFmtId="0" fontId="23" fillId="0" borderId="0" xfId="0" applyFont="1" applyAlignment="1" applyProtection="1">
      <alignment horizontal="center" vertical="center"/>
      <protection hidden="1"/>
    </xf>
    <xf numFmtId="0" fontId="14" fillId="0" borderId="0" xfId="0" applyFont="1" applyAlignment="1" applyProtection="1">
      <protection hidden="1"/>
    </xf>
    <xf numFmtId="0" fontId="27" fillId="0" borderId="0" xfId="0" applyFont="1" applyAlignment="1" applyProtection="1">
      <protection hidden="1"/>
    </xf>
    <xf numFmtId="0" fontId="5" fillId="0" borderId="0" xfId="0" applyFont="1" applyAlignment="1" applyProtection="1">
      <alignment horizontal="center" vertical="center"/>
      <protection hidden="1"/>
    </xf>
    <xf numFmtId="0" fontId="29" fillId="0" borderId="0" xfId="0" applyFont="1" applyBorder="1" applyAlignment="1" applyProtection="1">
      <alignment horizontal="center" vertical="center"/>
      <protection hidden="1"/>
    </xf>
    <xf numFmtId="0" fontId="11" fillId="0" borderId="0" xfId="0" applyFont="1" applyAlignment="1" applyProtection="1">
      <protection locked="0"/>
    </xf>
    <xf numFmtId="164" fontId="2" fillId="0" borderId="6" xfId="14" applyNumberFormat="1" applyFont="1" applyFill="1" applyBorder="1" applyAlignment="1" applyProtection="1">
      <alignment horizontal="center"/>
      <protection locked="0"/>
    </xf>
    <xf numFmtId="0" fontId="3" fillId="0" borderId="3" xfId="0" applyFont="1" applyBorder="1" applyAlignment="1" applyProtection="1">
      <alignment horizontal="center"/>
      <protection hidden="1"/>
    </xf>
    <xf numFmtId="164" fontId="2" fillId="0" borderId="3" xfId="14" applyNumberFormat="1" applyFont="1" applyFill="1" applyBorder="1" applyAlignment="1" applyProtection="1">
      <alignment vertical="center"/>
      <protection locked="0"/>
    </xf>
    <xf numFmtId="164" fontId="2" fillId="0" borderId="3" xfId="14" applyNumberFormat="1" applyFont="1" applyFill="1" applyBorder="1" applyAlignment="1" applyProtection="1">
      <alignment horizontal="center" vertical="center"/>
      <protection locked="0"/>
    </xf>
    <xf numFmtId="164" fontId="2" fillId="0" borderId="3" xfId="14" applyNumberFormat="1" applyFont="1" applyFill="1" applyBorder="1" applyAlignment="1" applyProtection="1">
      <alignment horizontal="center"/>
      <protection hidden="1"/>
    </xf>
    <xf numFmtId="164" fontId="18" fillId="0" borderId="3" xfId="0" applyNumberFormat="1" applyFont="1" applyBorder="1" applyAlignment="1" applyProtection="1">
      <alignment horizontal="center"/>
      <protection locked="0"/>
    </xf>
    <xf numFmtId="164" fontId="2" fillId="0" borderId="22" xfId="14" applyNumberFormat="1" applyFont="1" applyFill="1" applyBorder="1" applyAlignment="1" applyProtection="1">
      <alignment vertical="center"/>
      <protection locked="0"/>
    </xf>
    <xf numFmtId="164" fontId="2" fillId="0" borderId="3" xfId="14" applyNumberFormat="1" applyFont="1" applyFill="1" applyBorder="1" applyProtection="1">
      <protection locked="0"/>
    </xf>
    <xf numFmtId="2" fontId="3" fillId="0" borderId="15" xfId="0" applyNumberFormat="1" applyFont="1" applyBorder="1" applyAlignment="1" applyProtection="1">
      <alignment horizontal="center" vertical="center"/>
      <protection hidden="1"/>
    </xf>
    <xf numFmtId="0" fontId="2" fillId="0" borderId="15" xfId="0" applyFont="1" applyFill="1" applyBorder="1" applyAlignment="1" applyProtection="1">
      <alignment horizontal="center"/>
      <protection hidden="1"/>
    </xf>
    <xf numFmtId="0" fontId="2" fillId="0" borderId="17" xfId="0" applyFont="1" applyFill="1" applyBorder="1" applyAlignment="1" applyProtection="1">
      <alignment horizontal="center"/>
      <protection hidden="1"/>
    </xf>
    <xf numFmtId="0" fontId="5" fillId="0" borderId="23" xfId="0" applyFont="1" applyBorder="1" applyAlignment="1" applyProtection="1">
      <alignment vertical="center"/>
      <protection locked="0"/>
    </xf>
    <xf numFmtId="0" fontId="5" fillId="0" borderId="24" xfId="0" applyFont="1" applyBorder="1" applyAlignment="1" applyProtection="1">
      <alignment vertical="center"/>
      <protection locked="0"/>
    </xf>
    <xf numFmtId="0" fontId="5" fillId="0" borderId="25" xfId="0" applyFont="1" applyBorder="1" applyAlignment="1" applyProtection="1">
      <alignment vertical="center"/>
      <protection locked="0"/>
    </xf>
    <xf numFmtId="0" fontId="5" fillId="0" borderId="26" xfId="0" applyFont="1" applyBorder="1" applyAlignment="1" applyProtection="1">
      <alignment vertical="center"/>
      <protection locked="0"/>
    </xf>
    <xf numFmtId="0" fontId="5" fillId="0" borderId="10" xfId="0" applyFont="1" applyBorder="1" applyAlignment="1" applyProtection="1">
      <alignment vertical="center"/>
      <protection locked="0"/>
    </xf>
    <xf numFmtId="0" fontId="5" fillId="0" borderId="12" xfId="0" applyFont="1" applyBorder="1" applyAlignment="1" applyProtection="1">
      <alignment vertical="center"/>
      <protection locked="0"/>
    </xf>
    <xf numFmtId="0" fontId="3" fillId="0" borderId="27" xfId="0" applyFont="1" applyBorder="1" applyAlignment="1" applyProtection="1">
      <alignment horizontal="center" vertical="center" wrapText="1"/>
      <protection locked="0"/>
    </xf>
    <xf numFmtId="0" fontId="3" fillId="0" borderId="28" xfId="0" applyFont="1" applyBorder="1" applyAlignment="1" applyProtection="1">
      <alignment horizontal="center" vertical="center" wrapText="1"/>
      <protection locked="0"/>
    </xf>
    <xf numFmtId="0" fontId="33" fillId="0" borderId="3" xfId="0" applyFont="1" applyFill="1" applyBorder="1" applyAlignment="1" applyProtection="1">
      <alignment horizontal="justify" vertical="center" wrapText="1"/>
      <protection hidden="1"/>
    </xf>
    <xf numFmtId="0" fontId="3" fillId="0" borderId="3" xfId="0" applyFont="1" applyBorder="1" applyAlignment="1" applyProtection="1">
      <protection hidden="1"/>
    </xf>
    <xf numFmtId="0" fontId="5" fillId="0" borderId="0" xfId="0" applyFont="1" applyBorder="1" applyAlignment="1" applyProtection="1">
      <protection hidden="1"/>
    </xf>
    <xf numFmtId="0" fontId="5" fillId="0" borderId="0" xfId="0" applyFont="1" applyFill="1" applyProtection="1">
      <protection hidden="1"/>
    </xf>
    <xf numFmtId="0" fontId="3" fillId="0" borderId="0" xfId="0" applyFont="1" applyFill="1" applyBorder="1" applyAlignment="1" applyProtection="1">
      <alignment horizontal="right"/>
      <protection hidden="1"/>
    </xf>
    <xf numFmtId="0" fontId="30" fillId="0" borderId="0" xfId="0" applyFont="1" applyBorder="1" applyAlignment="1" applyProtection="1">
      <protection hidden="1"/>
    </xf>
    <xf numFmtId="0" fontId="30" fillId="0" borderId="0" xfId="0" applyFont="1" applyBorder="1" applyAlignment="1" applyProtection="1">
      <alignment horizontal="right"/>
      <protection hidden="1"/>
    </xf>
    <xf numFmtId="0" fontId="30" fillId="0" borderId="0" xfId="0" applyFont="1" applyFill="1" applyBorder="1" applyAlignment="1" applyProtection="1">
      <protection hidden="1"/>
    </xf>
    <xf numFmtId="0" fontId="30" fillId="0" borderId="29" xfId="0" applyFont="1" applyFill="1" applyBorder="1" applyAlignment="1" applyProtection="1">
      <protection hidden="1"/>
    </xf>
    <xf numFmtId="0" fontId="30" fillId="0" borderId="0" xfId="0" applyFont="1" applyFill="1" applyBorder="1" applyAlignment="1" applyProtection="1">
      <alignment horizontal="center"/>
      <protection hidden="1"/>
    </xf>
    <xf numFmtId="0" fontId="3" fillId="0" borderId="3" xfId="0" applyFont="1" applyBorder="1" applyAlignment="1" applyProtection="1">
      <alignment horizontal="center" vertical="center" textRotation="90" shrinkToFit="1"/>
      <protection hidden="1"/>
    </xf>
    <xf numFmtId="0" fontId="3" fillId="0" borderId="3" xfId="0" applyFont="1" applyBorder="1" applyAlignment="1" applyProtection="1">
      <alignment vertical="center" wrapText="1"/>
      <protection hidden="1"/>
    </xf>
    <xf numFmtId="0" fontId="5" fillId="0" borderId="0" xfId="0" applyFont="1" applyAlignment="1" applyProtection="1">
      <alignment horizontal="center"/>
      <protection hidden="1"/>
    </xf>
    <xf numFmtId="0" fontId="4" fillId="0" borderId="30" xfId="0" quotePrefix="1" applyFont="1" applyBorder="1" applyAlignment="1" applyProtection="1">
      <alignment horizontal="center" vertical="center" wrapText="1"/>
      <protection locked="0"/>
    </xf>
    <xf numFmtId="0" fontId="3" fillId="0" borderId="31" xfId="0" quotePrefix="1" applyFont="1" applyBorder="1" applyAlignment="1" applyProtection="1">
      <alignment horizontal="center" vertical="center" wrapText="1"/>
      <protection locked="0"/>
    </xf>
    <xf numFmtId="0" fontId="3" fillId="0" borderId="32" xfId="0" quotePrefix="1" applyFont="1" applyBorder="1" applyAlignment="1" applyProtection="1">
      <alignment horizontal="center" vertical="center" wrapText="1"/>
      <protection locked="0"/>
    </xf>
    <xf numFmtId="0" fontId="3" fillId="0" borderId="14"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vertical="center" wrapText="1"/>
      <protection locked="0"/>
    </xf>
    <xf numFmtId="0" fontId="3" fillId="0" borderId="30" xfId="0" quotePrefix="1" applyFont="1" applyBorder="1" applyAlignment="1" applyProtection="1">
      <alignment horizontal="center"/>
      <protection locked="0"/>
    </xf>
    <xf numFmtId="0" fontId="10" fillId="0" borderId="0" xfId="0" applyFont="1" applyAlignment="1" applyProtection="1">
      <alignment horizontal="center"/>
      <protection locked="0"/>
    </xf>
    <xf numFmtId="0" fontId="5" fillId="0" borderId="15" xfId="0" applyFont="1" applyBorder="1" applyAlignment="1" applyProtection="1">
      <alignment horizontal="center" vertical="center"/>
      <protection locked="0"/>
    </xf>
    <xf numFmtId="164" fontId="5" fillId="0" borderId="22"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hidden="1"/>
    </xf>
    <xf numFmtId="164" fontId="5" fillId="0" borderId="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hidden="1"/>
    </xf>
    <xf numFmtId="164" fontId="5" fillId="0" borderId="23" xfId="0" applyNumberFormat="1" applyFont="1" applyBorder="1" applyAlignment="1" applyProtection="1">
      <alignment horizontal="center" vertical="center"/>
      <protection locked="0"/>
    </xf>
    <xf numFmtId="164" fontId="5" fillId="0" borderId="10" xfId="0" applyNumberFormat="1" applyFont="1" applyBorder="1" applyAlignment="1" applyProtection="1">
      <alignment horizontal="center" vertical="center"/>
      <protection locked="0"/>
    </xf>
    <xf numFmtId="164" fontId="5" fillId="0" borderId="33"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hidden="1"/>
    </xf>
    <xf numFmtId="164" fontId="5" fillId="0" borderId="11"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hidden="1"/>
    </xf>
    <xf numFmtId="164" fontId="5" fillId="0" borderId="24" xfId="0" applyNumberFormat="1" applyFont="1" applyBorder="1" applyAlignment="1" applyProtection="1">
      <alignment horizontal="center" vertical="center"/>
      <protection locked="0"/>
    </xf>
    <xf numFmtId="164" fontId="5" fillId="0" borderId="12" xfId="0" applyNumberFormat="1" applyFont="1" applyBorder="1" applyAlignment="1" applyProtection="1">
      <alignment horizontal="center" vertical="center"/>
      <protection locked="0"/>
    </xf>
    <xf numFmtId="0" fontId="3" fillId="3" borderId="30" xfId="0" applyNumberFormat="1" applyFont="1" applyFill="1" applyBorder="1" applyAlignment="1" applyProtection="1">
      <alignment horizontal="center" vertical="center"/>
      <protection locked="0"/>
    </xf>
    <xf numFmtId="0" fontId="3" fillId="3" borderId="0" xfId="0" applyNumberFormat="1" applyFont="1" applyFill="1" applyBorder="1" applyAlignment="1" applyProtection="1">
      <alignment horizontal="center" vertical="center"/>
      <protection locked="0"/>
    </xf>
    <xf numFmtId="0" fontId="10" fillId="3" borderId="0" xfId="0" applyFont="1" applyFill="1" applyBorder="1" applyAlignment="1" applyProtection="1">
      <alignment horizontal="center"/>
      <protection locked="0"/>
    </xf>
    <xf numFmtId="0" fontId="5" fillId="0" borderId="3" xfId="0" applyFont="1" applyBorder="1" applyAlignment="1" applyProtection="1">
      <alignment horizontal="center" vertical="center"/>
      <protection locked="0"/>
    </xf>
    <xf numFmtId="0" fontId="55" fillId="0" borderId="0" xfId="0" applyFont="1" applyBorder="1" applyAlignment="1" applyProtection="1">
      <protection locked="0"/>
    </xf>
    <xf numFmtId="0" fontId="2" fillId="0" borderId="6" xfId="14" applyFont="1" applyFill="1" applyBorder="1" applyAlignment="1" applyProtection="1">
      <alignment horizontal="center"/>
      <protection locked="0"/>
    </xf>
    <xf numFmtId="0" fontId="2" fillId="0" borderId="3" xfId="14" applyFont="1" applyFill="1" applyBorder="1" applyAlignment="1" applyProtection="1">
      <alignment horizontal="center"/>
      <protection locked="0"/>
    </xf>
    <xf numFmtId="1" fontId="2" fillId="0" borderId="3" xfId="14" applyNumberFormat="1" applyFont="1" applyFill="1" applyBorder="1" applyAlignment="1" applyProtection="1">
      <alignment horizontal="center"/>
      <protection locked="0"/>
    </xf>
    <xf numFmtId="164" fontId="56" fillId="0" borderId="0" xfId="0" applyNumberFormat="1" applyFont="1" applyBorder="1" applyAlignment="1" applyProtection="1">
      <protection locked="0"/>
    </xf>
    <xf numFmtId="0" fontId="55" fillId="0" borderId="0" xfId="0" applyFont="1" applyFill="1" applyBorder="1" applyAlignment="1" applyProtection="1">
      <protection locked="0"/>
    </xf>
    <xf numFmtId="0" fontId="7" fillId="0" borderId="18" xfId="0" applyFont="1" applyBorder="1" applyProtection="1">
      <protection hidden="1"/>
    </xf>
    <xf numFmtId="0" fontId="7" fillId="0" borderId="34" xfId="0" applyFont="1" applyBorder="1" applyProtection="1">
      <protection locked="0"/>
    </xf>
    <xf numFmtId="0" fontId="10" fillId="2" borderId="35" xfId="0" applyFont="1" applyFill="1" applyBorder="1" applyAlignment="1" applyProtection="1">
      <alignment horizontal="center" vertical="center"/>
      <protection locked="0"/>
    </xf>
    <xf numFmtId="0" fontId="7" fillId="2" borderId="35" xfId="0" applyFont="1" applyFill="1" applyBorder="1" applyProtection="1">
      <protection locked="0"/>
    </xf>
    <xf numFmtId="0" fontId="7" fillId="0" borderId="36" xfId="0" applyFont="1" applyBorder="1" applyProtection="1">
      <protection hidden="1"/>
    </xf>
    <xf numFmtId="0" fontId="7" fillId="0" borderId="19" xfId="0" applyFont="1" applyFill="1" applyBorder="1" applyProtection="1">
      <protection locked="0"/>
    </xf>
    <xf numFmtId="0" fontId="10" fillId="4" borderId="20" xfId="0" applyFont="1" applyFill="1" applyBorder="1" applyAlignment="1" applyProtection="1">
      <alignment horizontal="center"/>
      <protection locked="0"/>
    </xf>
    <xf numFmtId="0" fontId="10" fillId="4" borderId="0" xfId="0" applyFont="1" applyFill="1" applyBorder="1" applyAlignment="1" applyProtection="1">
      <alignment horizontal="center"/>
      <protection locked="0"/>
    </xf>
    <xf numFmtId="0" fontId="10" fillId="4" borderId="19" xfId="0" applyFont="1" applyFill="1" applyBorder="1" applyAlignment="1" applyProtection="1">
      <alignment horizontal="center"/>
      <protection locked="0"/>
    </xf>
    <xf numFmtId="0" fontId="3" fillId="4" borderId="30" xfId="0" applyNumberFormat="1" applyFont="1" applyFill="1" applyBorder="1" applyAlignment="1" applyProtection="1">
      <alignment horizontal="center" vertical="center"/>
      <protection locked="0"/>
    </xf>
    <xf numFmtId="0" fontId="10" fillId="4" borderId="35" xfId="0" applyFont="1" applyFill="1" applyBorder="1" applyAlignment="1" applyProtection="1">
      <alignment horizontal="center"/>
      <protection locked="0"/>
    </xf>
    <xf numFmtId="0" fontId="10" fillId="4" borderId="0" xfId="0" applyFont="1" applyFill="1" applyAlignment="1" applyProtection="1">
      <alignment horizontal="center"/>
      <protection locked="0"/>
    </xf>
    <xf numFmtId="0" fontId="7" fillId="2" borderId="34" xfId="0" applyFont="1" applyFill="1" applyBorder="1" applyProtection="1">
      <protection locked="0"/>
    </xf>
    <xf numFmtId="0" fontId="7" fillId="2" borderId="18" xfId="0" applyFont="1" applyFill="1" applyBorder="1" applyProtection="1">
      <protection locked="0"/>
    </xf>
    <xf numFmtId="0" fontId="7" fillId="2" borderId="20" xfId="0" applyFont="1" applyFill="1" applyBorder="1" applyProtection="1">
      <protection locked="0"/>
    </xf>
    <xf numFmtId="0" fontId="10" fillId="2" borderId="19" xfId="0" applyFont="1" applyFill="1" applyBorder="1" applyAlignment="1" applyProtection="1">
      <alignment horizontal="center" vertical="center"/>
      <protection locked="0"/>
    </xf>
    <xf numFmtId="0" fontId="5" fillId="0" borderId="0" xfId="0" applyFont="1" applyProtection="1">
      <protection locked="0"/>
    </xf>
    <xf numFmtId="0" fontId="5" fillId="0" borderId="0" xfId="0" applyFont="1" applyFill="1" applyProtection="1">
      <protection locked="0"/>
    </xf>
    <xf numFmtId="0" fontId="7" fillId="2" borderId="36" xfId="0" applyFont="1" applyFill="1" applyBorder="1" applyProtection="1">
      <protection locked="0"/>
    </xf>
    <xf numFmtId="0" fontId="7" fillId="2" borderId="37" xfId="0" applyFont="1" applyFill="1" applyBorder="1" applyProtection="1">
      <protection locked="0"/>
    </xf>
    <xf numFmtId="0" fontId="3" fillId="0" borderId="28" xfId="0" quotePrefix="1" applyNumberFormat="1" applyFont="1" applyFill="1" applyBorder="1" applyAlignment="1" applyProtection="1">
      <alignment horizontal="center" vertical="center"/>
      <protection locked="0"/>
    </xf>
    <xf numFmtId="0" fontId="55" fillId="0" borderId="0" xfId="0" applyFont="1" applyBorder="1" applyAlignment="1" applyProtection="1">
      <alignment horizontal="center"/>
      <protection locked="0"/>
    </xf>
    <xf numFmtId="0" fontId="3" fillId="0" borderId="3" xfId="0" applyFont="1" applyBorder="1" applyAlignment="1" applyProtection="1">
      <alignment horizontal="center" vertical="center"/>
      <protection hidden="1"/>
    </xf>
    <xf numFmtId="0" fontId="41" fillId="0" borderId="0" xfId="0" applyFont="1" applyAlignment="1" applyProtection="1">
      <alignment vertical="center"/>
      <protection hidden="1"/>
    </xf>
    <xf numFmtId="0" fontId="38" fillId="0" borderId="0" xfId="0" applyFont="1" applyProtection="1">
      <protection hidden="1"/>
    </xf>
    <xf numFmtId="0" fontId="54" fillId="0" borderId="3" xfId="16" applyFont="1" applyBorder="1" applyAlignment="1">
      <alignment horizontal="center" vertical="center"/>
    </xf>
    <xf numFmtId="0" fontId="54" fillId="0" borderId="21" xfId="16" applyFont="1" applyBorder="1" applyAlignment="1">
      <alignment vertical="center"/>
    </xf>
    <xf numFmtId="0" fontId="54" fillId="0" borderId="22" xfId="16" applyFont="1" applyBorder="1" applyAlignment="1">
      <alignment vertical="center"/>
    </xf>
    <xf numFmtId="0" fontId="54" fillId="0" borderId="3" xfId="16" applyFont="1" applyBorder="1" applyAlignment="1">
      <alignment horizontal="left" vertical="center"/>
    </xf>
    <xf numFmtId="0" fontId="58" fillId="0" borderId="8" xfId="0" applyFont="1" applyBorder="1" applyAlignment="1"/>
    <xf numFmtId="0" fontId="58" fillId="0" borderId="3" xfId="0" applyFont="1" applyBorder="1" applyAlignment="1">
      <alignment horizontal="left" vertical="center"/>
    </xf>
    <xf numFmtId="0" fontId="58" fillId="0" borderId="11" xfId="0" applyFont="1" applyBorder="1" applyAlignment="1">
      <alignment horizontal="left" vertical="center"/>
    </xf>
    <xf numFmtId="0" fontId="59" fillId="0" borderId="3" xfId="0" applyFont="1" applyBorder="1" applyAlignment="1">
      <alignment horizontal="center" vertical="center"/>
    </xf>
    <xf numFmtId="0" fontId="59" fillId="0" borderId="11" xfId="0" applyFont="1" applyBorder="1" applyAlignment="1">
      <alignment horizontal="center" vertical="center"/>
    </xf>
    <xf numFmtId="0" fontId="21" fillId="3" borderId="7" xfId="0" applyFont="1" applyFill="1" applyBorder="1" applyAlignment="1" applyProtection="1">
      <alignment horizontal="center" vertical="center"/>
      <protection hidden="1"/>
    </xf>
    <xf numFmtId="0" fontId="3" fillId="3" borderId="7" xfId="0" applyFont="1" applyFill="1" applyBorder="1" applyAlignment="1" applyProtection="1">
      <alignment horizontal="center" vertical="center"/>
      <protection hidden="1"/>
    </xf>
    <xf numFmtId="0" fontId="22" fillId="3" borderId="7" xfId="0" applyFont="1" applyFill="1" applyBorder="1" applyAlignment="1" applyProtection="1">
      <alignment horizontal="center" vertical="center" wrapText="1"/>
      <protection hidden="1"/>
    </xf>
    <xf numFmtId="0" fontId="22" fillId="3" borderId="7" xfId="0" applyFont="1" applyFill="1" applyBorder="1" applyAlignment="1" applyProtection="1">
      <alignment horizontal="center" vertical="center"/>
      <protection hidden="1"/>
    </xf>
    <xf numFmtId="0" fontId="15" fillId="0" borderId="8" xfId="0" applyFont="1" applyBorder="1" applyAlignment="1" applyProtection="1">
      <alignment horizontal="center" vertical="center" wrapText="1"/>
      <protection hidden="1"/>
    </xf>
    <xf numFmtId="0" fontId="5" fillId="0" borderId="8" xfId="0" applyFont="1" applyBorder="1" applyAlignment="1" applyProtection="1">
      <alignment horizontal="center" vertical="center"/>
      <protection hidden="1"/>
    </xf>
    <xf numFmtId="165" fontId="24" fillId="0" borderId="9" xfId="1" applyNumberFormat="1" applyFont="1" applyBorder="1" applyAlignment="1" applyProtection="1">
      <alignment horizontal="center" vertical="center"/>
      <protection hidden="1"/>
    </xf>
    <xf numFmtId="165" fontId="24" fillId="0" borderId="10" xfId="1" applyNumberFormat="1" applyFont="1" applyBorder="1" applyAlignment="1" applyProtection="1">
      <alignment horizontal="center" vertical="center"/>
      <protection hidden="1"/>
    </xf>
    <xf numFmtId="0" fontId="15" fillId="0" borderId="11" xfId="0" applyFont="1" applyBorder="1" applyAlignment="1" applyProtection="1">
      <alignment horizontal="center" vertical="center" wrapText="1"/>
      <protection hidden="1"/>
    </xf>
    <xf numFmtId="0" fontId="5" fillId="0" borderId="11" xfId="0" applyFont="1" applyBorder="1" applyAlignment="1" applyProtection="1">
      <alignment horizontal="center" vertical="center"/>
      <protection hidden="1"/>
    </xf>
    <xf numFmtId="165" fontId="24" fillId="0" borderId="12" xfId="1" applyNumberFormat="1" applyFont="1" applyBorder="1" applyAlignment="1" applyProtection="1">
      <alignment horizontal="center" vertical="center"/>
      <protection hidden="1"/>
    </xf>
    <xf numFmtId="0" fontId="59" fillId="0" borderId="8" xfId="0" applyFont="1" applyBorder="1" applyAlignment="1">
      <alignment horizontal="center"/>
    </xf>
    <xf numFmtId="0" fontId="5" fillId="0" borderId="11" xfId="0" applyFont="1" applyBorder="1" applyAlignment="1" applyProtection="1">
      <alignment horizontal="justify" vertical="center"/>
      <protection hidden="1"/>
    </xf>
    <xf numFmtId="0" fontId="23" fillId="0" borderId="11" xfId="0" applyFont="1" applyBorder="1" applyAlignment="1" applyProtection="1">
      <alignment horizontal="center" vertical="center"/>
      <protection hidden="1"/>
    </xf>
    <xf numFmtId="0" fontId="59" fillId="0" borderId="3" xfId="0" applyFont="1" applyBorder="1" applyAlignment="1">
      <alignment horizontal="center"/>
    </xf>
    <xf numFmtId="0" fontId="58" fillId="0" borderId="3" xfId="0" applyFont="1" applyBorder="1" applyAlignment="1">
      <alignment horizontal="left"/>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16" fillId="0" borderId="0" xfId="0" applyFont="1" applyAlignment="1" applyProtection="1">
      <alignment horizontal="justify"/>
      <protection locked="0"/>
    </xf>
    <xf numFmtId="0" fontId="15" fillId="0" borderId="0" xfId="0" applyFont="1" applyFill="1" applyAlignment="1" applyProtection="1">
      <alignment horizontal="center"/>
      <protection locked="0"/>
    </xf>
    <xf numFmtId="0" fontId="5" fillId="0" borderId="0" xfId="0" applyFont="1" applyFill="1" applyBorder="1" applyProtection="1">
      <protection locked="0"/>
    </xf>
    <xf numFmtId="0" fontId="2" fillId="0" borderId="0" xfId="0" applyFont="1" applyFill="1" applyBorder="1" applyProtection="1">
      <protection locked="0"/>
    </xf>
    <xf numFmtId="0" fontId="2" fillId="0" borderId="3" xfId="14" applyFont="1" applyFill="1" applyBorder="1" applyAlignment="1" applyProtection="1">
      <alignment horizontal="center" vertical="center"/>
      <protection locked="0"/>
    </xf>
    <xf numFmtId="0" fontId="5" fillId="0" borderId="21" xfId="14" applyFont="1" applyBorder="1" applyAlignment="1" applyProtection="1">
      <alignment horizontal="justify" vertical="center"/>
      <protection hidden="1"/>
    </xf>
    <xf numFmtId="0" fontId="5" fillId="0" borderId="22" xfId="14" applyFont="1" applyBorder="1" applyAlignment="1" applyProtection="1">
      <alignment horizontal="justify" vertical="center"/>
      <protection hidden="1"/>
    </xf>
    <xf numFmtId="0" fontId="5" fillId="0" borderId="21" xfId="14" applyFont="1" applyBorder="1" applyAlignment="1" applyProtection="1">
      <alignment horizontal="center" vertical="center"/>
      <protection hidden="1"/>
    </xf>
    <xf numFmtId="0" fontId="5" fillId="0" borderId="22" xfId="14" applyFont="1" applyBorder="1" applyAlignment="1" applyProtection="1">
      <alignment horizontal="center" vertical="center"/>
      <protection hidden="1"/>
    </xf>
    <xf numFmtId="0" fontId="3" fillId="0" borderId="0" xfId="0" applyFont="1" applyAlignment="1" applyProtection="1">
      <alignment horizontal="center"/>
      <protection hidden="1"/>
    </xf>
    <xf numFmtId="0" fontId="15" fillId="0" borderId="0" xfId="0" applyFont="1" applyFill="1" applyBorder="1" applyAlignment="1" applyProtection="1">
      <protection locked="0"/>
    </xf>
    <xf numFmtId="0" fontId="16" fillId="0" borderId="0" xfId="0" applyFont="1" applyFill="1" applyProtection="1">
      <protection locked="0"/>
    </xf>
    <xf numFmtId="0" fontId="16" fillId="0" borderId="0" xfId="0" applyFont="1" applyProtection="1">
      <protection locked="0"/>
    </xf>
    <xf numFmtId="0" fontId="8" fillId="0" borderId="0" xfId="0" applyFont="1" applyFill="1" applyBorder="1" applyAlignment="1" applyProtection="1">
      <alignment horizontal="right"/>
      <protection locked="0"/>
    </xf>
    <xf numFmtId="0" fontId="7" fillId="0" borderId="0" xfId="0" applyFont="1" applyFill="1" applyAlignment="1" applyProtection="1">
      <alignment horizontal="center"/>
      <protection locked="0"/>
    </xf>
    <xf numFmtId="0" fontId="3" fillId="0" borderId="40" xfId="0" applyNumberFormat="1" applyFont="1" applyFill="1" applyBorder="1" applyAlignment="1" applyProtection="1">
      <alignment horizontal="center" vertical="center" wrapText="1"/>
      <protection locked="0"/>
    </xf>
    <xf numFmtId="0" fontId="3" fillId="5" borderId="41" xfId="0" applyNumberFormat="1" applyFont="1" applyFill="1" applyBorder="1" applyAlignment="1" applyProtection="1">
      <alignment horizontal="center" vertical="center" textRotation="90" wrapText="1" shrinkToFit="1"/>
      <protection hidden="1"/>
    </xf>
    <xf numFmtId="0" fontId="3" fillId="5" borderId="8" xfId="0" applyNumberFormat="1" applyFont="1" applyFill="1" applyBorder="1" applyAlignment="1" applyProtection="1">
      <alignment horizontal="center" vertical="center" textRotation="90" wrapText="1" shrinkToFit="1"/>
      <protection hidden="1"/>
    </xf>
    <xf numFmtId="0" fontId="5" fillId="5" borderId="8" xfId="0" applyNumberFormat="1" applyFont="1" applyFill="1" applyBorder="1" applyAlignment="1" applyProtection="1">
      <alignment horizontal="center" vertical="center" textRotation="90" wrapText="1" shrinkToFit="1"/>
      <protection hidden="1"/>
    </xf>
    <xf numFmtId="0" fontId="5" fillId="2" borderId="42" xfId="0" applyNumberFormat="1" applyFont="1" applyFill="1" applyBorder="1" applyAlignment="1" applyProtection="1">
      <alignment horizontal="center" vertical="center" wrapText="1" shrinkToFit="1"/>
      <protection locked="0"/>
    </xf>
    <xf numFmtId="0" fontId="3" fillId="6" borderId="18" xfId="0" applyNumberFormat="1" applyFont="1" applyFill="1" applyBorder="1" applyAlignment="1" applyProtection="1">
      <alignment horizontal="center" vertical="center" textRotation="90" wrapText="1" shrinkToFit="1"/>
      <protection hidden="1"/>
    </xf>
    <xf numFmtId="0" fontId="3" fillId="6" borderId="5" xfId="0" applyNumberFormat="1" applyFont="1" applyFill="1" applyBorder="1" applyAlignment="1" applyProtection="1">
      <alignment horizontal="center" vertical="center" textRotation="90" wrapText="1" shrinkToFit="1"/>
      <protection hidden="1"/>
    </xf>
    <xf numFmtId="0" fontId="5" fillId="6" borderId="5" xfId="0" applyNumberFormat="1" applyFont="1" applyFill="1" applyBorder="1" applyAlignment="1" applyProtection="1">
      <alignment horizontal="center" vertical="center" textRotation="90" wrapText="1" shrinkToFit="1"/>
      <protection hidden="1"/>
    </xf>
    <xf numFmtId="0" fontId="5" fillId="2" borderId="36" xfId="0" applyNumberFormat="1" applyFont="1" applyFill="1" applyBorder="1" applyAlignment="1" applyProtection="1">
      <alignment horizontal="center" vertical="center" wrapText="1" shrinkToFit="1"/>
      <protection locked="0"/>
    </xf>
    <xf numFmtId="0" fontId="3" fillId="6" borderId="41" xfId="0" applyNumberFormat="1" applyFont="1" applyFill="1" applyBorder="1" applyAlignment="1" applyProtection="1">
      <alignment horizontal="center" vertical="center" textRotation="90" wrapText="1" shrinkToFit="1"/>
      <protection hidden="1"/>
    </xf>
    <xf numFmtId="0" fontId="3" fillId="6" borderId="8" xfId="0" applyNumberFormat="1" applyFont="1" applyFill="1" applyBorder="1" applyAlignment="1" applyProtection="1">
      <alignment horizontal="center" vertical="center" textRotation="90" wrapText="1" shrinkToFit="1"/>
      <protection hidden="1"/>
    </xf>
    <xf numFmtId="0" fontId="5" fillId="6" borderId="8" xfId="0" applyNumberFormat="1" applyFont="1" applyFill="1" applyBorder="1" applyAlignment="1" applyProtection="1">
      <alignment horizontal="center" vertical="center" textRotation="90" wrapText="1" shrinkToFit="1"/>
      <protection hidden="1"/>
    </xf>
    <xf numFmtId="0" fontId="5" fillId="6" borderId="42" xfId="0" applyNumberFormat="1" applyFont="1" applyFill="1" applyBorder="1" applyAlignment="1" applyProtection="1">
      <alignment horizontal="center" vertical="center" wrapText="1" shrinkToFit="1"/>
      <protection locked="0"/>
    </xf>
    <xf numFmtId="0" fontId="5" fillId="0" borderId="0" xfId="0" applyFont="1" applyFill="1" applyAlignment="1" applyProtection="1">
      <alignment horizontal="center" vertical="center"/>
      <protection locked="0"/>
    </xf>
    <xf numFmtId="0" fontId="3" fillId="5" borderId="41" xfId="0" applyNumberFormat="1" applyFont="1" applyFill="1" applyBorder="1" applyAlignment="1" applyProtection="1">
      <alignment horizontal="center" vertical="center" wrapText="1" shrinkToFit="1"/>
      <protection hidden="1"/>
    </xf>
    <xf numFmtId="0" fontId="3" fillId="5" borderId="8" xfId="0" applyNumberFormat="1" applyFont="1" applyFill="1" applyBorder="1" applyAlignment="1" applyProtection="1">
      <alignment horizontal="center" vertical="center" wrapText="1" shrinkToFit="1"/>
      <protection hidden="1"/>
    </xf>
    <xf numFmtId="0" fontId="5" fillId="5" borderId="8" xfId="0" applyNumberFormat="1" applyFont="1" applyFill="1" applyBorder="1" applyAlignment="1" applyProtection="1">
      <alignment horizontal="center" vertical="center" wrapText="1" shrinkToFit="1"/>
      <protection hidden="1"/>
    </xf>
    <xf numFmtId="0" fontId="5" fillId="2" borderId="21" xfId="0" applyNumberFormat="1" applyFont="1" applyFill="1" applyBorder="1" applyAlignment="1" applyProtection="1">
      <alignment horizontal="center" vertical="center"/>
      <protection hidden="1"/>
    </xf>
    <xf numFmtId="0" fontId="3" fillId="6" borderId="18" xfId="0" applyNumberFormat="1" applyFont="1" applyFill="1" applyBorder="1" applyAlignment="1" applyProtection="1">
      <alignment horizontal="center" vertical="center" wrapText="1" shrinkToFit="1"/>
      <protection hidden="1"/>
    </xf>
    <xf numFmtId="0" fontId="3" fillId="6" borderId="5" xfId="0" applyNumberFormat="1" applyFont="1" applyFill="1" applyBorder="1" applyAlignment="1" applyProtection="1">
      <alignment horizontal="center" vertical="center" wrapText="1" shrinkToFit="1"/>
      <protection hidden="1"/>
    </xf>
    <xf numFmtId="0" fontId="5" fillId="6" borderId="5" xfId="0" applyNumberFormat="1" applyFont="1" applyFill="1" applyBorder="1" applyAlignment="1" applyProtection="1">
      <alignment horizontal="center" vertical="center" wrapText="1" shrinkToFit="1"/>
      <protection hidden="1"/>
    </xf>
    <xf numFmtId="0" fontId="5" fillId="2" borderId="9" xfId="0" applyNumberFormat="1" applyFont="1" applyFill="1" applyBorder="1" applyAlignment="1" applyProtection="1">
      <alignment horizontal="center" vertical="center"/>
      <protection hidden="1"/>
    </xf>
    <xf numFmtId="0" fontId="3" fillId="6" borderId="41" xfId="0" applyNumberFormat="1" applyFont="1" applyFill="1" applyBorder="1" applyAlignment="1" applyProtection="1">
      <alignment horizontal="center" vertical="center" wrapText="1" shrinkToFit="1"/>
      <protection hidden="1"/>
    </xf>
    <xf numFmtId="0" fontId="3" fillId="6" borderId="8" xfId="0" applyNumberFormat="1" applyFont="1" applyFill="1" applyBorder="1" applyAlignment="1" applyProtection="1">
      <alignment horizontal="center" vertical="center" wrapText="1" shrinkToFit="1"/>
      <protection hidden="1"/>
    </xf>
    <xf numFmtId="0" fontId="5" fillId="6" borderId="8" xfId="0" applyNumberFormat="1" applyFont="1" applyFill="1" applyBorder="1" applyAlignment="1" applyProtection="1">
      <alignment horizontal="center" vertical="center" wrapText="1" shrinkToFit="1"/>
      <protection hidden="1"/>
    </xf>
    <xf numFmtId="0" fontId="5" fillId="6" borderId="21" xfId="0" applyNumberFormat="1" applyFont="1" applyFill="1" applyBorder="1" applyAlignment="1" applyProtection="1">
      <alignment horizontal="center" vertical="center"/>
      <protection hidden="1"/>
    </xf>
    <xf numFmtId="0" fontId="3" fillId="0" borderId="43" xfId="0" applyNumberFormat="1" applyFont="1" applyFill="1" applyBorder="1" applyAlignment="1" applyProtection="1">
      <alignment horizontal="center" vertical="center" wrapText="1"/>
      <protection locked="0"/>
    </xf>
    <xf numFmtId="0" fontId="3" fillId="0" borderId="23" xfId="0" applyNumberFormat="1" applyFont="1" applyFill="1" applyBorder="1" applyAlignment="1" applyProtection="1">
      <alignment horizontal="center" vertical="center"/>
      <protection locked="0"/>
    </xf>
    <xf numFmtId="0" fontId="3" fillId="0" borderId="3" xfId="0" applyNumberFormat="1" applyFont="1" applyFill="1" applyBorder="1" applyAlignment="1" applyProtection="1">
      <alignment horizontal="center" vertical="center"/>
      <protection locked="0"/>
    </xf>
    <xf numFmtId="0" fontId="5" fillId="0" borderId="3" xfId="0" applyNumberFormat="1" applyFont="1" applyFill="1" applyBorder="1" applyAlignment="1" applyProtection="1">
      <alignment horizontal="center" vertical="center"/>
      <protection locked="0"/>
    </xf>
    <xf numFmtId="0" fontId="5" fillId="5" borderId="3" xfId="0" applyNumberFormat="1" applyFont="1" applyFill="1" applyBorder="1" applyAlignment="1" applyProtection="1">
      <alignment horizontal="center" vertical="center"/>
      <protection locked="0"/>
    </xf>
    <xf numFmtId="0" fontId="5" fillId="2" borderId="21" xfId="0" applyNumberFormat="1" applyFont="1" applyFill="1" applyBorder="1" applyAlignment="1" applyProtection="1">
      <alignment horizontal="center" vertical="center"/>
      <protection locked="0"/>
    </xf>
    <xf numFmtId="0" fontId="5" fillId="6" borderId="3" xfId="0" applyNumberFormat="1" applyFont="1" applyFill="1" applyBorder="1" applyAlignment="1" applyProtection="1">
      <alignment horizontal="center" vertical="center"/>
      <protection locked="0"/>
    </xf>
    <xf numFmtId="0" fontId="5" fillId="2" borderId="10" xfId="0" applyNumberFormat="1" applyFont="1" applyFill="1" applyBorder="1" applyAlignment="1" applyProtection="1">
      <alignment horizontal="center" vertical="center"/>
      <protection locked="0"/>
    </xf>
    <xf numFmtId="0" fontId="5" fillId="6" borderId="21" xfId="0" applyNumberFormat="1" applyFont="1" applyFill="1" applyBorder="1" applyAlignment="1" applyProtection="1">
      <alignment horizontal="center" vertical="center"/>
      <protection locked="0"/>
    </xf>
    <xf numFmtId="0" fontId="4" fillId="0" borderId="44" xfId="0" quotePrefix="1" applyFont="1" applyFill="1" applyBorder="1" applyAlignment="1" applyProtection="1">
      <alignment horizontal="center" vertical="center"/>
      <protection locked="0"/>
    </xf>
    <xf numFmtId="0" fontId="4" fillId="0" borderId="39" xfId="0" applyFont="1" applyFill="1" applyBorder="1" applyAlignment="1" applyProtection="1">
      <alignment horizontal="center" vertical="center"/>
      <protection hidden="1"/>
    </xf>
    <xf numFmtId="0" fontId="3" fillId="0" borderId="44" xfId="0" quotePrefix="1" applyNumberFormat="1" applyFont="1" applyFill="1" applyBorder="1" applyAlignment="1" applyProtection="1">
      <alignment horizontal="center" vertical="center"/>
      <protection locked="0"/>
    </xf>
    <xf numFmtId="0" fontId="3" fillId="0" borderId="44" xfId="0" quotePrefix="1" applyFont="1" applyBorder="1" applyAlignment="1" applyProtection="1">
      <alignment horizontal="center"/>
      <protection locked="0"/>
    </xf>
    <xf numFmtId="0" fontId="3" fillId="0" borderId="23" xfId="0" quotePrefix="1" applyNumberFormat="1" applyFont="1" applyFill="1" applyBorder="1" applyAlignment="1" applyProtection="1">
      <alignment horizontal="center" vertical="center"/>
      <protection locked="0"/>
    </xf>
    <xf numFmtId="0" fontId="3" fillId="0" borderId="3" xfId="0" quotePrefix="1" applyNumberFormat="1" applyFont="1" applyFill="1" applyBorder="1" applyAlignment="1" applyProtection="1">
      <alignment horizontal="center" vertical="center"/>
      <protection locked="0"/>
    </xf>
    <xf numFmtId="0" fontId="3" fillId="0" borderId="45" xfId="0" quotePrefix="1" applyNumberFormat="1" applyFont="1" applyFill="1" applyBorder="1" applyAlignment="1" applyProtection="1">
      <alignment horizontal="center" vertical="center"/>
      <protection locked="0"/>
    </xf>
    <xf numFmtId="0" fontId="3" fillId="0" borderId="7" xfId="0" quotePrefix="1" applyNumberFormat="1" applyFont="1" applyFill="1" applyBorder="1" applyAlignment="1" applyProtection="1">
      <alignment horizontal="center" vertical="center"/>
      <protection locked="0"/>
    </xf>
    <xf numFmtId="0" fontId="5" fillId="0" borderId="7" xfId="0" applyNumberFormat="1" applyFont="1" applyFill="1" applyBorder="1" applyAlignment="1" applyProtection="1">
      <alignment horizontal="center" vertical="center"/>
      <protection locked="0"/>
    </xf>
    <xf numFmtId="0" fontId="5" fillId="5" borderId="7" xfId="0" applyNumberFormat="1" applyFont="1" applyFill="1" applyBorder="1" applyAlignment="1" applyProtection="1">
      <alignment horizontal="center" vertical="center"/>
      <protection locked="0"/>
    </xf>
    <xf numFmtId="0" fontId="5" fillId="6" borderId="7" xfId="0" applyNumberFormat="1" applyFont="1" applyFill="1" applyBorder="1" applyAlignment="1" applyProtection="1">
      <alignment horizontal="center" vertical="center"/>
      <protection locked="0"/>
    </xf>
    <xf numFmtId="0" fontId="7" fillId="0" borderId="0" xfId="0" applyFont="1" applyFill="1" applyAlignment="1" applyProtection="1">
      <alignment horizontal="center" vertical="center"/>
      <protection locked="0"/>
    </xf>
    <xf numFmtId="0" fontId="61" fillId="0" borderId="30" xfId="0" applyFont="1" applyFill="1" applyBorder="1" applyAlignment="1" applyProtection="1">
      <alignment horizontal="center" vertical="center"/>
      <protection hidden="1"/>
    </xf>
    <xf numFmtId="0" fontId="61" fillId="0" borderId="6" xfId="0" applyFont="1" applyBorder="1" applyAlignment="1" applyProtection="1">
      <alignment horizontal="center" vertical="center"/>
      <protection hidden="1"/>
    </xf>
    <xf numFmtId="0" fontId="61" fillId="0" borderId="31" xfId="14" applyNumberFormat="1" applyFont="1" applyFill="1" applyBorder="1" applyAlignment="1" applyProtection="1">
      <alignment horizontal="justify" vertical="center"/>
      <protection hidden="1"/>
    </xf>
    <xf numFmtId="0" fontId="62" fillId="0" borderId="46" xfId="14" applyNumberFormat="1" applyFont="1" applyFill="1" applyBorder="1" applyAlignment="1" applyProtection="1">
      <alignment horizontal="justify" vertical="center"/>
      <protection hidden="1"/>
    </xf>
    <xf numFmtId="0" fontId="61" fillId="0" borderId="30" xfId="0" applyNumberFormat="1" applyFont="1" applyFill="1" applyBorder="1" applyAlignment="1" applyProtection="1">
      <alignment horizontal="center" vertical="center"/>
      <protection locked="0"/>
    </xf>
    <xf numFmtId="0" fontId="61" fillId="0" borderId="41" xfId="0" applyNumberFormat="1" applyFont="1" applyFill="1" applyBorder="1" applyAlignment="1" applyProtection="1">
      <alignment horizontal="center" vertical="center"/>
      <protection hidden="1"/>
    </xf>
    <xf numFmtId="0" fontId="61" fillId="0" borderId="9" xfId="0" applyNumberFormat="1" applyFont="1" applyFill="1" applyBorder="1" applyAlignment="1" applyProtection="1">
      <alignment horizontal="center" vertical="center"/>
      <protection hidden="1"/>
    </xf>
    <xf numFmtId="164" fontId="61" fillId="0" borderId="41" xfId="0" applyNumberFormat="1" applyFont="1" applyFill="1" applyBorder="1" applyAlignment="1" applyProtection="1">
      <alignment horizontal="center" vertical="center"/>
      <protection hidden="1"/>
    </xf>
    <xf numFmtId="164" fontId="61" fillId="0" borderId="9" xfId="0" applyNumberFormat="1" applyFont="1" applyFill="1" applyBorder="1" applyAlignment="1" applyProtection="1">
      <alignment horizontal="center" vertical="center"/>
      <protection hidden="1"/>
    </xf>
    <xf numFmtId="164" fontId="61" fillId="0" borderId="47"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locked="0"/>
    </xf>
    <xf numFmtId="164" fontId="61" fillId="0" borderId="32" xfId="0" applyNumberFormat="1" applyFont="1" applyFill="1" applyBorder="1" applyAlignment="1" applyProtection="1">
      <alignment horizontal="center" vertical="center"/>
      <protection hidden="1"/>
    </xf>
    <xf numFmtId="164" fontId="61" fillId="0" borderId="14" xfId="0" applyNumberFormat="1" applyFont="1" applyFill="1" applyBorder="1" applyAlignment="1" applyProtection="1">
      <alignment horizontal="center" vertical="center"/>
      <protection hidden="1"/>
    </xf>
    <xf numFmtId="164" fontId="61" fillId="0" borderId="46" xfId="0" applyNumberFormat="1" applyFont="1" applyFill="1" applyBorder="1" applyAlignment="1" applyProtection="1">
      <alignment horizontal="center" vertical="center"/>
      <protection hidden="1"/>
    </xf>
    <xf numFmtId="2" fontId="61" fillId="0" borderId="30" xfId="0" applyNumberFormat="1" applyFont="1" applyFill="1" applyBorder="1" applyAlignment="1" applyProtection="1">
      <alignment horizontal="center" vertical="center"/>
      <protection hidden="1"/>
    </xf>
    <xf numFmtId="2" fontId="61" fillId="0" borderId="31" xfId="0" applyNumberFormat="1" applyFont="1" applyFill="1" applyBorder="1" applyAlignment="1" applyProtection="1">
      <alignment horizontal="center" vertical="center"/>
      <protection hidden="1"/>
    </xf>
    <xf numFmtId="0" fontId="61" fillId="0" borderId="30" xfId="0" applyNumberFormat="1" applyFont="1" applyFill="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hidden="1"/>
    </xf>
    <xf numFmtId="0" fontId="61" fillId="0" borderId="31" xfId="0" applyNumberFormat="1" applyFont="1" applyFill="1" applyBorder="1" applyAlignment="1" applyProtection="1">
      <alignment horizontal="center" vertical="center"/>
      <protection locked="0"/>
    </xf>
    <xf numFmtId="2" fontId="62" fillId="0" borderId="30" xfId="0" applyNumberFormat="1" applyFont="1" applyBorder="1" applyAlignment="1" applyProtection="1">
      <alignment horizontal="center" vertical="center"/>
      <protection hidden="1"/>
    </xf>
    <xf numFmtId="0" fontId="62" fillId="0" borderId="30" xfId="0" applyNumberFormat="1" applyFont="1" applyBorder="1" applyAlignment="1" applyProtection="1">
      <alignment horizontal="center" vertical="center"/>
      <protection hidden="1"/>
    </xf>
    <xf numFmtId="0" fontId="61" fillId="0" borderId="30" xfId="0" applyNumberFormat="1" applyFont="1" applyBorder="1" applyAlignment="1" applyProtection="1">
      <alignment horizontal="center" vertical="center"/>
      <protection hidden="1"/>
    </xf>
    <xf numFmtId="0" fontId="61" fillId="0" borderId="31" xfId="0" applyNumberFormat="1" applyFont="1" applyBorder="1" applyAlignment="1" applyProtection="1">
      <alignment horizontal="center" vertical="center"/>
      <protection hidden="1"/>
    </xf>
    <xf numFmtId="2" fontId="61" fillId="0" borderId="6" xfId="0" applyNumberFormat="1" applyFont="1" applyBorder="1" applyAlignment="1" applyProtection="1">
      <alignment horizontal="center" vertical="center"/>
      <protection hidden="1"/>
    </xf>
    <xf numFmtId="2" fontId="61" fillId="0" borderId="30" xfId="0" applyNumberFormat="1" applyFont="1" applyBorder="1" applyAlignment="1" applyProtection="1">
      <alignment horizontal="center" vertical="center"/>
      <protection hidden="1"/>
    </xf>
    <xf numFmtId="2" fontId="61" fillId="0" borderId="46" xfId="0" applyNumberFormat="1" applyFont="1" applyBorder="1" applyAlignment="1" applyProtection="1">
      <alignment horizontal="center" vertical="center"/>
      <protection hidden="1"/>
    </xf>
    <xf numFmtId="0" fontId="61" fillId="0" borderId="46" xfId="0" applyNumberFormat="1" applyFont="1" applyFill="1" applyBorder="1" applyAlignment="1" applyProtection="1">
      <alignment horizontal="center" vertical="center"/>
      <protection locked="0"/>
    </xf>
    <xf numFmtId="0" fontId="61" fillId="5" borderId="23" xfId="0" applyNumberFormat="1" applyFont="1" applyFill="1" applyBorder="1" applyAlignment="1" applyProtection="1">
      <alignment horizontal="center" vertical="center"/>
      <protection hidden="1"/>
    </xf>
    <xf numFmtId="0" fontId="61" fillId="5" borderId="3" xfId="0" applyNumberFormat="1" applyFont="1" applyFill="1" applyBorder="1" applyAlignment="1" applyProtection="1">
      <alignment horizontal="center" vertical="center"/>
      <protection hidden="1"/>
    </xf>
    <xf numFmtId="164" fontId="61" fillId="5" borderId="3" xfId="0" applyNumberFormat="1" applyFont="1" applyFill="1" applyBorder="1" applyAlignment="1" applyProtection="1">
      <alignment horizontal="center" vertical="center"/>
      <protection hidden="1"/>
    </xf>
    <xf numFmtId="0" fontId="61" fillId="2" borderId="21" xfId="0" applyNumberFormat="1" applyFont="1" applyFill="1" applyBorder="1" applyAlignment="1" applyProtection="1">
      <alignment horizontal="center" vertical="center"/>
      <protection hidden="1"/>
    </xf>
    <xf numFmtId="0" fontId="61" fillId="2" borderId="2" xfId="0" applyNumberFormat="1" applyFont="1" applyFill="1" applyBorder="1" applyAlignment="1" applyProtection="1">
      <alignment horizontal="center" vertical="center"/>
      <protection hidden="1"/>
    </xf>
    <xf numFmtId="0" fontId="61" fillId="6" borderId="25" xfId="0" applyNumberFormat="1" applyFont="1" applyFill="1" applyBorder="1" applyAlignment="1" applyProtection="1">
      <alignment horizontal="center" vertical="center"/>
      <protection hidden="1"/>
    </xf>
    <xf numFmtId="0" fontId="61" fillId="6" borderId="3" xfId="0" applyNumberFormat="1" applyFont="1" applyFill="1" applyBorder="1" applyAlignment="1" applyProtection="1">
      <alignment horizontal="center" vertical="center"/>
      <protection hidden="1"/>
    </xf>
    <xf numFmtId="0" fontId="61" fillId="2" borderId="10" xfId="0" applyNumberFormat="1" applyFont="1" applyFill="1" applyBorder="1" applyAlignment="1" applyProtection="1">
      <alignment horizontal="center" vertical="center"/>
      <protection hidden="1"/>
    </xf>
    <xf numFmtId="0" fontId="61" fillId="6" borderId="2" xfId="0" applyNumberFormat="1" applyFont="1" applyFill="1" applyBorder="1" applyAlignment="1" applyProtection="1">
      <alignment horizontal="center" vertical="center"/>
      <protection hidden="1"/>
    </xf>
    <xf numFmtId="0" fontId="61" fillId="0" borderId="0" xfId="0" applyFont="1" applyFill="1" applyAlignment="1" applyProtection="1">
      <alignment vertical="center"/>
      <protection locked="0"/>
    </xf>
    <xf numFmtId="2" fontId="61" fillId="0" borderId="0" xfId="0" applyNumberFormat="1" applyFont="1" applyFill="1" applyAlignment="1" applyProtection="1">
      <alignment vertical="center"/>
      <protection locked="0"/>
    </xf>
    <xf numFmtId="0" fontId="61" fillId="0" borderId="15" xfId="0" applyFont="1" applyFill="1" applyBorder="1" applyAlignment="1" applyProtection="1">
      <alignment horizontal="center" vertical="center"/>
      <protection hidden="1"/>
    </xf>
    <xf numFmtId="0" fontId="61" fillId="0" borderId="3" xfId="0" applyFont="1" applyBorder="1" applyAlignment="1" applyProtection="1">
      <alignment horizontal="center" vertical="center"/>
      <protection hidden="1"/>
    </xf>
    <xf numFmtId="0" fontId="61" fillId="0" borderId="25" xfId="14" applyNumberFormat="1" applyFont="1" applyFill="1" applyBorder="1" applyAlignment="1" applyProtection="1">
      <alignment horizontal="justify" vertical="center"/>
      <protection hidden="1"/>
    </xf>
    <xf numFmtId="0" fontId="62" fillId="0" borderId="48" xfId="14" applyNumberFormat="1" applyFont="1" applyFill="1" applyBorder="1" applyAlignment="1" applyProtection="1">
      <alignment horizontal="justify" vertical="center"/>
      <protection hidden="1"/>
    </xf>
    <xf numFmtId="0" fontId="61" fillId="0" borderId="15" xfId="0" applyNumberFormat="1" applyFont="1" applyFill="1" applyBorder="1" applyAlignment="1" applyProtection="1">
      <alignment horizontal="center" vertical="center"/>
      <protection locked="0"/>
    </xf>
    <xf numFmtId="0" fontId="61" fillId="0" borderId="32" xfId="0" applyNumberFormat="1" applyFont="1" applyFill="1" applyBorder="1" applyAlignment="1" applyProtection="1">
      <alignment horizontal="center" vertical="center"/>
      <protection hidden="1"/>
    </xf>
    <xf numFmtId="0" fontId="61" fillId="0" borderId="14" xfId="0" applyNumberFormat="1" applyFont="1" applyFill="1" applyBorder="1" applyAlignment="1" applyProtection="1">
      <alignment horizontal="center" vertical="center"/>
      <protection hidden="1"/>
    </xf>
    <xf numFmtId="164" fontId="61" fillId="0" borderId="23" xfId="0" applyNumberFormat="1" applyFont="1" applyFill="1" applyBorder="1" applyAlignment="1" applyProtection="1">
      <alignment horizontal="center" vertical="center"/>
      <protection hidden="1"/>
    </xf>
    <xf numFmtId="164" fontId="61" fillId="0" borderId="10" xfId="0" applyNumberFormat="1" applyFont="1" applyFill="1" applyBorder="1" applyAlignment="1" applyProtection="1">
      <alignment horizontal="center" vertical="center"/>
      <protection hidden="1"/>
    </xf>
    <xf numFmtId="164" fontId="61" fillId="0" borderId="15" xfId="0" applyNumberFormat="1" applyFont="1" applyFill="1" applyBorder="1" applyAlignment="1" applyProtection="1">
      <alignment horizontal="center" vertical="center"/>
      <protection hidden="1"/>
    </xf>
    <xf numFmtId="164" fontId="61" fillId="0" borderId="48" xfId="0" applyNumberFormat="1" applyFont="1" applyFill="1" applyBorder="1" applyAlignment="1" applyProtection="1">
      <alignment horizontal="center" vertical="center"/>
      <protection locked="0"/>
    </xf>
    <xf numFmtId="0" fontId="61" fillId="0" borderId="48" xfId="0" applyNumberFormat="1" applyFont="1" applyFill="1" applyBorder="1" applyAlignment="1" applyProtection="1">
      <alignment horizontal="center" vertical="center"/>
      <protection hidden="1"/>
    </xf>
    <xf numFmtId="0" fontId="61" fillId="0" borderId="25" xfId="0" applyNumberFormat="1" applyFont="1" applyFill="1" applyBorder="1" applyAlignment="1" applyProtection="1">
      <alignment horizontal="center" vertical="center"/>
      <protection locked="0"/>
    </xf>
    <xf numFmtId="2" fontId="61" fillId="0" borderId="3" xfId="0" applyNumberFormat="1" applyFont="1" applyBorder="1" applyAlignment="1" applyProtection="1">
      <alignment horizontal="center" vertical="center"/>
      <protection hidden="1"/>
    </xf>
    <xf numFmtId="2" fontId="61" fillId="0" borderId="15" xfId="0" applyNumberFormat="1" applyFont="1" applyBorder="1" applyAlignment="1" applyProtection="1">
      <alignment horizontal="center" vertical="center"/>
      <protection hidden="1"/>
    </xf>
    <xf numFmtId="0" fontId="61" fillId="0" borderId="48" xfId="0" applyNumberFormat="1" applyFont="1" applyFill="1" applyBorder="1" applyAlignment="1" applyProtection="1">
      <alignment horizontal="center" vertical="center"/>
      <protection locked="0"/>
    </xf>
    <xf numFmtId="0" fontId="61" fillId="6" borderId="23" xfId="0" applyNumberFormat="1" applyFont="1" applyFill="1" applyBorder="1" applyAlignment="1" applyProtection="1">
      <alignment horizontal="center" vertical="center"/>
      <protection hidden="1"/>
    </xf>
    <xf numFmtId="0" fontId="7" fillId="0" borderId="3" xfId="0" applyFont="1" applyBorder="1" applyAlignment="1" applyProtection="1">
      <alignment horizontal="center" vertical="center"/>
      <protection hidden="1"/>
    </xf>
    <xf numFmtId="0" fontId="2" fillId="0" borderId="25" xfId="14" applyNumberFormat="1" applyFont="1" applyFill="1" applyBorder="1" applyAlignment="1" applyProtection="1">
      <alignment horizontal="justify" vertical="center"/>
      <protection hidden="1"/>
    </xf>
    <xf numFmtId="0" fontId="4" fillId="0" borderId="48" xfId="14" applyNumberFormat="1" applyFont="1" applyFill="1" applyBorder="1" applyAlignment="1" applyProtection="1">
      <alignment horizontal="justify" vertical="center"/>
      <protection hidden="1"/>
    </xf>
    <xf numFmtId="0" fontId="5" fillId="0" borderId="15" xfId="0" applyNumberFormat="1" applyFont="1" applyFill="1" applyBorder="1" applyAlignment="1" applyProtection="1">
      <alignment horizontal="center" vertical="center"/>
      <protection locked="0"/>
    </xf>
    <xf numFmtId="0" fontId="5" fillId="0" borderId="32" xfId="0" applyNumberFormat="1" applyFont="1" applyFill="1" applyBorder="1" applyAlignment="1" applyProtection="1">
      <alignment horizontal="center" vertical="center"/>
      <protection hidden="1"/>
    </xf>
    <xf numFmtId="0" fontId="5" fillId="0" borderId="14" xfId="0" applyNumberFormat="1" applyFont="1" applyFill="1" applyBorder="1" applyAlignment="1" applyProtection="1">
      <alignment horizontal="center" vertical="center"/>
      <protection hidden="1"/>
    </xf>
    <xf numFmtId="164" fontId="5" fillId="0" borderId="23" xfId="0" applyNumberFormat="1" applyFont="1" applyFill="1" applyBorder="1" applyAlignment="1" applyProtection="1">
      <alignment horizontal="center" vertical="center"/>
      <protection hidden="1"/>
    </xf>
    <xf numFmtId="164" fontId="5" fillId="0" borderId="10" xfId="0" applyNumberFormat="1" applyFont="1" applyFill="1" applyBorder="1" applyAlignment="1" applyProtection="1">
      <alignment horizontal="center" vertical="center"/>
      <protection hidden="1"/>
    </xf>
    <xf numFmtId="164" fontId="5" fillId="0" borderId="15" xfId="0" applyNumberFormat="1" applyFont="1" applyFill="1" applyBorder="1" applyAlignment="1" applyProtection="1">
      <alignment horizontal="center" vertical="center"/>
      <protection hidden="1"/>
    </xf>
    <xf numFmtId="164" fontId="5" fillId="0" borderId="48" xfId="0" applyNumberFormat="1" applyFont="1" applyFill="1" applyBorder="1" applyAlignment="1" applyProtection="1">
      <alignment horizontal="center" vertical="center"/>
      <protection locked="0"/>
    </xf>
    <xf numFmtId="164" fontId="5" fillId="0" borderId="32" xfId="0" applyNumberFormat="1" applyFont="1" applyFill="1" applyBorder="1" applyAlignment="1" applyProtection="1">
      <alignment horizontal="center" vertical="center"/>
      <protection hidden="1"/>
    </xf>
    <xf numFmtId="164" fontId="5" fillId="0" borderId="14" xfId="0" applyNumberFormat="1" applyFont="1" applyFill="1" applyBorder="1" applyAlignment="1" applyProtection="1">
      <alignment horizontal="center" vertical="center"/>
      <protection hidden="1"/>
    </xf>
    <xf numFmtId="164" fontId="5" fillId="0" borderId="46" xfId="0" applyNumberFormat="1" applyFont="1" applyFill="1" applyBorder="1" applyAlignment="1" applyProtection="1">
      <alignment horizontal="center" vertical="center"/>
      <protection hidden="1"/>
    </xf>
    <xf numFmtId="2" fontId="5" fillId="0" borderId="30" xfId="0" applyNumberFormat="1" applyFont="1" applyFill="1" applyBorder="1" applyAlignment="1" applyProtection="1">
      <alignment horizontal="center" vertical="center"/>
      <protection hidden="1"/>
    </xf>
    <xf numFmtId="2" fontId="5" fillId="0" borderId="31" xfId="0" applyNumberFormat="1" applyFont="1" applyFill="1" applyBorder="1" applyAlignment="1" applyProtection="1">
      <alignment horizontal="center" vertical="center"/>
      <protection hidden="1"/>
    </xf>
    <xf numFmtId="0" fontId="5" fillId="0" borderId="30" xfId="0" applyNumberFormat="1" applyFont="1" applyFill="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hidden="1"/>
    </xf>
    <xf numFmtId="0" fontId="5" fillId="0" borderId="25" xfId="0" applyNumberFormat="1" applyFont="1" applyFill="1" applyBorder="1" applyAlignment="1" applyProtection="1">
      <alignment horizontal="center" vertical="center"/>
      <protection locked="0"/>
    </xf>
    <xf numFmtId="2" fontId="3" fillId="0" borderId="30" xfId="0" applyNumberFormat="1" applyFont="1" applyBorder="1" applyAlignment="1" applyProtection="1">
      <alignment horizontal="center" vertical="center"/>
      <protection hidden="1"/>
    </xf>
    <xf numFmtId="0" fontId="3" fillId="0" borderId="30" xfId="0" applyNumberFormat="1" applyFont="1" applyBorder="1" applyAlignment="1" applyProtection="1">
      <alignment horizontal="center" vertical="center"/>
      <protection hidden="1"/>
    </xf>
    <xf numFmtId="0" fontId="5" fillId="0" borderId="30" xfId="0" applyNumberFormat="1" applyFont="1" applyBorder="1" applyAlignment="1" applyProtection="1">
      <alignment horizontal="center" vertical="center"/>
      <protection hidden="1"/>
    </xf>
    <xf numFmtId="0" fontId="5" fillId="0" borderId="31" xfId="0" applyNumberFormat="1" applyFont="1" applyBorder="1" applyAlignment="1" applyProtection="1">
      <alignment horizontal="center" vertical="center"/>
      <protection hidden="1"/>
    </xf>
    <xf numFmtId="2" fontId="5" fillId="0" borderId="3" xfId="0" applyNumberFormat="1" applyFont="1" applyBorder="1" applyAlignment="1" applyProtection="1">
      <alignment horizontal="center" vertical="center"/>
      <protection hidden="1"/>
    </xf>
    <xf numFmtId="2" fontId="5" fillId="0" borderId="46" xfId="0" applyNumberFormat="1" applyFont="1" applyBorder="1" applyAlignment="1" applyProtection="1">
      <alignment horizontal="center" vertical="center"/>
      <protection hidden="1"/>
    </xf>
    <xf numFmtId="0" fontId="5" fillId="0" borderId="48" xfId="0" applyNumberFormat="1" applyFont="1" applyFill="1" applyBorder="1" applyAlignment="1" applyProtection="1">
      <alignment horizontal="center" vertical="center"/>
      <protection locked="0"/>
    </xf>
    <xf numFmtId="0" fontId="5" fillId="5" borderId="23" xfId="0" applyNumberFormat="1" applyFont="1" applyFill="1" applyBorder="1" applyAlignment="1" applyProtection="1">
      <alignment horizontal="center" vertical="center"/>
      <protection hidden="1"/>
    </xf>
    <xf numFmtId="0" fontId="5" fillId="5" borderId="3" xfId="0" applyNumberFormat="1" applyFont="1" applyFill="1" applyBorder="1" applyAlignment="1" applyProtection="1">
      <alignment horizontal="center" vertical="center"/>
      <protection hidden="1"/>
    </xf>
    <xf numFmtId="164" fontId="5" fillId="5" borderId="3" xfId="0" applyNumberFormat="1" applyFont="1" applyFill="1" applyBorder="1" applyAlignment="1" applyProtection="1">
      <alignment horizontal="center" vertical="center"/>
      <protection hidden="1"/>
    </xf>
    <xf numFmtId="0" fontId="5" fillId="2" borderId="2" xfId="0" applyNumberFormat="1" applyFont="1" applyFill="1" applyBorder="1" applyAlignment="1" applyProtection="1">
      <alignment horizontal="center" vertical="center"/>
      <protection hidden="1"/>
    </xf>
    <xf numFmtId="0" fontId="5" fillId="6" borderId="23" xfId="0" applyNumberFormat="1" applyFont="1" applyFill="1" applyBorder="1" applyAlignment="1" applyProtection="1">
      <alignment horizontal="center" vertical="center"/>
      <protection hidden="1"/>
    </xf>
    <xf numFmtId="0" fontId="5" fillId="6" borderId="3" xfId="0" applyNumberFormat="1" applyFont="1" applyFill="1" applyBorder="1" applyAlignment="1" applyProtection="1">
      <alignment horizontal="center" vertical="center"/>
      <protection hidden="1"/>
    </xf>
    <xf numFmtId="0" fontId="5" fillId="2" borderId="10" xfId="0" applyNumberFormat="1" applyFont="1" applyFill="1" applyBorder="1" applyAlignment="1" applyProtection="1">
      <alignment horizontal="center" vertical="center"/>
      <protection hidden="1"/>
    </xf>
    <xf numFmtId="0" fontId="5" fillId="6" borderId="2" xfId="0" applyNumberFormat="1" applyFont="1" applyFill="1" applyBorder="1" applyAlignment="1" applyProtection="1">
      <alignment horizontal="center" vertical="center"/>
      <protection hidden="1"/>
    </xf>
    <xf numFmtId="2" fontId="7" fillId="0" borderId="0" xfId="0" applyNumberFormat="1" applyFont="1" applyFill="1" applyProtection="1">
      <protection locked="0"/>
    </xf>
    <xf numFmtId="0" fontId="7" fillId="0" borderId="11" xfId="0" applyFont="1" applyBorder="1" applyAlignment="1" applyProtection="1">
      <alignment horizontal="center" vertical="center"/>
      <protection hidden="1"/>
    </xf>
    <xf numFmtId="0" fontId="2" fillId="0" borderId="26" xfId="14" applyNumberFormat="1" applyFont="1" applyFill="1" applyBorder="1" applyAlignment="1" applyProtection="1">
      <alignment horizontal="justify" vertical="center"/>
      <protection hidden="1"/>
    </xf>
    <xf numFmtId="0" fontId="4" fillId="0" borderId="49" xfId="14" applyNumberFormat="1" applyFont="1" applyFill="1" applyBorder="1" applyAlignment="1" applyProtection="1">
      <alignment horizontal="justify" vertical="center"/>
      <protection hidden="1"/>
    </xf>
    <xf numFmtId="0" fontId="5" fillId="0" borderId="17" xfId="0" applyNumberFormat="1" applyFont="1" applyFill="1" applyBorder="1" applyAlignment="1" applyProtection="1">
      <alignment horizontal="center" vertical="center"/>
      <protection locked="0"/>
    </xf>
    <xf numFmtId="0" fontId="5" fillId="0" borderId="50" xfId="0" applyNumberFormat="1" applyFont="1" applyFill="1" applyBorder="1" applyAlignment="1" applyProtection="1">
      <alignment horizontal="center" vertical="center"/>
      <protection hidden="1"/>
    </xf>
    <xf numFmtId="0" fontId="5" fillId="0" borderId="51" xfId="0" applyNumberFormat="1" applyFont="1" applyFill="1" applyBorder="1" applyAlignment="1" applyProtection="1">
      <alignment horizontal="center" vertical="center"/>
      <protection hidden="1"/>
    </xf>
    <xf numFmtId="164" fontId="5" fillId="0" borderId="49" xfId="0" applyNumberFormat="1" applyFont="1" applyFill="1" applyBorder="1" applyAlignment="1" applyProtection="1">
      <alignment horizontal="center" vertical="center"/>
      <protection locked="0"/>
    </xf>
    <xf numFmtId="2" fontId="5" fillId="0" borderId="52" xfId="0" applyNumberFormat="1" applyFont="1" applyFill="1" applyBorder="1" applyAlignment="1" applyProtection="1">
      <alignment horizontal="center" vertical="center"/>
      <protection hidden="1"/>
    </xf>
    <xf numFmtId="2" fontId="5" fillId="0" borderId="34" xfId="0" applyNumberFormat="1" applyFont="1" applyFill="1" applyBorder="1" applyAlignment="1" applyProtection="1">
      <alignment horizontal="center" vertical="center"/>
      <protection hidden="1"/>
    </xf>
    <xf numFmtId="0" fontId="5" fillId="0" borderId="52" xfId="0" applyNumberFormat="1" applyFont="1" applyFill="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hidden="1"/>
    </xf>
    <xf numFmtId="0" fontId="5" fillId="0" borderId="26" xfId="0" applyNumberFormat="1" applyFont="1" applyFill="1" applyBorder="1" applyAlignment="1" applyProtection="1">
      <alignment horizontal="center" vertical="center"/>
      <protection locked="0"/>
    </xf>
    <xf numFmtId="2" fontId="3" fillId="0" borderId="52" xfId="0" applyNumberFormat="1" applyFont="1" applyBorder="1" applyAlignment="1" applyProtection="1">
      <alignment horizontal="center" vertical="center"/>
      <protection hidden="1"/>
    </xf>
    <xf numFmtId="0" fontId="3" fillId="0" borderId="52" xfId="0" applyNumberFormat="1" applyFont="1" applyBorder="1" applyAlignment="1" applyProtection="1">
      <alignment horizontal="center" vertical="center"/>
      <protection hidden="1"/>
    </xf>
    <xf numFmtId="0" fontId="5" fillId="0" borderId="52" xfId="0" applyNumberFormat="1" applyFont="1" applyBorder="1" applyAlignment="1" applyProtection="1">
      <alignment horizontal="center" vertical="center"/>
      <protection hidden="1"/>
    </xf>
    <xf numFmtId="0" fontId="5" fillId="0" borderId="34" xfId="0" applyNumberFormat="1" applyFont="1" applyBorder="1" applyAlignment="1" applyProtection="1">
      <alignment horizontal="center" vertical="center"/>
      <protection hidden="1"/>
    </xf>
    <xf numFmtId="2" fontId="5" fillId="0" borderId="11" xfId="0" applyNumberFormat="1" applyFont="1" applyBorder="1" applyAlignment="1" applyProtection="1">
      <alignment horizontal="center" vertical="center"/>
      <protection hidden="1"/>
    </xf>
    <xf numFmtId="2" fontId="5" fillId="0" borderId="53" xfId="0" applyNumberFormat="1" applyFont="1" applyBorder="1" applyAlignment="1" applyProtection="1">
      <alignment horizontal="center" vertical="center"/>
      <protection hidden="1"/>
    </xf>
    <xf numFmtId="0" fontId="5" fillId="0" borderId="49" xfId="0" applyNumberFormat="1" applyFont="1" applyFill="1" applyBorder="1" applyAlignment="1" applyProtection="1">
      <alignment horizontal="center" vertical="center"/>
      <protection locked="0"/>
    </xf>
    <xf numFmtId="0" fontId="5" fillId="5" borderId="24" xfId="0" applyNumberFormat="1" applyFont="1" applyFill="1" applyBorder="1" applyAlignment="1" applyProtection="1">
      <alignment horizontal="center" vertical="center"/>
      <protection hidden="1"/>
    </xf>
    <xf numFmtId="0" fontId="5" fillId="5" borderId="11" xfId="0" applyNumberFormat="1" applyFont="1" applyFill="1" applyBorder="1" applyAlignment="1" applyProtection="1">
      <alignment horizontal="center" vertical="center"/>
      <protection hidden="1"/>
    </xf>
    <xf numFmtId="0" fontId="5" fillId="6" borderId="11" xfId="0" applyNumberFormat="1" applyFont="1" applyFill="1" applyBorder="1" applyAlignment="1" applyProtection="1">
      <alignment horizontal="center" vertical="center"/>
      <protection hidden="1"/>
    </xf>
    <xf numFmtId="0" fontId="5" fillId="0" borderId="0" xfId="0" applyFont="1" applyFill="1" applyBorder="1" applyAlignment="1" applyProtection="1">
      <protection locked="0"/>
    </xf>
    <xf numFmtId="0" fontId="0" fillId="0" borderId="0" xfId="0" applyProtection="1">
      <protection locked="0"/>
    </xf>
    <xf numFmtId="0" fontId="5" fillId="0" borderId="0" xfId="0" applyFont="1" applyFill="1" applyAlignment="1" applyProtection="1">
      <protection locked="0"/>
    </xf>
    <xf numFmtId="0" fontId="16" fillId="0" borderId="0" xfId="0" applyFont="1" applyFill="1" applyAlignment="1" applyProtection="1">
      <protection locked="0"/>
    </xf>
    <xf numFmtId="0" fontId="15" fillId="0" borderId="0" xfId="0" applyFont="1" applyFill="1" applyAlignment="1" applyProtection="1">
      <protection locked="0"/>
    </xf>
    <xf numFmtId="0" fontId="16" fillId="0" borderId="0" xfId="0" applyFont="1" applyFill="1" applyAlignment="1" applyProtection="1">
      <alignment horizontal="center"/>
      <protection locked="0"/>
    </xf>
    <xf numFmtId="0" fontId="35" fillId="0" borderId="0" xfId="0" applyFont="1" applyProtection="1">
      <protection locked="0"/>
    </xf>
    <xf numFmtId="0" fontId="16" fillId="0" borderId="0" xfId="0" applyFont="1" applyFill="1" applyAlignment="1" applyProtection="1">
      <alignment horizontal="right"/>
      <protection locked="0"/>
    </xf>
    <xf numFmtId="0" fontId="3" fillId="0" borderId="41" xfId="0" applyNumberFormat="1" applyFont="1" applyFill="1" applyBorder="1" applyAlignment="1" applyProtection="1">
      <alignment horizontal="center" vertical="center" textRotation="90" wrapText="1" shrinkToFit="1"/>
      <protection hidden="1"/>
    </xf>
    <xf numFmtId="0" fontId="3" fillId="0" borderId="8" xfId="0" applyNumberFormat="1" applyFont="1" applyFill="1" applyBorder="1" applyAlignment="1" applyProtection="1">
      <alignment horizontal="center" vertical="center" textRotation="90" wrapText="1" shrinkToFit="1"/>
      <protection hidden="1"/>
    </xf>
    <xf numFmtId="0" fontId="5" fillId="0" borderId="8" xfId="0" applyNumberFormat="1" applyFont="1" applyFill="1" applyBorder="1" applyAlignment="1" applyProtection="1">
      <alignment horizontal="center" vertical="center" textRotation="90" wrapText="1" shrinkToFit="1"/>
      <protection hidden="1"/>
    </xf>
    <xf numFmtId="0" fontId="3" fillId="0" borderId="54" xfId="0" applyNumberFormat="1" applyFont="1" applyFill="1" applyBorder="1" applyAlignment="1" applyProtection="1">
      <alignment horizontal="center" vertical="center" textRotation="90" wrapText="1" shrinkToFit="1"/>
      <protection hidden="1"/>
    </xf>
    <xf numFmtId="0" fontId="3" fillId="0" borderId="41" xfId="0" applyNumberFormat="1" applyFont="1" applyFill="1" applyBorder="1" applyAlignment="1" applyProtection="1">
      <alignment horizontal="center" vertical="center" wrapText="1" shrinkToFit="1"/>
      <protection hidden="1"/>
    </xf>
    <xf numFmtId="0" fontId="3" fillId="0" borderId="8" xfId="0" applyNumberFormat="1" applyFont="1" applyFill="1" applyBorder="1" applyAlignment="1" applyProtection="1">
      <alignment horizontal="center" vertical="center" wrapText="1" shrinkToFit="1"/>
      <protection hidden="1"/>
    </xf>
    <xf numFmtId="0" fontId="5" fillId="0" borderId="8" xfId="0" applyNumberFormat="1" applyFont="1" applyFill="1" applyBorder="1" applyAlignment="1" applyProtection="1">
      <alignment horizontal="center" vertical="center" wrapText="1" shrinkToFit="1"/>
      <protection hidden="1"/>
    </xf>
    <xf numFmtId="0" fontId="5" fillId="0" borderId="55" xfId="0" applyNumberFormat="1" applyFont="1" applyFill="1" applyBorder="1" applyAlignment="1" applyProtection="1">
      <alignment horizontal="center" vertical="center"/>
      <protection hidden="1"/>
    </xf>
    <xf numFmtId="0" fontId="3" fillId="0" borderId="54" xfId="0" applyNumberFormat="1" applyFont="1" applyFill="1" applyBorder="1" applyAlignment="1" applyProtection="1">
      <alignment horizontal="center" vertical="center" wrapText="1" shrinkToFit="1"/>
      <protection hidden="1"/>
    </xf>
    <xf numFmtId="0" fontId="5" fillId="0" borderId="0" xfId="0" applyFont="1" applyFill="1" applyBorder="1" applyAlignment="1" applyProtection="1">
      <protection hidden="1"/>
    </xf>
    <xf numFmtId="0" fontId="5" fillId="0" borderId="15" xfId="0" applyFont="1" applyFill="1" applyBorder="1" applyAlignment="1" applyProtection="1">
      <alignment horizontal="center"/>
      <protection hidden="1"/>
    </xf>
    <xf numFmtId="0" fontId="5" fillId="0" borderId="25" xfId="0" applyFont="1" applyBorder="1" applyAlignment="1" applyProtection="1">
      <alignment vertical="center" shrinkToFit="1"/>
      <protection hidden="1"/>
    </xf>
    <xf numFmtId="0" fontId="5" fillId="0" borderId="48" xfId="0" applyFont="1" applyBorder="1" applyAlignment="1" applyProtection="1">
      <alignment vertical="center" shrinkToFit="1"/>
      <protection hidden="1"/>
    </xf>
    <xf numFmtId="164" fontId="5" fillId="0" borderId="0" xfId="0" applyNumberFormat="1" applyFont="1" applyBorder="1" applyProtection="1">
      <protection hidden="1"/>
    </xf>
    <xf numFmtId="164" fontId="5" fillId="0" borderId="20" xfId="0" applyNumberFormat="1" applyFont="1" applyBorder="1" applyProtection="1">
      <protection hidden="1"/>
    </xf>
    <xf numFmtId="0" fontId="5" fillId="2" borderId="20" xfId="0" applyNumberFormat="1" applyFont="1" applyFill="1" applyBorder="1" applyProtection="1">
      <protection hidden="1"/>
    </xf>
    <xf numFmtId="0" fontId="5" fillId="0" borderId="20" xfId="0" applyNumberFormat="1" applyFont="1" applyFill="1" applyBorder="1" applyProtection="1">
      <protection hidden="1"/>
    </xf>
    <xf numFmtId="0" fontId="5" fillId="0" borderId="0" xfId="0" applyNumberFormat="1" applyFont="1" applyFill="1" applyBorder="1" applyProtection="1">
      <protection hidden="1"/>
    </xf>
    <xf numFmtId="0" fontId="5" fillId="2" borderId="19" xfId="0" applyNumberFormat="1" applyFont="1" applyFill="1" applyBorder="1" applyProtection="1">
      <protection hidden="1"/>
    </xf>
    <xf numFmtId="0" fontId="5" fillId="2" borderId="0" xfId="0" applyNumberFormat="1" applyFont="1" applyFill="1" applyProtection="1">
      <protection hidden="1"/>
    </xf>
    <xf numFmtId="0" fontId="5" fillId="0" borderId="19" xfId="0" applyNumberFormat="1" applyFont="1" applyFill="1" applyBorder="1" applyProtection="1">
      <protection hidden="1"/>
    </xf>
    <xf numFmtId="0" fontId="5" fillId="0" borderId="15" xfId="0" applyFont="1" applyBorder="1" applyAlignment="1" applyProtection="1">
      <alignment horizontal="justify" vertical="center"/>
      <protection locked="0"/>
    </xf>
    <xf numFmtId="0" fontId="5" fillId="0" borderId="17" xfId="0" applyFont="1" applyFill="1" applyBorder="1" applyAlignment="1" applyProtection="1">
      <alignment horizontal="center"/>
      <protection hidden="1"/>
    </xf>
    <xf numFmtId="0" fontId="5" fillId="0" borderId="17" xfId="0" applyFont="1" applyBorder="1" applyAlignment="1" applyProtection="1">
      <alignment horizontal="justify" vertical="center"/>
      <protection locked="0"/>
    </xf>
    <xf numFmtId="0" fontId="5" fillId="0" borderId="26" xfId="0" applyFont="1" applyBorder="1" applyAlignment="1" applyProtection="1">
      <alignment vertical="center" shrinkToFit="1"/>
      <protection hidden="1"/>
    </xf>
    <xf numFmtId="0" fontId="5" fillId="0" borderId="49" xfId="0" applyFont="1" applyBorder="1" applyAlignment="1" applyProtection="1">
      <alignment vertical="center" shrinkToFit="1"/>
      <protection hidden="1"/>
    </xf>
    <xf numFmtId="164" fontId="5" fillId="0" borderId="34" xfId="0" applyNumberFormat="1" applyFont="1" applyBorder="1" applyProtection="1">
      <protection hidden="1"/>
    </xf>
    <xf numFmtId="164" fontId="5" fillId="0" borderId="16" xfId="0" applyNumberFormat="1" applyFont="1" applyBorder="1" applyProtection="1">
      <protection hidden="1"/>
    </xf>
    <xf numFmtId="0" fontId="18" fillId="0" borderId="3" xfId="0" applyFont="1" applyFill="1" applyBorder="1" applyAlignment="1" applyProtection="1">
      <alignment horizontal="center"/>
      <protection locked="0"/>
    </xf>
    <xf numFmtId="1" fontId="18" fillId="0" borderId="3" xfId="0" applyNumberFormat="1" applyFont="1" applyFill="1" applyBorder="1" applyAlignment="1" applyProtection="1">
      <alignment horizontal="center" vertical="center" wrapText="1"/>
      <protection locked="0"/>
    </xf>
    <xf numFmtId="1" fontId="18" fillId="0" borderId="3" xfId="0" applyNumberFormat="1" applyFont="1" applyFill="1" applyBorder="1" applyAlignment="1" applyProtection="1">
      <alignment horizontal="center"/>
      <protection locked="0"/>
    </xf>
    <xf numFmtId="0" fontId="5" fillId="0" borderId="56" xfId="0" applyFont="1" applyFill="1" applyBorder="1" applyProtection="1">
      <protection hidden="1"/>
    </xf>
    <xf numFmtId="0" fontId="5" fillId="0" borderId="57" xfId="0" applyFont="1" applyFill="1" applyBorder="1" applyProtection="1">
      <protection hidden="1"/>
    </xf>
    <xf numFmtId="0" fontId="3" fillId="0" borderId="0" xfId="0" applyFont="1" applyFill="1" applyProtection="1">
      <protection hidden="1"/>
    </xf>
    <xf numFmtId="0" fontId="3" fillId="0" borderId="56" xfId="0" applyFont="1" applyFill="1" applyBorder="1" applyProtection="1">
      <protection hidden="1"/>
    </xf>
    <xf numFmtId="0" fontId="3" fillId="0" borderId="57" xfId="0" applyFont="1" applyFill="1" applyBorder="1" applyProtection="1">
      <protection hidden="1"/>
    </xf>
    <xf numFmtId="0" fontId="30" fillId="0" borderId="0" xfId="0" applyFont="1" applyFill="1" applyBorder="1" applyAlignment="1" applyProtection="1">
      <alignment horizontal="right"/>
      <protection hidden="1"/>
    </xf>
    <xf numFmtId="0" fontId="3" fillId="0" borderId="44" xfId="0" quotePrefix="1" applyFont="1" applyFill="1" applyBorder="1" applyAlignment="1" applyProtection="1">
      <alignment horizontal="center" vertical="center"/>
      <protection hidden="1"/>
    </xf>
    <xf numFmtId="0" fontId="3" fillId="0" borderId="39" xfId="0" applyFont="1" applyFill="1" applyBorder="1" applyAlignment="1" applyProtection="1">
      <alignment horizontal="center" vertical="center"/>
      <protection hidden="1"/>
    </xf>
    <xf numFmtId="0" fontId="5" fillId="0" borderId="0" xfId="0" applyFont="1" applyFill="1" applyAlignment="1" applyProtection="1">
      <alignment horizontal="center" vertical="center"/>
      <protection hidden="1"/>
    </xf>
    <xf numFmtId="0" fontId="5" fillId="0" borderId="56" xfId="0" applyFont="1" applyFill="1" applyBorder="1" applyAlignment="1" applyProtection="1">
      <alignment horizontal="center" vertical="center"/>
      <protection hidden="1"/>
    </xf>
    <xf numFmtId="0" fontId="5" fillId="0" borderId="57" xfId="0" applyFont="1" applyFill="1" applyBorder="1" applyAlignment="1" applyProtection="1">
      <alignment horizontal="center" vertical="center"/>
      <protection hidden="1"/>
    </xf>
    <xf numFmtId="0" fontId="5" fillId="0" borderId="30" xfId="0" applyFont="1" applyFill="1" applyBorder="1" applyAlignment="1" applyProtection="1">
      <alignment horizontal="center" vertical="center"/>
      <protection hidden="1"/>
    </xf>
    <xf numFmtId="0" fontId="5" fillId="0" borderId="6" xfId="0" applyFont="1" applyBorder="1" applyAlignment="1" applyProtection="1">
      <alignment horizontal="center" vertical="center"/>
      <protection hidden="1"/>
    </xf>
    <xf numFmtId="0" fontId="5" fillId="0" borderId="31" xfId="14" applyNumberFormat="1" applyFont="1" applyFill="1" applyBorder="1" applyAlignment="1" applyProtection="1">
      <alignment horizontal="justify" vertical="center"/>
      <protection hidden="1"/>
    </xf>
    <xf numFmtId="0" fontId="3" fillId="0" borderId="46" xfId="14" applyNumberFormat="1" applyFont="1" applyFill="1" applyBorder="1" applyAlignment="1" applyProtection="1">
      <alignment horizontal="justify" vertical="center"/>
      <protection hidden="1"/>
    </xf>
    <xf numFmtId="0" fontId="5" fillId="0" borderId="0" xfId="0" applyFont="1" applyFill="1" applyAlignment="1" applyProtection="1">
      <alignment vertical="center"/>
      <protection hidden="1"/>
    </xf>
    <xf numFmtId="0" fontId="5" fillId="0" borderId="56" xfId="0" applyFont="1" applyFill="1" applyBorder="1" applyAlignment="1" applyProtection="1">
      <alignment vertical="center"/>
      <protection hidden="1"/>
    </xf>
    <xf numFmtId="0" fontId="5" fillId="0" borderId="57" xfId="0" applyFont="1" applyFill="1" applyBorder="1" applyAlignment="1" applyProtection="1">
      <alignment vertical="center"/>
      <protection hidden="1"/>
    </xf>
    <xf numFmtId="0" fontId="5" fillId="0" borderId="0" xfId="0" applyFont="1" applyFill="1" applyBorder="1" applyAlignment="1" applyProtection="1">
      <alignment vertical="center"/>
      <protection hidden="1"/>
    </xf>
    <xf numFmtId="0" fontId="3" fillId="0" borderId="1" xfId="0" applyFont="1" applyFill="1" applyBorder="1" applyAlignment="1" applyProtection="1">
      <alignment horizontal="center" vertical="center"/>
      <protection hidden="1"/>
    </xf>
    <xf numFmtId="0" fontId="5" fillId="0" borderId="29" xfId="0" applyFont="1" applyBorder="1" applyAlignment="1" applyProtection="1">
      <alignment horizontal="center" vertical="center"/>
      <protection hidden="1"/>
    </xf>
    <xf numFmtId="2" fontId="3" fillId="0" borderId="17" xfId="0" applyNumberFormat="1" applyFont="1" applyBorder="1" applyAlignment="1" applyProtection="1">
      <alignment horizontal="center" vertical="center"/>
      <protection hidden="1"/>
    </xf>
    <xf numFmtId="0" fontId="54" fillId="0" borderId="3" xfId="16" applyFont="1" applyBorder="1" applyAlignment="1">
      <alignment vertical="center"/>
    </xf>
    <xf numFmtId="0" fontId="25" fillId="0" borderId="3" xfId="16" applyFont="1" applyBorder="1" applyAlignment="1">
      <alignment vertical="center"/>
    </xf>
    <xf numFmtId="0" fontId="41" fillId="0" borderId="0" xfId="0" applyFont="1" applyProtection="1">
      <protection hidden="1"/>
    </xf>
    <xf numFmtId="0" fontId="5" fillId="0" borderId="3" xfId="0" applyFont="1" applyBorder="1" applyAlignment="1">
      <alignment horizontal="center" vertical="center"/>
    </xf>
    <xf numFmtId="0" fontId="5" fillId="0" borderId="21" xfId="0" applyFont="1" applyBorder="1" applyAlignment="1">
      <alignment vertical="center"/>
    </xf>
    <xf numFmtId="0" fontId="3" fillId="0" borderId="22" xfId="0" applyFont="1" applyBorder="1" applyAlignment="1">
      <alignment vertical="center"/>
    </xf>
    <xf numFmtId="0" fontId="54" fillId="0" borderId="3" xfId="0" applyFont="1" applyBorder="1" applyAlignment="1">
      <alignment horizontal="center" vertical="center"/>
    </xf>
    <xf numFmtId="0" fontId="54" fillId="0" borderId="21" xfId="0" applyFont="1" applyBorder="1" applyAlignment="1">
      <alignment vertical="center"/>
    </xf>
    <xf numFmtId="0" fontId="30" fillId="0" borderId="22" xfId="0" applyFont="1" applyBorder="1" applyAlignment="1">
      <alignment vertical="center"/>
    </xf>
    <xf numFmtId="0" fontId="5" fillId="0" borderId="3" xfId="0" applyFont="1" applyBorder="1" applyAlignment="1">
      <alignment horizontal="left" vertical="center"/>
    </xf>
    <xf numFmtId="0" fontId="54" fillId="0" borderId="3" xfId="0" applyFont="1" applyBorder="1" applyAlignment="1">
      <alignment horizontal="left" vertical="center"/>
    </xf>
    <xf numFmtId="14" fontId="5" fillId="0" borderId="3" xfId="0" applyNumberFormat="1" applyFont="1" applyBorder="1" applyAlignment="1">
      <alignment horizontal="center" vertical="center"/>
    </xf>
    <xf numFmtId="0" fontId="25" fillId="0" borderId="3" xfId="0" applyFont="1" applyBorder="1" applyAlignment="1">
      <alignment horizontal="center" vertical="center"/>
    </xf>
    <xf numFmtId="0" fontId="66" fillId="0" borderId="21" xfId="0" applyFont="1" applyBorder="1"/>
    <xf numFmtId="0" fontId="25" fillId="0" borderId="3" xfId="16" applyFont="1" applyBorder="1" applyAlignment="1">
      <alignment horizontal="center" vertical="center"/>
    </xf>
    <xf numFmtId="0" fontId="38" fillId="0" borderId="0" xfId="0" applyFont="1" applyBorder="1" applyProtection="1">
      <protection hidden="1"/>
    </xf>
    <xf numFmtId="0" fontId="54" fillId="0" borderId="3" xfId="0" applyFont="1" applyBorder="1" applyAlignment="1" applyProtection="1">
      <alignment horizontal="center" vertical="center"/>
      <protection locked="0"/>
    </xf>
    <xf numFmtId="0" fontId="41" fillId="0" borderId="3" xfId="0" applyFont="1" applyBorder="1" applyProtection="1">
      <protection hidden="1"/>
    </xf>
    <xf numFmtId="0" fontId="5" fillId="0" borderId="3" xfId="0" applyFont="1" applyBorder="1" applyAlignment="1">
      <alignment vertical="center"/>
    </xf>
    <xf numFmtId="0" fontId="29" fillId="0" borderId="3" xfId="0" applyFont="1" applyBorder="1" applyAlignment="1">
      <alignment vertical="center"/>
    </xf>
    <xf numFmtId="49" fontId="54" fillId="0" borderId="3" xfId="0" applyNumberFormat="1" applyFont="1" applyBorder="1" applyAlignment="1">
      <alignment vertical="center"/>
    </xf>
    <xf numFmtId="0" fontId="54" fillId="0" borderId="3" xfId="0" applyFont="1" applyBorder="1" applyAlignment="1">
      <alignment vertical="center"/>
    </xf>
    <xf numFmtId="0" fontId="30" fillId="0" borderId="3" xfId="0" applyFont="1" applyBorder="1" applyAlignment="1">
      <alignment vertical="center"/>
    </xf>
    <xf numFmtId="0" fontId="25" fillId="0" borderId="3" xfId="0" applyFont="1" applyBorder="1" applyAlignment="1">
      <alignment horizontal="left" vertical="center"/>
    </xf>
    <xf numFmtId="0" fontId="25" fillId="0" borderId="3" xfId="0" applyFont="1" applyBorder="1" applyAlignment="1">
      <alignment vertical="center"/>
    </xf>
    <xf numFmtId="0" fontId="30" fillId="0" borderId="3" xfId="0" applyFont="1" applyBorder="1" applyAlignment="1">
      <alignment horizontal="left" vertical="center"/>
    </xf>
    <xf numFmtId="49" fontId="30" fillId="0" borderId="3" xfId="0" applyNumberFormat="1" applyFont="1" applyBorder="1" applyAlignment="1">
      <alignment horizontal="left" vertical="center"/>
    </xf>
    <xf numFmtId="0" fontId="29" fillId="0" borderId="3" xfId="0" applyFont="1" applyBorder="1" applyAlignment="1">
      <alignment horizontal="left" vertical="center"/>
    </xf>
    <xf numFmtId="0" fontId="3" fillId="0" borderId="21" xfId="0" applyFont="1" applyBorder="1" applyAlignment="1" applyProtection="1">
      <alignment horizontal="center" vertical="center"/>
      <protection hidden="1"/>
    </xf>
    <xf numFmtId="0" fontId="3" fillId="0" borderId="22" xfId="0" applyFont="1" applyBorder="1" applyAlignment="1" applyProtection="1">
      <alignment vertical="center"/>
      <protection hidden="1"/>
    </xf>
    <xf numFmtId="9" fontId="38" fillId="0" borderId="0" xfId="17" applyFont="1" applyProtection="1">
      <protection hidden="1"/>
    </xf>
    <xf numFmtId="0" fontId="15" fillId="0" borderId="0" xfId="0" applyFont="1" applyFill="1" applyProtection="1">
      <protection locked="0"/>
    </xf>
    <xf numFmtId="0" fontId="15" fillId="0" borderId="0" xfId="0" applyFont="1" applyFill="1" applyBorder="1" applyAlignment="1" applyProtection="1">
      <alignment horizontal="right"/>
      <protection locked="0"/>
    </xf>
    <xf numFmtId="0" fontId="15" fillId="0" borderId="0" xfId="0" applyFont="1" applyFill="1" applyBorder="1" applyAlignment="1" applyProtection="1">
      <protection hidden="1"/>
    </xf>
    <xf numFmtId="0" fontId="67" fillId="0" borderId="0" xfId="0" applyFont="1" applyFill="1" applyProtection="1">
      <protection locked="0"/>
    </xf>
    <xf numFmtId="0" fontId="38" fillId="0" borderId="57" xfId="0" applyFont="1" applyBorder="1" applyProtection="1">
      <protection hidden="1"/>
    </xf>
    <xf numFmtId="0" fontId="5" fillId="0" borderId="58" xfId="0" applyNumberFormat="1" applyFont="1" applyFill="1" applyBorder="1" applyAlignment="1" applyProtection="1">
      <alignment horizontal="center" vertical="center" textRotation="90" wrapText="1" shrinkToFit="1"/>
      <protection hidden="1"/>
    </xf>
    <xf numFmtId="0" fontId="38" fillId="0" borderId="19" xfId="0" applyFont="1" applyBorder="1" applyProtection="1">
      <protection hidden="1"/>
    </xf>
    <xf numFmtId="0" fontId="38" fillId="0" borderId="57" xfId="0" applyFont="1" applyBorder="1" applyProtection="1">
      <protection locked="0"/>
    </xf>
    <xf numFmtId="0" fontId="38" fillId="0" borderId="0" xfId="0" applyFont="1" applyProtection="1">
      <protection locked="0"/>
    </xf>
    <xf numFmtId="0" fontId="5" fillId="0" borderId="3" xfId="0" applyFont="1" applyFill="1" applyBorder="1" applyAlignment="1" applyProtection="1">
      <alignment horizontal="center" vertical="center" wrapText="1"/>
      <protection locked="0"/>
    </xf>
    <xf numFmtId="0" fontId="5" fillId="7" borderId="3" xfId="0" applyFont="1" applyFill="1" applyBorder="1" applyAlignment="1" applyProtection="1">
      <alignment horizontal="center" vertical="center"/>
      <protection locked="0"/>
    </xf>
    <xf numFmtId="0" fontId="7" fillId="0" borderId="3" xfId="0" applyFont="1" applyFill="1" applyBorder="1" applyAlignment="1" applyProtection="1">
      <alignment horizontal="center" vertical="center"/>
      <protection locked="0"/>
    </xf>
    <xf numFmtId="0" fontId="0" fillId="0" borderId="3" xfId="0" applyBorder="1" applyAlignment="1" applyProtection="1">
      <alignment horizontal="center"/>
      <protection locked="0" hidden="1"/>
    </xf>
    <xf numFmtId="0" fontId="2" fillId="7" borderId="3" xfId="14" applyFont="1" applyFill="1" applyBorder="1" applyAlignment="1" applyProtection="1">
      <alignment horizontal="center" vertical="center"/>
      <protection locked="0"/>
    </xf>
    <xf numFmtId="164" fontId="3" fillId="0" borderId="81" xfId="0" quotePrefix="1" applyNumberFormat="1" applyFont="1" applyFill="1" applyBorder="1" applyAlignment="1" applyProtection="1">
      <alignment horizontal="center"/>
      <protection locked="0"/>
    </xf>
    <xf numFmtId="164" fontId="3" fillId="0" borderId="3" xfId="0" quotePrefix="1" applyNumberFormat="1" applyFont="1" applyFill="1" applyBorder="1" applyAlignment="1" applyProtection="1">
      <alignment horizontal="center"/>
      <protection locked="0"/>
    </xf>
    <xf numFmtId="164" fontId="3" fillId="0" borderId="74" xfId="0" quotePrefix="1" applyNumberFormat="1" applyFont="1" applyFill="1" applyBorder="1" applyAlignment="1" applyProtection="1">
      <alignment horizontal="center"/>
      <protection locked="0"/>
    </xf>
    <xf numFmtId="164" fontId="3" fillId="0" borderId="7" xfId="0" quotePrefix="1" applyNumberFormat="1" applyFont="1" applyFill="1" applyBorder="1" applyAlignment="1" applyProtection="1">
      <alignment horizontal="center"/>
      <protection locked="0"/>
    </xf>
    <xf numFmtId="0" fontId="10" fillId="3" borderId="7" xfId="0" applyFont="1" applyFill="1" applyBorder="1" applyAlignment="1" applyProtection="1">
      <alignment horizontal="center"/>
      <protection locked="0"/>
    </xf>
    <xf numFmtId="0" fontId="4" fillId="0" borderId="3" xfId="0" applyFont="1" applyBorder="1" applyAlignment="1" applyProtection="1">
      <alignment vertical="center"/>
      <protection locked="0"/>
    </xf>
    <xf numFmtId="164" fontId="5" fillId="0" borderId="3" xfId="0" quotePrefix="1" applyNumberFormat="1" applyFont="1" applyFill="1" applyBorder="1" applyAlignment="1" applyProtection="1">
      <alignment horizontal="center"/>
      <protection locked="0"/>
    </xf>
    <xf numFmtId="0" fontId="13" fillId="0" borderId="3" xfId="0" applyFont="1" applyBorder="1" applyAlignment="1" applyProtection="1">
      <alignment vertical="center"/>
      <protection locked="0"/>
    </xf>
    <xf numFmtId="0" fontId="3" fillId="3" borderId="3" xfId="0" applyFont="1" applyFill="1" applyBorder="1" applyAlignment="1" applyProtection="1">
      <alignment horizontal="center"/>
      <protection locked="0"/>
    </xf>
    <xf numFmtId="0" fontId="3" fillId="8" borderId="3" xfId="0" applyFont="1" applyFill="1" applyBorder="1" applyAlignment="1" applyProtection="1">
      <alignment horizontal="center"/>
      <protection locked="0"/>
    </xf>
    <xf numFmtId="175" fontId="2" fillId="0" borderId="6" xfId="14" applyNumberFormat="1" applyFont="1" applyFill="1" applyBorder="1" applyAlignment="1" applyProtection="1">
      <alignment horizontal="center"/>
      <protection locked="0"/>
    </xf>
    <xf numFmtId="175" fontId="2" fillId="0" borderId="3" xfId="14" applyNumberFormat="1" applyFont="1" applyFill="1" applyBorder="1" applyAlignment="1" applyProtection="1">
      <alignment horizontal="center"/>
      <protection locked="0"/>
    </xf>
    <xf numFmtId="164" fontId="5" fillId="0" borderId="82" xfId="0" quotePrefix="1" applyNumberFormat="1" applyFont="1" applyFill="1" applyBorder="1" applyAlignment="1" applyProtection="1">
      <alignment horizontal="center"/>
      <protection locked="0"/>
    </xf>
    <xf numFmtId="0" fontId="68" fillId="0" borderId="3" xfId="0" applyFont="1" applyBorder="1" applyAlignment="1" applyProtection="1">
      <alignment horizontal="center"/>
      <protection locked="0"/>
    </xf>
    <xf numFmtId="164" fontId="5" fillId="0" borderId="82" xfId="0" applyNumberFormat="1" applyFont="1" applyFill="1" applyBorder="1" applyAlignment="1" applyProtection="1">
      <alignment horizontal="center"/>
      <protection locked="0"/>
    </xf>
    <xf numFmtId="164" fontId="3" fillId="0" borderId="82" xfId="0" quotePrefix="1" applyNumberFormat="1" applyFont="1" applyFill="1" applyBorder="1" applyAlignment="1" applyProtection="1">
      <alignment horizontal="center"/>
      <protection locked="0"/>
    </xf>
    <xf numFmtId="164" fontId="3" fillId="0" borderId="82" xfId="0" applyNumberFormat="1" applyFont="1" applyFill="1" applyBorder="1" applyAlignment="1" applyProtection="1">
      <alignment horizontal="center"/>
      <protection locked="0"/>
    </xf>
    <xf numFmtId="0" fontId="3" fillId="3" borderId="82" xfId="0" applyFont="1" applyFill="1" applyBorder="1" applyAlignment="1" applyProtection="1">
      <alignment horizontal="center"/>
      <protection locked="0"/>
    </xf>
    <xf numFmtId="0" fontId="34" fillId="0" borderId="3" xfId="13" applyFont="1" applyFill="1" applyBorder="1" applyAlignment="1" applyProtection="1">
      <alignment horizontal="justify" vertical="center" wrapText="1"/>
      <protection hidden="1"/>
    </xf>
    <xf numFmtId="0" fontId="33" fillId="0" borderId="3" xfId="0" applyFont="1" applyFill="1" applyBorder="1" applyAlignment="1" applyProtection="1">
      <alignment horizontal="center" vertical="center" wrapText="1"/>
      <protection hidden="1"/>
    </xf>
    <xf numFmtId="0" fontId="34" fillId="0" borderId="21" xfId="13" applyFont="1" applyFill="1" applyBorder="1" applyAlignment="1" applyProtection="1">
      <alignment horizontal="justify" vertical="center" wrapText="1"/>
      <protection hidden="1"/>
    </xf>
    <xf numFmtId="0" fontId="34" fillId="0" borderId="2" xfId="13" applyFont="1" applyFill="1" applyBorder="1" applyAlignment="1" applyProtection="1">
      <alignment horizontal="justify" vertical="center" wrapText="1"/>
      <protection hidden="1"/>
    </xf>
    <xf numFmtId="0" fontId="34" fillId="0" borderId="22" xfId="13" applyFont="1" applyFill="1" applyBorder="1" applyAlignment="1" applyProtection="1">
      <alignment horizontal="justify" vertical="center" wrapText="1"/>
      <protection hidden="1"/>
    </xf>
    <xf numFmtId="0" fontId="34" fillId="0" borderId="3"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justify" vertical="center" wrapText="1"/>
      <protection hidden="1"/>
    </xf>
    <xf numFmtId="0" fontId="64" fillId="0" borderId="0" xfId="0" applyFont="1" applyFill="1" applyAlignment="1" applyProtection="1">
      <alignment horizontal="center" vertical="center" wrapText="1"/>
      <protection hidden="1"/>
    </xf>
    <xf numFmtId="0" fontId="32" fillId="0" borderId="29" xfId="0" applyFont="1" applyFill="1" applyBorder="1" applyAlignment="1" applyProtection="1">
      <alignment horizontal="center" vertical="center" wrapText="1"/>
      <protection hidden="1"/>
    </xf>
    <xf numFmtId="0" fontId="34" fillId="0" borderId="7" xfId="0" applyFont="1" applyFill="1" applyBorder="1" applyAlignment="1" applyProtection="1">
      <alignment horizontal="center" vertical="center" wrapText="1"/>
      <protection hidden="1"/>
    </xf>
    <xf numFmtId="0" fontId="34" fillId="0" borderId="6" xfId="0" applyFont="1" applyFill="1" applyBorder="1" applyAlignment="1" applyProtection="1">
      <alignment horizontal="center" vertical="center" wrapText="1"/>
      <protection hidden="1"/>
    </xf>
    <xf numFmtId="0" fontId="34" fillId="0" borderId="3" xfId="0" applyFont="1" applyFill="1" applyBorder="1" applyAlignment="1" applyProtection="1">
      <alignment horizontal="center" vertical="center"/>
      <protection hidden="1"/>
    </xf>
    <xf numFmtId="0" fontId="15" fillId="0" borderId="0" xfId="0" applyFont="1" applyAlignment="1" applyProtection="1">
      <alignment horizontal="center" wrapText="1"/>
      <protection hidden="1"/>
    </xf>
    <xf numFmtId="0" fontId="0" fillId="0" borderId="41" xfId="0" applyBorder="1" applyAlignment="1" applyProtection="1">
      <alignment horizontal="center" vertical="center"/>
      <protection hidden="1"/>
    </xf>
    <xf numFmtId="0" fontId="0" fillId="0" borderId="23" xfId="0" applyBorder="1" applyAlignment="1" applyProtection="1">
      <alignment horizontal="center" vertical="center"/>
      <protection hidden="1"/>
    </xf>
    <xf numFmtId="0" fontId="0" fillId="0" borderId="24" xfId="0" applyBorder="1" applyAlignment="1" applyProtection="1">
      <alignment horizontal="center" vertical="center"/>
      <protection hidden="1"/>
    </xf>
    <xf numFmtId="0" fontId="15" fillId="0" borderId="8" xfId="0" applyFont="1" applyBorder="1" applyAlignment="1" applyProtection="1">
      <alignment horizontal="center" vertical="center" wrapText="1"/>
      <protection hidden="1"/>
    </xf>
    <xf numFmtId="0" fontId="15" fillId="0" borderId="3" xfId="0" applyFont="1" applyBorder="1" applyAlignment="1" applyProtection="1">
      <alignment horizontal="center" vertical="center" wrapText="1"/>
      <protection hidden="1"/>
    </xf>
    <xf numFmtId="0" fontId="15" fillId="0" borderId="11" xfId="0" applyFont="1" applyBorder="1" applyAlignment="1" applyProtection="1">
      <alignment horizontal="center" vertical="center" wrapText="1"/>
      <protection hidden="1"/>
    </xf>
    <xf numFmtId="0" fontId="3" fillId="0" borderId="0" xfId="0" applyFont="1" applyBorder="1" applyAlignment="1" applyProtection="1">
      <alignment horizontal="center" vertical="center"/>
      <protection hidden="1"/>
    </xf>
    <xf numFmtId="0" fontId="3" fillId="0" borderId="0" xfId="0" applyFont="1" applyBorder="1" applyAlignment="1" applyProtection="1">
      <alignment horizontal="center"/>
      <protection hidden="1"/>
    </xf>
    <xf numFmtId="0" fontId="0" fillId="0" borderId="32" xfId="0" applyBorder="1" applyAlignment="1" applyProtection="1">
      <alignment horizontal="center" vertical="center"/>
      <protection hidden="1"/>
    </xf>
    <xf numFmtId="0" fontId="0" fillId="0" borderId="45" xfId="0" applyBorder="1" applyAlignment="1" applyProtection="1">
      <alignment horizontal="center" vertical="center"/>
      <protection hidden="1"/>
    </xf>
    <xf numFmtId="0" fontId="0" fillId="0" borderId="19" xfId="0" applyBorder="1" applyAlignment="1" applyProtection="1">
      <alignment horizontal="center" vertical="center"/>
      <protection hidden="1"/>
    </xf>
    <xf numFmtId="0" fontId="3" fillId="0" borderId="3" xfId="0" applyFont="1" applyBorder="1" applyAlignment="1" applyProtection="1">
      <alignment horizontal="center"/>
      <protection hidden="1"/>
    </xf>
    <xf numFmtId="0" fontId="30" fillId="0" borderId="29" xfId="0" applyFont="1" applyFill="1" applyBorder="1" applyAlignment="1" applyProtection="1">
      <alignment horizontal="center"/>
      <protection hidden="1"/>
    </xf>
    <xf numFmtId="0" fontId="6" fillId="0" borderId="0" xfId="0" applyFont="1" applyBorder="1" applyAlignment="1" applyProtection="1">
      <alignment horizontal="center"/>
      <protection hidden="1"/>
    </xf>
    <xf numFmtId="0" fontId="5" fillId="0" borderId="0" xfId="0" applyFont="1" applyBorder="1" applyAlignment="1" applyProtection="1">
      <alignment horizontal="center"/>
      <protection hidden="1"/>
    </xf>
    <xf numFmtId="0" fontId="3" fillId="0" borderId="3" xfId="0" applyFont="1" applyBorder="1" applyAlignment="1" applyProtection="1">
      <alignment horizontal="center" vertical="center" wrapText="1"/>
      <protection hidden="1"/>
    </xf>
    <xf numFmtId="0" fontId="3" fillId="0" borderId="21" xfId="0" applyFont="1" applyBorder="1" applyAlignment="1" applyProtection="1">
      <alignment horizontal="right" vertical="center" shrinkToFit="1"/>
      <protection hidden="1"/>
    </xf>
    <xf numFmtId="0" fontId="3" fillId="0" borderId="2" xfId="0" applyFont="1" applyBorder="1" applyAlignment="1" applyProtection="1">
      <alignment horizontal="right" vertical="center" shrinkToFit="1"/>
      <protection hidden="1"/>
    </xf>
    <xf numFmtId="0" fontId="3" fillId="0" borderId="22" xfId="0" applyFont="1" applyBorder="1" applyAlignment="1" applyProtection="1">
      <alignment horizontal="right" vertical="center" shrinkToFit="1"/>
      <protection hidden="1"/>
    </xf>
    <xf numFmtId="0" fontId="16" fillId="0" borderId="0" xfId="0" applyFont="1" applyFill="1" applyAlignment="1" applyProtection="1">
      <alignment horizontal="justify"/>
      <protection locked="0"/>
    </xf>
    <xf numFmtId="0" fontId="16" fillId="0" borderId="0" xfId="0" applyFont="1" applyFill="1" applyAlignment="1" applyProtection="1">
      <alignment horizontal="center"/>
      <protection hidden="1"/>
    </xf>
    <xf numFmtId="10" fontId="16" fillId="0" borderId="0" xfId="0" applyNumberFormat="1" applyFont="1" applyFill="1" applyAlignment="1" applyProtection="1">
      <alignment horizontal="right"/>
      <protection hidden="1"/>
    </xf>
    <xf numFmtId="0" fontId="15" fillId="0" borderId="0" xfId="0" applyFont="1" applyFill="1" applyAlignment="1" applyProtection="1">
      <alignment horizontal="center"/>
      <protection locked="0"/>
    </xf>
    <xf numFmtId="0" fontId="15" fillId="0" borderId="0" xfId="0" quotePrefix="1" applyFont="1" applyFill="1" applyAlignment="1" applyProtection="1">
      <protection hidden="1"/>
    </xf>
    <xf numFmtId="0" fontId="15" fillId="0" borderId="0" xfId="0" applyFont="1" applyFill="1" applyAlignment="1" applyProtection="1">
      <protection hidden="1"/>
    </xf>
    <xf numFmtId="176" fontId="16" fillId="0" borderId="0" xfId="0" applyNumberFormat="1" applyFont="1" applyAlignment="1" applyProtection="1">
      <alignment horizontal="right"/>
      <protection hidden="1"/>
    </xf>
    <xf numFmtId="0" fontId="15" fillId="0" borderId="0" xfId="0" applyFont="1" applyAlignment="1" applyProtection="1">
      <protection hidden="1"/>
    </xf>
    <xf numFmtId="0" fontId="16" fillId="0" borderId="0" xfId="0" applyFont="1" applyAlignment="1" applyProtection="1">
      <alignment horizontal="justify"/>
      <protection hidden="1"/>
    </xf>
    <xf numFmtId="10" fontId="16" fillId="0" borderId="0" xfId="0" applyNumberFormat="1" applyFont="1" applyAlignment="1" applyProtection="1">
      <alignment horizontal="right"/>
      <protection hidden="1"/>
    </xf>
    <xf numFmtId="0" fontId="16" fillId="0" borderId="0" xfId="0" applyFont="1" applyAlignment="1" applyProtection="1">
      <alignment horizontal="center"/>
      <protection hidden="1"/>
    </xf>
    <xf numFmtId="164" fontId="16" fillId="0" borderId="0" xfId="0" applyNumberFormat="1" applyFont="1" applyAlignment="1" applyProtection="1">
      <alignment horizontal="right"/>
      <protection hidden="1"/>
    </xf>
    <xf numFmtId="0" fontId="16" fillId="0" borderId="0" xfId="0" applyFont="1" applyAlignment="1" applyProtection="1">
      <alignment horizontal="justify"/>
      <protection locked="0"/>
    </xf>
    <xf numFmtId="0" fontId="16" fillId="0" borderId="0" xfId="0" applyFont="1" applyAlignment="1" applyProtection="1">
      <alignment horizontal="center"/>
      <protection locked="0"/>
    </xf>
    <xf numFmtId="164" fontId="16" fillId="0" borderId="0" xfId="0" applyNumberFormat="1" applyFont="1" applyAlignment="1" applyProtection="1">
      <alignment horizontal="right"/>
      <protection locked="0"/>
    </xf>
    <xf numFmtId="0" fontId="15" fillId="0" borderId="0" xfId="0" applyFont="1" applyFill="1" applyAlignment="1" applyProtection="1">
      <alignment horizontal="center"/>
      <protection hidden="1"/>
    </xf>
    <xf numFmtId="0" fontId="15" fillId="0" borderId="0" xfId="0" applyFont="1" applyAlignment="1" applyProtection="1">
      <alignment horizontal="center"/>
      <protection hidden="1"/>
    </xf>
    <xf numFmtId="164" fontId="16" fillId="0" borderId="0" xfId="0" applyNumberFormat="1" applyFont="1" applyFill="1" applyAlignment="1" applyProtection="1">
      <alignment horizontal="right"/>
      <protection hidden="1"/>
    </xf>
    <xf numFmtId="0" fontId="63" fillId="0" borderId="0" xfId="0" applyFont="1" applyFill="1" applyAlignment="1" applyProtection="1">
      <alignment horizontal="center"/>
      <protection locked="0"/>
    </xf>
    <xf numFmtId="0" fontId="3" fillId="0" borderId="38" xfId="0" quotePrefix="1" applyNumberFormat="1" applyFont="1" applyFill="1" applyBorder="1" applyAlignment="1" applyProtection="1">
      <alignment horizontal="center" vertical="center"/>
      <protection locked="0"/>
    </xf>
    <xf numFmtId="0" fontId="3" fillId="0" borderId="39" xfId="0" quotePrefix="1" applyNumberFormat="1" applyFont="1" applyFill="1" applyBorder="1" applyAlignment="1" applyProtection="1">
      <alignment horizontal="center" vertical="center"/>
      <protection locked="0"/>
    </xf>
    <xf numFmtId="0" fontId="3" fillId="5" borderId="23" xfId="0" applyNumberFormat="1" applyFont="1" applyFill="1" applyBorder="1" applyAlignment="1" applyProtection="1">
      <alignment horizontal="center" vertical="center"/>
      <protection locked="0"/>
    </xf>
    <xf numFmtId="0" fontId="3" fillId="5" borderId="3" xfId="0" applyNumberFormat="1" applyFont="1" applyFill="1" applyBorder="1" applyAlignment="1" applyProtection="1">
      <alignment horizontal="center" vertical="center"/>
      <protection locked="0"/>
    </xf>
    <xf numFmtId="0" fontId="3" fillId="5" borderId="21" xfId="0" applyNumberFormat="1" applyFont="1" applyFill="1" applyBorder="1" applyAlignment="1" applyProtection="1">
      <alignment horizontal="center" vertical="center"/>
      <protection locked="0"/>
    </xf>
    <xf numFmtId="0" fontId="3" fillId="6" borderId="25" xfId="0" applyNumberFormat="1" applyFont="1" applyFill="1" applyBorder="1" applyAlignment="1" applyProtection="1">
      <alignment horizontal="center" vertical="center"/>
      <protection locked="0"/>
    </xf>
    <xf numFmtId="0" fontId="3" fillId="6" borderId="2" xfId="0" applyNumberFormat="1" applyFont="1" applyFill="1" applyBorder="1" applyAlignment="1" applyProtection="1">
      <alignment horizontal="center" vertical="center"/>
      <protection locked="0"/>
    </xf>
    <xf numFmtId="0" fontId="3" fillId="6" borderId="48" xfId="0" applyNumberFormat="1" applyFont="1" applyFill="1" applyBorder="1" applyAlignment="1" applyProtection="1">
      <alignment horizontal="center" vertical="center"/>
      <protection locked="0"/>
    </xf>
    <xf numFmtId="0" fontId="3" fillId="6" borderId="23" xfId="0" applyNumberFormat="1" applyFont="1" applyFill="1" applyBorder="1" applyAlignment="1" applyProtection="1">
      <alignment horizontal="center" vertical="center"/>
      <protection locked="0"/>
    </xf>
    <xf numFmtId="0" fontId="3" fillId="6" borderId="3" xfId="0" applyNumberFormat="1" applyFont="1" applyFill="1" applyBorder="1" applyAlignment="1" applyProtection="1">
      <alignment horizontal="center" vertical="center"/>
      <protection locked="0"/>
    </xf>
    <xf numFmtId="0" fontId="3" fillId="6" borderId="21" xfId="0" applyNumberFormat="1" applyFont="1" applyFill="1" applyBorder="1" applyAlignment="1" applyProtection="1">
      <alignment horizontal="center" vertical="center"/>
      <protection locked="0"/>
    </xf>
    <xf numFmtId="0" fontId="3" fillId="0" borderId="27" xfId="0" quotePrefix="1" applyNumberFormat="1" applyFont="1" applyFill="1" applyBorder="1" applyAlignment="1" applyProtection="1">
      <alignment horizontal="center" vertical="center"/>
      <protection locked="0"/>
    </xf>
    <xf numFmtId="0" fontId="3" fillId="0" borderId="28" xfId="0" quotePrefix="1" applyNumberFormat="1" applyFont="1" applyFill="1" applyBorder="1" applyAlignment="1" applyProtection="1">
      <alignment horizontal="center" vertical="center"/>
      <protection locked="0"/>
    </xf>
    <xf numFmtId="0" fontId="3" fillId="0" borderId="14" xfId="0" applyNumberFormat="1" applyFont="1" applyFill="1" applyBorder="1" applyAlignment="1" applyProtection="1">
      <alignment horizontal="center" vertical="center" textRotation="90" shrinkToFit="1"/>
      <protection locked="0"/>
    </xf>
    <xf numFmtId="0" fontId="3" fillId="0" borderId="13" xfId="0" applyNumberFormat="1" applyFont="1" applyFill="1" applyBorder="1" applyAlignment="1" applyProtection="1">
      <alignment horizontal="center" vertical="center" textRotation="90" shrinkToFit="1"/>
      <protection locked="0"/>
    </xf>
    <xf numFmtId="0" fontId="3" fillId="0" borderId="32" xfId="0" applyNumberFormat="1" applyFont="1" applyFill="1" applyBorder="1" applyAlignment="1" applyProtection="1">
      <alignment horizontal="center" vertical="center" textRotation="90" shrinkToFit="1"/>
      <protection locked="0"/>
    </xf>
    <xf numFmtId="0" fontId="3" fillId="0" borderId="45" xfId="0" applyNumberFormat="1" applyFont="1" applyFill="1" applyBorder="1" applyAlignment="1" applyProtection="1">
      <alignment horizontal="center" vertical="center" textRotation="90" shrinkToFit="1"/>
      <protection locked="0"/>
    </xf>
    <xf numFmtId="0" fontId="10" fillId="0" borderId="37" xfId="0" applyFont="1" applyBorder="1" applyAlignment="1" applyProtection="1">
      <alignment horizontal="center" vertical="center" textRotation="90" wrapText="1"/>
      <protection locked="0"/>
    </xf>
    <xf numFmtId="0" fontId="10" fillId="0" borderId="35" xfId="0" applyFont="1" applyBorder="1" applyAlignment="1" applyProtection="1">
      <alignment horizontal="center" vertical="center" textRotation="90" wrapText="1"/>
      <protection locked="0"/>
    </xf>
    <xf numFmtId="0" fontId="3" fillId="0" borderId="37" xfId="0" applyNumberFormat="1" applyFont="1" applyFill="1" applyBorder="1" applyAlignment="1" applyProtection="1">
      <alignment horizontal="center" vertical="center"/>
      <protection locked="0"/>
    </xf>
    <xf numFmtId="0" fontId="3" fillId="0" borderId="35" xfId="0" applyNumberFormat="1" applyFont="1" applyFill="1" applyBorder="1" applyAlignment="1" applyProtection="1">
      <alignment horizontal="center" vertical="center"/>
      <protection locked="0"/>
    </xf>
    <xf numFmtId="0" fontId="3" fillId="0" borderId="38" xfId="0" applyNumberFormat="1" applyFont="1" applyFill="1" applyBorder="1" applyAlignment="1" applyProtection="1">
      <alignment horizontal="right" vertical="center"/>
      <protection locked="0"/>
    </xf>
    <xf numFmtId="0" fontId="0" fillId="0" borderId="1" xfId="0" applyBorder="1" applyProtection="1">
      <protection locked="0"/>
    </xf>
    <xf numFmtId="0" fontId="0" fillId="0" borderId="39" xfId="0" applyBorder="1" applyProtection="1">
      <protection locked="0"/>
    </xf>
    <xf numFmtId="0" fontId="3" fillId="0" borderId="38" xfId="0" applyNumberFormat="1" applyFont="1" applyFill="1" applyBorder="1" applyAlignment="1" applyProtection="1">
      <alignment horizontal="center" vertical="center" wrapText="1"/>
      <protection hidden="1"/>
    </xf>
    <xf numFmtId="0" fontId="3" fillId="0" borderId="39" xfId="0" applyNumberFormat="1" applyFont="1" applyFill="1" applyBorder="1" applyAlignment="1" applyProtection="1">
      <alignment horizontal="center" vertical="center" wrapText="1"/>
      <protection hidden="1"/>
    </xf>
    <xf numFmtId="0" fontId="3" fillId="0" borderId="27" xfId="0" applyNumberFormat="1" applyFont="1" applyFill="1" applyBorder="1" applyAlignment="1" applyProtection="1">
      <alignment horizontal="center" vertical="center" wrapText="1"/>
      <protection hidden="1"/>
    </xf>
    <xf numFmtId="0" fontId="3" fillId="0" borderId="28" xfId="0" applyNumberFormat="1" applyFont="1" applyFill="1" applyBorder="1" applyAlignment="1" applyProtection="1">
      <alignment horizontal="center" vertical="center" wrapText="1"/>
      <protection hidden="1"/>
    </xf>
    <xf numFmtId="0" fontId="3" fillId="0" borderId="18" xfId="0" applyNumberFormat="1" applyFont="1" applyFill="1" applyBorder="1" applyAlignment="1" applyProtection="1">
      <alignment horizontal="center" vertical="center"/>
      <protection locked="0"/>
    </xf>
    <xf numFmtId="0" fontId="3" fillId="0" borderId="20" xfId="0" applyNumberFormat="1" applyFont="1" applyFill="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textRotation="90"/>
      <protection locked="0"/>
    </xf>
    <xf numFmtId="0" fontId="3" fillId="0" borderId="35" xfId="0" applyNumberFormat="1" applyFont="1" applyFill="1" applyBorder="1" applyAlignment="1" applyProtection="1">
      <alignment horizontal="center" vertical="center" textRotation="90"/>
      <protection locked="0"/>
    </xf>
    <xf numFmtId="0" fontId="3" fillId="0" borderId="52" xfId="0" applyNumberFormat="1" applyFont="1" applyFill="1" applyBorder="1" applyAlignment="1" applyProtection="1">
      <alignment horizontal="center" vertical="center" textRotation="90"/>
      <protection locked="0"/>
    </xf>
    <xf numFmtId="0" fontId="3" fillId="0" borderId="18" xfId="0" applyNumberFormat="1" applyFont="1" applyFill="1" applyBorder="1" applyAlignment="1" applyProtection="1">
      <alignment horizontal="center" vertical="center" wrapText="1"/>
      <protection hidden="1"/>
    </xf>
    <xf numFmtId="0" fontId="3" fillId="0" borderId="36" xfId="0" applyNumberFormat="1" applyFont="1" applyFill="1" applyBorder="1" applyAlignment="1" applyProtection="1">
      <alignment horizontal="center" vertical="center" wrapText="1"/>
      <protection hidden="1"/>
    </xf>
    <xf numFmtId="0" fontId="3" fillId="0" borderId="40" xfId="0" applyNumberFormat="1" applyFont="1" applyFill="1" applyBorder="1" applyAlignment="1" applyProtection="1">
      <alignment horizontal="center" vertical="center" wrapText="1"/>
      <protection locked="0"/>
    </xf>
    <xf numFmtId="0" fontId="3" fillId="0" borderId="64" xfId="0" applyNumberFormat="1" applyFont="1" applyFill="1" applyBorder="1" applyAlignment="1" applyProtection="1">
      <alignment horizontal="center" vertical="center" wrapText="1"/>
      <protection locked="0"/>
    </xf>
    <xf numFmtId="0" fontId="10" fillId="0" borderId="47" xfId="0" applyNumberFormat="1" applyFont="1" applyFill="1" applyBorder="1" applyAlignment="1" applyProtection="1">
      <alignment horizontal="center" vertical="center" textRotation="90" wrapText="1"/>
      <protection locked="0"/>
    </xf>
    <xf numFmtId="0" fontId="10" fillId="0" borderId="15" xfId="0" applyNumberFormat="1" applyFont="1" applyFill="1" applyBorder="1" applyAlignment="1" applyProtection="1">
      <alignment horizontal="center" vertical="center" textRotation="90"/>
      <protection locked="0"/>
    </xf>
    <xf numFmtId="0" fontId="10" fillId="0" borderId="59" xfId="0" applyNumberFormat="1" applyFont="1" applyFill="1" applyBorder="1" applyAlignment="1" applyProtection="1">
      <alignment horizontal="center" vertical="center" textRotation="90"/>
      <protection locked="0"/>
    </xf>
    <xf numFmtId="0" fontId="3" fillId="0" borderId="65" xfId="0" applyNumberFormat="1" applyFont="1" applyFill="1" applyBorder="1" applyAlignment="1" applyProtection="1">
      <alignment horizontal="center" vertical="center" wrapText="1"/>
      <protection locked="0"/>
    </xf>
    <xf numFmtId="0" fontId="3" fillId="0" borderId="9" xfId="0" applyNumberFormat="1" applyFont="1" applyFill="1" applyBorder="1" applyAlignment="1" applyProtection="1">
      <alignment horizontal="center" vertical="center"/>
      <protection locked="0"/>
    </xf>
    <xf numFmtId="0" fontId="3" fillId="0" borderId="33" xfId="0" applyNumberFormat="1" applyFont="1" applyFill="1" applyBorder="1" applyAlignment="1" applyProtection="1">
      <alignment horizontal="center" vertical="center"/>
      <protection locked="0"/>
    </xf>
    <xf numFmtId="0" fontId="3" fillId="0" borderId="12" xfId="0" applyNumberFormat="1" applyFont="1" applyFill="1" applyBorder="1" applyAlignment="1" applyProtection="1">
      <alignment horizontal="center" vertical="center"/>
      <protection locked="0"/>
    </xf>
    <xf numFmtId="0" fontId="3" fillId="0" borderId="30" xfId="0" applyNumberFormat="1" applyFont="1" applyFill="1" applyBorder="1" applyAlignment="1" applyProtection="1">
      <alignment horizontal="center" vertical="center" textRotation="90"/>
      <protection locked="0"/>
    </xf>
    <xf numFmtId="0" fontId="3" fillId="0" borderId="59" xfId="0" applyNumberFormat="1" applyFont="1" applyFill="1" applyBorder="1" applyAlignment="1" applyProtection="1">
      <alignment horizontal="center" vertical="center" textRotation="90"/>
      <protection locked="0"/>
    </xf>
    <xf numFmtId="0" fontId="3" fillId="0" borderId="31" xfId="0" applyNumberFormat="1" applyFont="1" applyFill="1" applyBorder="1" applyAlignment="1" applyProtection="1">
      <alignment horizontal="center" vertical="center" textRotation="90"/>
      <protection locked="0"/>
    </xf>
    <xf numFmtId="0" fontId="3" fillId="0" borderId="66" xfId="0" applyNumberFormat="1" applyFont="1" applyFill="1" applyBorder="1" applyAlignment="1" applyProtection="1">
      <alignment horizontal="center" vertical="center" textRotation="90"/>
      <protection locked="0"/>
    </xf>
    <xf numFmtId="0" fontId="3" fillId="0" borderId="67" xfId="0" applyNumberFormat="1" applyFont="1" applyFill="1" applyBorder="1" applyAlignment="1" applyProtection="1">
      <alignment horizontal="center" vertical="center" textRotation="90"/>
      <protection locked="0"/>
    </xf>
    <xf numFmtId="0" fontId="3" fillId="0" borderId="61" xfId="0" applyNumberFormat="1" applyFont="1" applyFill="1" applyBorder="1" applyAlignment="1" applyProtection="1">
      <alignment horizontal="center" vertical="center" textRotation="90"/>
      <protection locked="0"/>
    </xf>
    <xf numFmtId="0" fontId="3" fillId="0" borderId="47" xfId="0" applyNumberFormat="1" applyFont="1" applyFill="1" applyBorder="1" applyAlignment="1" applyProtection="1">
      <alignment horizontal="center" vertical="center" textRotation="90"/>
      <protection locked="0"/>
    </xf>
    <xf numFmtId="0" fontId="3" fillId="0" borderId="62" xfId="0" applyNumberFormat="1" applyFont="1" applyFill="1" applyBorder="1" applyAlignment="1" applyProtection="1">
      <alignment horizontal="center" vertical="center" textRotation="90" shrinkToFit="1"/>
      <protection locked="0"/>
    </xf>
    <xf numFmtId="0" fontId="3" fillId="0" borderId="38" xfId="0" applyNumberFormat="1" applyFont="1" applyFill="1" applyBorder="1" applyAlignment="1" applyProtection="1">
      <alignment horizontal="center" vertical="center"/>
      <protection hidden="1"/>
    </xf>
    <xf numFmtId="0" fontId="0" fillId="0" borderId="1" xfId="0" applyBorder="1" applyProtection="1">
      <protection hidden="1"/>
    </xf>
    <xf numFmtId="0" fontId="3" fillId="0" borderId="63" xfId="0" applyNumberFormat="1" applyFont="1" applyFill="1" applyBorder="1" applyAlignment="1" applyProtection="1">
      <alignment horizontal="center" vertical="center" textRotation="90" shrinkToFit="1"/>
      <protection locked="0"/>
    </xf>
    <xf numFmtId="0" fontId="3" fillId="0" borderId="40" xfId="0" applyNumberFormat="1" applyFont="1" applyFill="1" applyBorder="1" applyAlignment="1" applyProtection="1">
      <alignment horizontal="center" vertical="center" wrapText="1"/>
      <protection hidden="1"/>
    </xf>
    <xf numFmtId="0" fontId="3" fillId="0" borderId="43" xfId="0" applyNumberFormat="1" applyFont="1" applyFill="1" applyBorder="1" applyAlignment="1" applyProtection="1">
      <alignment horizontal="center" vertical="center" wrapText="1"/>
      <protection hidden="1"/>
    </xf>
    <xf numFmtId="0" fontId="15" fillId="0" borderId="0" xfId="0" applyFont="1" applyFill="1" applyBorder="1" applyAlignment="1" applyProtection="1">
      <alignment horizontal="center"/>
      <protection locked="0"/>
    </xf>
    <xf numFmtId="0" fontId="16" fillId="0" borderId="0" xfId="0" applyFont="1" applyFill="1" applyBorder="1" applyAlignment="1" applyProtection="1">
      <alignment horizontal="center"/>
      <protection locked="0"/>
    </xf>
    <xf numFmtId="0" fontId="15" fillId="0" borderId="0" xfId="0" applyFont="1" applyFill="1" applyBorder="1" applyAlignment="1" applyProtection="1">
      <alignment horizontal="center"/>
      <protection hidden="1"/>
    </xf>
    <xf numFmtId="0" fontId="60" fillId="0" borderId="0" xfId="0" applyFont="1" applyFill="1" applyBorder="1" applyAlignment="1" applyProtection="1">
      <alignment horizontal="center"/>
      <protection locked="0"/>
    </xf>
    <xf numFmtId="0" fontId="8" fillId="0" borderId="0" xfId="0" applyFont="1" applyFill="1" applyBorder="1" applyAlignment="1" applyProtection="1">
      <alignment horizontal="justify"/>
      <protection locked="0"/>
    </xf>
    <xf numFmtId="0" fontId="8" fillId="0" borderId="0" xfId="0" applyFont="1" applyFill="1" applyBorder="1" applyAlignment="1" applyProtection="1">
      <alignment horizontal="center"/>
      <protection locked="0"/>
    </xf>
    <xf numFmtId="0" fontId="4" fillId="0" borderId="47" xfId="0" applyFont="1" applyFill="1" applyBorder="1" applyAlignment="1" applyProtection="1">
      <alignment horizontal="center" vertical="center" textRotation="90" shrinkToFit="1"/>
      <protection locked="0"/>
    </xf>
    <xf numFmtId="0" fontId="4" fillId="0" borderId="15" xfId="0" applyFont="1" applyFill="1" applyBorder="1" applyAlignment="1" applyProtection="1">
      <alignment horizontal="center" vertical="center" textRotation="90" shrinkToFit="1"/>
      <protection locked="0"/>
    </xf>
    <xf numFmtId="0" fontId="4" fillId="0" borderId="59" xfId="0" applyFont="1" applyFill="1" applyBorder="1" applyAlignment="1" applyProtection="1">
      <alignment horizontal="center" vertical="center" textRotation="90" shrinkToFit="1"/>
      <protection locked="0"/>
    </xf>
    <xf numFmtId="0" fontId="3" fillId="0" borderId="27" xfId="0" applyNumberFormat="1" applyFont="1" applyFill="1" applyBorder="1" applyAlignment="1" applyProtection="1">
      <alignment horizontal="center" vertical="center"/>
      <protection locked="0"/>
    </xf>
    <xf numFmtId="0" fontId="3" fillId="0" borderId="60" xfId="0" applyNumberFormat="1" applyFont="1" applyFill="1" applyBorder="1" applyAlignment="1" applyProtection="1">
      <alignment horizontal="center" vertical="center"/>
      <protection locked="0"/>
    </xf>
    <xf numFmtId="0" fontId="3" fillId="0" borderId="28" xfId="0" applyNumberFormat="1" applyFont="1" applyFill="1" applyBorder="1" applyAlignment="1" applyProtection="1">
      <alignment horizontal="center" vertical="center"/>
      <protection locked="0"/>
    </xf>
    <xf numFmtId="0" fontId="4" fillId="0" borderId="46" xfId="0" applyFont="1" applyFill="1" applyBorder="1" applyAlignment="1" applyProtection="1">
      <alignment horizontal="center" vertical="center" wrapText="1"/>
      <protection locked="0"/>
    </xf>
    <xf numFmtId="0" fontId="4" fillId="0" borderId="61" xfId="0" applyFont="1" applyFill="1" applyBorder="1" applyAlignment="1" applyProtection="1">
      <alignment horizontal="center" vertical="center" wrapText="1"/>
      <protection locked="0"/>
    </xf>
    <xf numFmtId="0" fontId="3" fillId="0" borderId="32" xfId="0" applyNumberFormat="1" applyFont="1" applyFill="1" applyBorder="1" applyAlignment="1" applyProtection="1">
      <alignment horizontal="center" vertical="center" wrapText="1"/>
      <protection locked="0"/>
    </xf>
    <xf numFmtId="0" fontId="3" fillId="0" borderId="14" xfId="0" applyNumberFormat="1" applyFont="1" applyFill="1" applyBorder="1" applyAlignment="1" applyProtection="1">
      <alignment horizontal="center" vertical="center" wrapText="1"/>
      <protection locked="0"/>
    </xf>
    <xf numFmtId="0" fontId="3" fillId="0" borderId="45" xfId="0" applyNumberFormat="1" applyFont="1" applyFill="1" applyBorder="1" applyAlignment="1" applyProtection="1">
      <alignment horizontal="center" vertical="center" wrapText="1"/>
      <protection locked="0"/>
    </xf>
    <xf numFmtId="0" fontId="3" fillId="0" borderId="13" xfId="0" applyNumberFormat="1" applyFont="1" applyFill="1" applyBorder="1" applyAlignment="1" applyProtection="1">
      <alignment horizontal="center" vertical="center" wrapText="1"/>
      <protection locked="0"/>
    </xf>
    <xf numFmtId="0" fontId="3" fillId="0" borderId="30" xfId="0" applyNumberFormat="1" applyFont="1" applyFill="1" applyBorder="1" applyAlignment="1" applyProtection="1">
      <alignment horizontal="center" vertical="center" textRotation="90" shrinkToFit="1"/>
      <protection locked="0"/>
    </xf>
    <xf numFmtId="0" fontId="3" fillId="0" borderId="59" xfId="0" applyNumberFormat="1" applyFont="1" applyFill="1" applyBorder="1" applyAlignment="1" applyProtection="1">
      <alignment horizontal="center" vertical="center" textRotation="90" shrinkToFit="1"/>
      <protection locked="0"/>
    </xf>
    <xf numFmtId="0" fontId="3" fillId="0" borderId="62" xfId="0" applyNumberFormat="1" applyFont="1" applyFill="1" applyBorder="1" applyAlignment="1" applyProtection="1">
      <alignment horizontal="center" vertical="center" textRotation="90"/>
      <protection locked="0"/>
    </xf>
    <xf numFmtId="0" fontId="3" fillId="0" borderId="63" xfId="0" applyNumberFormat="1" applyFont="1" applyFill="1" applyBorder="1" applyAlignment="1" applyProtection="1">
      <alignment horizontal="center" vertical="center" textRotation="90"/>
      <protection locked="0"/>
    </xf>
    <xf numFmtId="0" fontId="38" fillId="0" borderId="68" xfId="0" applyFont="1" applyBorder="1" applyAlignment="1" applyProtection="1">
      <alignment horizontal="center"/>
      <protection hidden="1"/>
    </xf>
    <xf numFmtId="0" fontId="38" fillId="0" borderId="16" xfId="0" applyFont="1" applyBorder="1" applyAlignment="1" applyProtection="1">
      <alignment horizontal="center"/>
      <protection hidden="1"/>
    </xf>
    <xf numFmtId="0" fontId="3" fillId="0" borderId="38" xfId="0" quotePrefix="1" applyNumberFormat="1" applyFont="1" applyFill="1" applyBorder="1" applyAlignment="1" applyProtection="1">
      <alignment horizontal="center" vertical="center"/>
      <protection hidden="1"/>
    </xf>
    <xf numFmtId="0" fontId="3" fillId="0" borderId="39" xfId="0" quotePrefix="1" applyNumberFormat="1" applyFont="1" applyFill="1" applyBorder="1" applyAlignment="1" applyProtection="1">
      <alignment horizontal="center" vertical="center"/>
      <protection hidden="1"/>
    </xf>
    <xf numFmtId="0" fontId="5" fillId="0" borderId="69" xfId="0" applyFont="1" applyFill="1" applyBorder="1" applyAlignment="1" applyProtection="1">
      <alignment horizontal="center" vertical="center"/>
      <protection hidden="1"/>
    </xf>
    <xf numFmtId="0" fontId="3" fillId="0" borderId="47" xfId="0" applyFont="1" applyFill="1" applyBorder="1" applyAlignment="1" applyProtection="1">
      <alignment horizontal="center" vertical="center" textRotation="90" shrinkToFit="1"/>
      <protection hidden="1"/>
    </xf>
    <xf numFmtId="0" fontId="3" fillId="0" borderId="15" xfId="0" applyFont="1" applyFill="1" applyBorder="1" applyAlignment="1" applyProtection="1">
      <alignment horizontal="center" vertical="center" textRotation="90" shrinkToFit="1"/>
      <protection hidden="1"/>
    </xf>
    <xf numFmtId="0" fontId="3" fillId="0" borderId="59" xfId="0" applyFont="1" applyFill="1" applyBorder="1" applyAlignment="1" applyProtection="1">
      <alignment horizontal="center" vertical="center" textRotation="90" shrinkToFit="1"/>
      <protection hidden="1"/>
    </xf>
    <xf numFmtId="0" fontId="3" fillId="0" borderId="46" xfId="0" applyFont="1" applyFill="1" applyBorder="1" applyAlignment="1" applyProtection="1">
      <alignment horizontal="center" vertical="center" wrapText="1"/>
      <protection hidden="1"/>
    </xf>
    <xf numFmtId="0" fontId="3" fillId="0" borderId="61" xfId="0" applyFont="1" applyFill="1" applyBorder="1" applyAlignment="1" applyProtection="1">
      <alignment horizontal="center" vertical="center" wrapText="1"/>
      <protection hidden="1"/>
    </xf>
    <xf numFmtId="0" fontId="3" fillId="0" borderId="32" xfId="0" applyNumberFormat="1" applyFont="1" applyFill="1" applyBorder="1" applyAlignment="1" applyProtection="1">
      <alignment horizontal="center" vertical="center" wrapText="1"/>
      <protection hidden="1"/>
    </xf>
    <xf numFmtId="0" fontId="3" fillId="0" borderId="14" xfId="0" applyNumberFormat="1" applyFont="1" applyFill="1" applyBorder="1" applyAlignment="1" applyProtection="1">
      <alignment horizontal="center" vertical="center" wrapText="1"/>
      <protection hidden="1"/>
    </xf>
    <xf numFmtId="0" fontId="3" fillId="0" borderId="45" xfId="0" applyNumberFormat="1" applyFont="1" applyFill="1" applyBorder="1" applyAlignment="1" applyProtection="1">
      <alignment horizontal="center" vertical="center" wrapText="1"/>
      <protection hidden="1"/>
    </xf>
    <xf numFmtId="0" fontId="3" fillId="0" borderId="13" xfId="0" applyNumberFormat="1" applyFont="1" applyFill="1" applyBorder="1" applyAlignment="1" applyProtection="1">
      <alignment horizontal="center" vertical="center" wrapText="1"/>
      <protection hidden="1"/>
    </xf>
    <xf numFmtId="0" fontId="3" fillId="0" borderId="35" xfId="0" applyFont="1" applyFill="1" applyBorder="1" applyAlignment="1" applyProtection="1">
      <alignment horizontal="center" vertical="center" wrapText="1"/>
      <protection hidden="1"/>
    </xf>
    <xf numFmtId="0" fontId="3" fillId="0" borderId="52" xfId="0" applyFont="1" applyFill="1" applyBorder="1" applyAlignment="1" applyProtection="1">
      <alignment horizontal="center" vertical="center" wrapText="1"/>
      <protection hidden="1"/>
    </xf>
    <xf numFmtId="0" fontId="5" fillId="0" borderId="0" xfId="0" applyFont="1" applyBorder="1" applyAlignment="1" applyProtection="1">
      <alignment horizontal="center"/>
      <protection locked="0"/>
    </xf>
    <xf numFmtId="0" fontId="3" fillId="0" borderId="0" xfId="0" applyFont="1" applyBorder="1" applyAlignment="1" applyProtection="1">
      <alignment horizontal="center"/>
      <protection locked="0"/>
    </xf>
    <xf numFmtId="0" fontId="3" fillId="0" borderId="20" xfId="0" applyNumberFormat="1" applyFont="1" applyFill="1" applyBorder="1" applyAlignment="1" applyProtection="1">
      <alignment horizontal="center" vertical="center" wrapText="1"/>
      <protection locked="0"/>
    </xf>
    <xf numFmtId="0" fontId="3" fillId="0" borderId="0" xfId="0" applyNumberFormat="1" applyFont="1" applyFill="1" applyBorder="1" applyAlignment="1" applyProtection="1">
      <alignment horizontal="center" vertical="center" wrapText="1"/>
      <protection locked="0"/>
    </xf>
    <xf numFmtId="0" fontId="3" fillId="0" borderId="19" xfId="0" applyNumberFormat="1" applyFont="1" applyFill="1" applyBorder="1" applyAlignment="1" applyProtection="1">
      <alignment horizontal="center" vertical="center" wrapText="1"/>
      <protection locked="0"/>
    </xf>
    <xf numFmtId="0" fontId="3" fillId="0" borderId="20" xfId="0" applyFont="1" applyBorder="1" applyAlignment="1" applyProtection="1">
      <alignment horizontal="center" vertical="center"/>
      <protection locked="0"/>
    </xf>
    <xf numFmtId="0" fontId="3" fillId="0" borderId="0" xfId="0" applyFont="1" applyBorder="1" applyAlignment="1" applyProtection="1">
      <alignment horizontal="center" vertical="center"/>
      <protection locked="0"/>
    </xf>
    <xf numFmtId="0" fontId="3" fillId="0" borderId="38" xfId="0" applyFont="1" applyBorder="1" applyAlignment="1" applyProtection="1">
      <alignment horizontal="center" vertical="center" wrapText="1"/>
      <protection hidden="1"/>
    </xf>
    <xf numFmtId="0" fontId="3" fillId="0" borderId="1" xfId="0" applyFont="1" applyBorder="1" applyAlignment="1" applyProtection="1">
      <alignment horizontal="center" vertical="center" wrapText="1"/>
      <protection hidden="1"/>
    </xf>
    <xf numFmtId="0" fontId="3" fillId="0" borderId="39" xfId="0" applyFont="1" applyBorder="1" applyAlignment="1" applyProtection="1">
      <alignment horizontal="center" vertical="center" wrapText="1"/>
      <protection hidden="1"/>
    </xf>
    <xf numFmtId="0" fontId="3" fillId="0" borderId="37" xfId="0" applyFont="1" applyBorder="1" applyAlignment="1" applyProtection="1">
      <alignment horizontal="center" vertical="center"/>
      <protection locked="0"/>
    </xf>
    <xf numFmtId="0" fontId="3" fillId="0" borderId="35" xfId="0" applyFont="1" applyBorder="1" applyAlignment="1" applyProtection="1">
      <alignment horizontal="center" vertical="center"/>
      <protection locked="0"/>
    </xf>
    <xf numFmtId="0" fontId="3" fillId="0" borderId="52" xfId="0" applyFont="1" applyBorder="1" applyAlignment="1" applyProtection="1">
      <alignment horizontal="center" vertical="center"/>
      <protection locked="0"/>
    </xf>
    <xf numFmtId="0" fontId="10" fillId="0" borderId="37" xfId="0" applyFont="1" applyBorder="1" applyAlignment="1" applyProtection="1">
      <alignment horizontal="center" vertical="center" textRotation="90" wrapText="1" shrinkToFit="1"/>
      <protection locked="0"/>
    </xf>
    <xf numFmtId="0" fontId="10" fillId="0" borderId="35" xfId="0" applyFont="1" applyBorder="1" applyAlignment="1" applyProtection="1">
      <alignment horizontal="center" vertical="center" textRotation="90" wrapText="1" shrinkToFit="1"/>
      <protection locked="0"/>
    </xf>
    <xf numFmtId="0" fontId="10" fillId="0" borderId="52" xfId="0" applyFont="1" applyBorder="1" applyAlignment="1" applyProtection="1">
      <alignment horizontal="center" vertical="center" textRotation="90" wrapText="1" shrinkToFit="1"/>
      <protection locked="0"/>
    </xf>
    <xf numFmtId="0" fontId="3" fillId="0" borderId="18" xfId="0" applyFont="1" applyBorder="1" applyAlignment="1" applyProtection="1">
      <alignment horizontal="center" vertical="center" wrapText="1"/>
      <protection locked="0"/>
    </xf>
    <xf numFmtId="0" fontId="3" fillId="0" borderId="36" xfId="0" applyFont="1" applyBorder="1" applyAlignment="1" applyProtection="1">
      <alignment horizontal="center" vertical="center" wrapText="1"/>
      <protection locked="0"/>
    </xf>
    <xf numFmtId="0" fontId="3" fillId="0" borderId="34" xfId="0" applyFont="1" applyBorder="1" applyAlignment="1" applyProtection="1">
      <alignment horizontal="center" vertical="center" wrapText="1"/>
      <protection locked="0"/>
    </xf>
    <xf numFmtId="0" fontId="3" fillId="0" borderId="53" xfId="0" applyFont="1" applyBorder="1" applyAlignment="1" applyProtection="1">
      <alignment horizontal="center" vertical="center" wrapText="1"/>
      <protection locked="0"/>
    </xf>
    <xf numFmtId="0" fontId="10" fillId="0" borderId="52" xfId="0" applyFont="1" applyBorder="1" applyAlignment="1" applyProtection="1">
      <alignment horizontal="center" vertical="center" textRotation="90" wrapText="1"/>
      <protection locked="0"/>
    </xf>
    <xf numFmtId="0" fontId="3" fillId="0" borderId="43" xfId="0" applyFont="1" applyBorder="1" applyAlignment="1" applyProtection="1">
      <alignment horizontal="center" vertical="center" textRotation="90" shrinkToFit="1"/>
      <protection locked="0"/>
    </xf>
    <xf numFmtId="0" fontId="3" fillId="0" borderId="51" xfId="0" applyFont="1" applyBorder="1" applyAlignment="1" applyProtection="1">
      <alignment horizontal="center" vertical="center" textRotation="90" shrinkToFit="1"/>
      <protection locked="0"/>
    </xf>
    <xf numFmtId="0" fontId="3" fillId="0" borderId="40" xfId="0" applyFont="1" applyBorder="1" applyAlignment="1" applyProtection="1">
      <alignment horizontal="center" vertical="center" textRotation="90" shrinkToFit="1"/>
      <protection locked="0"/>
    </xf>
    <xf numFmtId="0" fontId="3" fillId="0" borderId="50" xfId="0" applyFont="1" applyBorder="1" applyAlignment="1" applyProtection="1">
      <alignment horizontal="center" vertical="center" textRotation="90" shrinkToFit="1"/>
      <protection locked="0"/>
    </xf>
    <xf numFmtId="0" fontId="3" fillId="0" borderId="70" xfId="0" applyFont="1" applyBorder="1" applyAlignment="1" applyProtection="1">
      <alignment horizontal="center" vertical="center" textRotation="90" shrinkToFit="1"/>
      <protection locked="0"/>
    </xf>
    <xf numFmtId="0" fontId="3" fillId="0" borderId="71" xfId="0" applyFont="1" applyBorder="1" applyAlignment="1" applyProtection="1">
      <alignment horizontal="center" vertical="center" textRotation="90" shrinkToFit="1"/>
      <protection locked="0"/>
    </xf>
    <xf numFmtId="0" fontId="55" fillId="0" borderId="0" xfId="0" applyFont="1" applyBorder="1" applyAlignment="1" applyProtection="1">
      <alignment horizontal="center"/>
      <protection locked="0"/>
    </xf>
    <xf numFmtId="0" fontId="3" fillId="0" borderId="37" xfId="0" applyFont="1" applyBorder="1" applyAlignment="1" applyProtection="1">
      <alignment horizontal="center" textRotation="90"/>
      <protection locked="0"/>
    </xf>
    <xf numFmtId="0" fontId="3" fillId="0" borderId="52" xfId="0" applyFont="1" applyBorder="1" applyAlignment="1" applyProtection="1">
      <alignment horizontal="center" textRotation="90"/>
      <protection locked="0"/>
    </xf>
    <xf numFmtId="0" fontId="3" fillId="0" borderId="38" xfId="0" applyFont="1" applyBorder="1" applyAlignment="1" applyProtection="1">
      <alignment horizontal="center" wrapText="1"/>
      <protection locked="0"/>
    </xf>
    <xf numFmtId="0" fontId="3" fillId="0" borderId="39" xfId="0" applyFont="1" applyBorder="1" applyAlignment="1" applyProtection="1">
      <alignment horizontal="center" wrapText="1"/>
      <protection locked="0"/>
    </xf>
    <xf numFmtId="0" fontId="4" fillId="0" borderId="0" xfId="0" applyFont="1" applyAlignment="1" applyProtection="1">
      <alignment horizontal="justify"/>
      <protection hidden="1"/>
    </xf>
    <xf numFmtId="0" fontId="3" fillId="0" borderId="72" xfId="0" quotePrefix="1" applyFont="1" applyBorder="1" applyAlignment="1" applyProtection="1">
      <alignment horizontal="center" vertical="center" wrapText="1"/>
      <protection locked="0"/>
    </xf>
    <xf numFmtId="0" fontId="3" fillId="0" borderId="73" xfId="0" quotePrefix="1" applyFont="1" applyBorder="1" applyAlignment="1" applyProtection="1">
      <alignment horizontal="center" vertical="center" wrapText="1"/>
      <protection locked="0"/>
    </xf>
    <xf numFmtId="0" fontId="3" fillId="0" borderId="67" xfId="0" quotePrefix="1" applyFont="1" applyBorder="1" applyAlignment="1" applyProtection="1">
      <alignment horizontal="center" vertical="center" wrapText="1"/>
      <protection locked="0"/>
    </xf>
    <xf numFmtId="0" fontId="4" fillId="0" borderId="0" xfId="0" applyFont="1" applyAlignment="1" applyProtection="1">
      <alignment horizontal="center" wrapText="1"/>
      <protection locked="0"/>
    </xf>
    <xf numFmtId="10" fontId="4" fillId="0" borderId="0" xfId="0" applyNumberFormat="1" applyFont="1" applyAlignment="1" applyProtection="1">
      <alignment horizontal="right"/>
      <protection hidden="1"/>
    </xf>
    <xf numFmtId="0" fontId="4" fillId="0" borderId="0" xfId="0" applyFont="1" applyAlignment="1" applyProtection="1">
      <alignment horizontal="center"/>
      <protection hidden="1"/>
    </xf>
    <xf numFmtId="0" fontId="4" fillId="0" borderId="0" xfId="0" applyFont="1" applyAlignment="1" applyProtection="1">
      <alignment horizontal="center"/>
      <protection locked="0"/>
    </xf>
    <xf numFmtId="0" fontId="3" fillId="0" borderId="0" xfId="0" applyFont="1" applyFill="1" applyBorder="1" applyAlignment="1" applyProtection="1">
      <alignment horizontal="center"/>
      <protection hidden="1"/>
    </xf>
    <xf numFmtId="0" fontId="3" fillId="0" borderId="0" xfId="0" applyFont="1" applyFill="1" applyBorder="1" applyAlignment="1" applyProtection="1">
      <alignment horizontal="center"/>
      <protection locked="0"/>
    </xf>
    <xf numFmtId="0" fontId="8" fillId="0" borderId="16" xfId="0" applyFont="1" applyFill="1" applyBorder="1" applyAlignment="1" applyProtection="1">
      <alignment horizontal="justify"/>
      <protection locked="0"/>
    </xf>
    <xf numFmtId="0" fontId="3" fillId="0" borderId="38" xfId="0" applyFont="1" applyBorder="1" applyAlignment="1" applyProtection="1">
      <alignment horizontal="center" vertical="center" wrapText="1" shrinkToFit="1"/>
      <protection hidden="1"/>
    </xf>
    <xf numFmtId="0" fontId="3" fillId="0" borderId="1" xfId="0" applyFont="1" applyBorder="1" applyAlignment="1" applyProtection="1">
      <alignment horizontal="center" vertical="center" wrapText="1" shrinkToFit="1"/>
      <protection hidden="1"/>
    </xf>
    <xf numFmtId="0" fontId="3" fillId="0" borderId="39" xfId="0" applyFont="1" applyBorder="1" applyAlignment="1" applyProtection="1">
      <alignment horizontal="center" vertical="center" wrapText="1" shrinkToFit="1"/>
      <protection hidden="1"/>
    </xf>
    <xf numFmtId="0" fontId="4" fillId="0" borderId="37" xfId="0" applyFont="1" applyBorder="1" applyAlignment="1" applyProtection="1">
      <alignment horizontal="center" vertical="center" textRotation="90" shrinkToFit="1"/>
      <protection locked="0"/>
    </xf>
    <xf numFmtId="0" fontId="4" fillId="0" borderId="35" xfId="0" applyFont="1" applyBorder="1" applyAlignment="1" applyProtection="1">
      <alignment horizontal="center" vertical="center" textRotation="90" shrinkToFit="1"/>
      <protection locked="0"/>
    </xf>
    <xf numFmtId="0" fontId="4" fillId="0" borderId="52" xfId="0" applyFont="1" applyBorder="1" applyAlignment="1" applyProtection="1">
      <alignment horizontal="center" vertical="center" textRotation="90" shrinkToFit="1"/>
      <protection locked="0"/>
    </xf>
    <xf numFmtId="0" fontId="11" fillId="0" borderId="0" xfId="0" applyFont="1" applyAlignment="1" applyProtection="1">
      <alignment horizontal="center"/>
      <protection locked="0"/>
    </xf>
    <xf numFmtId="0" fontId="3" fillId="0" borderId="37" xfId="0" applyFont="1" applyBorder="1" applyAlignment="1" applyProtection="1">
      <alignment horizontal="center" vertical="center" textRotation="90"/>
      <protection locked="0"/>
    </xf>
    <xf numFmtId="0" fontId="3" fillId="0" borderId="52" xfId="0" applyFont="1" applyBorder="1" applyAlignment="1" applyProtection="1">
      <alignment horizontal="center" vertical="center" textRotation="90"/>
      <protection locked="0"/>
    </xf>
    <xf numFmtId="0" fontId="3" fillId="0" borderId="18" xfId="0" applyFont="1" applyBorder="1" applyAlignment="1" applyProtection="1">
      <alignment horizontal="right" vertical="center"/>
      <protection locked="0"/>
    </xf>
    <xf numFmtId="0" fontId="3" fillId="0" borderId="5" xfId="0" applyFont="1" applyBorder="1" applyAlignment="1" applyProtection="1">
      <alignment horizontal="right" vertical="center"/>
      <protection locked="0"/>
    </xf>
    <xf numFmtId="0" fontId="3" fillId="0" borderId="36" xfId="0" applyFont="1" applyBorder="1" applyAlignment="1" applyProtection="1">
      <alignment horizontal="right" vertical="center"/>
      <protection locked="0"/>
    </xf>
    <xf numFmtId="0" fontId="3" fillId="0" borderId="34" xfId="0" applyFont="1" applyBorder="1" applyAlignment="1" applyProtection="1">
      <alignment horizontal="right" vertical="center"/>
      <protection locked="0"/>
    </xf>
    <xf numFmtId="0" fontId="3" fillId="0" borderId="16" xfId="0" applyFont="1" applyBorder="1" applyAlignment="1" applyProtection="1">
      <alignment horizontal="right" vertical="center"/>
      <protection locked="0"/>
    </xf>
    <xf numFmtId="0" fontId="3" fillId="0" borderId="53" xfId="0" applyFont="1" applyBorder="1" applyAlignment="1" applyProtection="1">
      <alignment horizontal="right" vertical="center"/>
      <protection locked="0"/>
    </xf>
    <xf numFmtId="0" fontId="4" fillId="0" borderId="37" xfId="0" applyFont="1" applyBorder="1" applyAlignment="1" applyProtection="1">
      <alignment horizontal="center" vertical="center" wrapText="1"/>
      <protection locked="0"/>
    </xf>
    <xf numFmtId="0" fontId="4" fillId="0" borderId="52" xfId="0" applyFont="1" applyBorder="1" applyAlignment="1" applyProtection="1">
      <alignment horizontal="center" vertical="center" wrapText="1"/>
      <protection locked="0"/>
    </xf>
    <xf numFmtId="0" fontId="3" fillId="0" borderId="38" xfId="0" applyFont="1" applyBorder="1" applyAlignment="1" applyProtection="1">
      <alignment horizontal="center" vertical="center" textRotation="90" wrapText="1" shrinkToFit="1"/>
      <protection locked="0"/>
    </xf>
    <xf numFmtId="0" fontId="3" fillId="0" borderId="39" xfId="0" applyFont="1" applyBorder="1" applyAlignment="1" applyProtection="1">
      <alignment horizontal="center" vertical="center" textRotation="90" wrapText="1" shrinkToFit="1"/>
      <protection locked="0"/>
    </xf>
    <xf numFmtId="0" fontId="3" fillId="0" borderId="37" xfId="0" applyFont="1" applyBorder="1" applyAlignment="1" applyProtection="1">
      <alignment horizontal="center" vertical="center" textRotation="90" shrinkToFit="1"/>
      <protection locked="0"/>
    </xf>
    <xf numFmtId="0" fontId="3" fillId="0" borderId="52" xfId="0" applyFont="1" applyBorder="1" applyAlignment="1" applyProtection="1">
      <alignment horizontal="center" vertical="center" textRotation="90" shrinkToFit="1"/>
      <protection locked="0"/>
    </xf>
    <xf numFmtId="0" fontId="10" fillId="0" borderId="20" xfId="0" applyFont="1" applyFill="1" applyBorder="1" applyAlignment="1" applyProtection="1">
      <alignment horizontal="center" vertical="center"/>
      <protection locked="0"/>
    </xf>
    <xf numFmtId="0" fontId="10" fillId="0" borderId="0" xfId="0" applyFont="1" applyFill="1" applyBorder="1" applyAlignment="1" applyProtection="1">
      <alignment horizontal="center" vertical="center"/>
      <protection locked="0"/>
    </xf>
    <xf numFmtId="0" fontId="10" fillId="0" borderId="19" xfId="0" applyFont="1" applyFill="1" applyBorder="1" applyAlignment="1" applyProtection="1">
      <alignment horizontal="center" vertical="center"/>
      <protection locked="0"/>
    </xf>
    <xf numFmtId="0" fontId="3" fillId="0" borderId="37" xfId="0" applyNumberFormat="1" applyFont="1" applyFill="1" applyBorder="1" applyAlignment="1" applyProtection="1">
      <alignment horizontal="center" vertical="center" wrapText="1"/>
      <protection locked="0"/>
    </xf>
    <xf numFmtId="0" fontId="3" fillId="0" borderId="35" xfId="0" applyNumberFormat="1" applyFont="1" applyFill="1" applyBorder="1" applyAlignment="1" applyProtection="1">
      <alignment horizontal="center" vertical="center" wrapText="1"/>
      <protection locked="0"/>
    </xf>
    <xf numFmtId="0" fontId="3" fillId="0" borderId="52" xfId="0" applyNumberFormat="1" applyFont="1" applyFill="1" applyBorder="1" applyAlignment="1" applyProtection="1">
      <alignment horizontal="center" vertical="center" wrapText="1"/>
      <protection locked="0"/>
    </xf>
    <xf numFmtId="0" fontId="3" fillId="0" borderId="20" xfId="0" applyFont="1" applyFill="1" applyBorder="1" applyAlignment="1" applyProtection="1">
      <alignment horizontal="center" vertical="center"/>
      <protection locked="0"/>
    </xf>
    <xf numFmtId="0" fontId="3" fillId="0" borderId="0" xfId="0" applyFont="1" applyFill="1" applyBorder="1" applyAlignment="1" applyProtection="1">
      <alignment horizontal="center" vertical="center"/>
      <protection locked="0"/>
    </xf>
    <xf numFmtId="0" fontId="3" fillId="0" borderId="19" xfId="0" applyFont="1" applyFill="1" applyBorder="1" applyAlignment="1" applyProtection="1">
      <alignment horizontal="center" vertical="center"/>
      <protection locked="0"/>
    </xf>
    <xf numFmtId="0" fontId="38" fillId="0" borderId="68" xfId="0" applyFont="1" applyBorder="1" applyAlignment="1" applyProtection="1">
      <alignment horizontal="center"/>
      <protection locked="0"/>
    </xf>
    <xf numFmtId="0" fontId="38" fillId="0" borderId="16" xfId="0" applyFont="1" applyBorder="1" applyAlignment="1" applyProtection="1">
      <alignment horizontal="center"/>
      <protection locked="0"/>
    </xf>
    <xf numFmtId="0" fontId="3" fillId="0" borderId="38" xfId="0" applyFont="1" applyBorder="1" applyAlignment="1" applyProtection="1">
      <alignment horizontal="center"/>
      <protection hidden="1"/>
    </xf>
    <xf numFmtId="0" fontId="3" fillId="0" borderId="39" xfId="0" applyFont="1" applyBorder="1" applyAlignment="1" applyProtection="1">
      <alignment horizontal="center"/>
      <protection hidden="1"/>
    </xf>
    <xf numFmtId="0" fontId="7" fillId="0" borderId="0" xfId="14" applyFont="1" applyFill="1" applyAlignment="1" applyProtection="1">
      <alignment horizontal="center"/>
      <protection locked="0"/>
    </xf>
    <xf numFmtId="0" fontId="13" fillId="0" borderId="0" xfId="14" applyFont="1" applyFill="1" applyBorder="1" applyAlignment="1" applyProtection="1">
      <alignment horizontal="center" vertical="center"/>
      <protection locked="0"/>
    </xf>
    <xf numFmtId="0" fontId="13" fillId="0" borderId="0" xfId="14" applyFont="1" applyFill="1" applyBorder="1" applyAlignment="1" applyProtection="1">
      <alignment horizontal="center" vertical="center"/>
      <protection hidden="1"/>
    </xf>
    <xf numFmtId="0" fontId="4" fillId="0" borderId="0" xfId="14" applyFont="1" applyFill="1" applyAlignment="1" applyProtection="1">
      <alignment horizontal="center"/>
      <protection locked="0"/>
    </xf>
    <xf numFmtId="0" fontId="7" fillId="0" borderId="0" xfId="15" applyFont="1" applyFill="1" applyAlignment="1" applyProtection="1">
      <alignment horizontal="justify"/>
      <protection hidden="1"/>
    </xf>
    <xf numFmtId="0" fontId="4" fillId="0" borderId="3" xfId="14" applyFont="1" applyFill="1" applyBorder="1" applyAlignment="1" applyProtection="1">
      <alignment horizontal="center" vertical="center" wrapText="1"/>
      <protection locked="0"/>
    </xf>
    <xf numFmtId="0" fontId="3" fillId="0" borderId="0" xfId="14" applyFont="1" applyFill="1" applyBorder="1" applyAlignment="1" applyProtection="1">
      <alignment horizontal="center"/>
      <protection locked="0"/>
    </xf>
    <xf numFmtId="0" fontId="5" fillId="0" borderId="0" xfId="14" applyFont="1" applyFill="1" applyBorder="1" applyAlignment="1" applyProtection="1">
      <alignment horizontal="center"/>
      <protection locked="0"/>
    </xf>
    <xf numFmtId="0" fontId="6" fillId="0" borderId="0" xfId="14" applyFont="1" applyFill="1" applyBorder="1" applyAlignment="1" applyProtection="1">
      <alignment horizontal="center"/>
      <protection locked="0"/>
    </xf>
    <xf numFmtId="0" fontId="4" fillId="0" borderId="0" xfId="14" applyFont="1" applyFill="1" applyBorder="1" applyAlignment="1" applyProtection="1">
      <alignment horizontal="center"/>
      <protection locked="0"/>
    </xf>
    <xf numFmtId="0" fontId="2" fillId="0" borderId="0" xfId="14" applyFont="1" applyFill="1" applyBorder="1" applyAlignment="1" applyProtection="1">
      <alignment horizontal="center"/>
      <protection locked="0"/>
    </xf>
    <xf numFmtId="0" fontId="7" fillId="0" borderId="0" xfId="15" applyFont="1" applyFill="1" applyAlignment="1" applyProtection="1">
      <alignment horizontal="center" vertical="center" wrapText="1"/>
      <protection hidden="1"/>
    </xf>
    <xf numFmtId="0" fontId="13" fillId="0" borderId="29" xfId="14" applyFont="1" applyFill="1" applyBorder="1" applyAlignment="1" applyProtection="1">
      <alignment horizontal="center"/>
      <protection locked="0"/>
    </xf>
    <xf numFmtId="0" fontId="4" fillId="0" borderId="3" xfId="0" applyFont="1" applyFill="1" applyBorder="1" applyAlignment="1" applyProtection="1">
      <alignment horizontal="center" vertical="center" wrapText="1"/>
      <protection locked="0"/>
    </xf>
    <xf numFmtId="0" fontId="7" fillId="0" borderId="69" xfId="14" applyFont="1" applyFill="1" applyBorder="1" applyAlignment="1" applyProtection="1">
      <alignment horizontal="center"/>
      <protection locked="0"/>
    </xf>
    <xf numFmtId="0" fontId="10" fillId="0" borderId="0" xfId="14" applyFont="1" applyFill="1" applyAlignment="1" applyProtection="1">
      <alignment horizontal="right"/>
      <protection hidden="1"/>
    </xf>
    <xf numFmtId="0" fontId="7" fillId="0" borderId="0" xfId="0" applyFont="1" applyFill="1" applyAlignment="1" applyProtection="1">
      <alignment horizontal="center" vertical="center" wrapText="1"/>
      <protection hidden="1"/>
    </xf>
    <xf numFmtId="0" fontId="14" fillId="0" borderId="0" xfId="14" applyFont="1" applyFill="1" applyAlignment="1" applyProtection="1">
      <alignment horizontal="center"/>
      <protection locked="0"/>
    </xf>
    <xf numFmtId="0" fontId="14" fillId="0" borderId="0" xfId="14" applyFont="1" applyFill="1" applyAlignment="1" applyProtection="1">
      <alignment horizontal="left"/>
      <protection locked="0"/>
    </xf>
    <xf numFmtId="0" fontId="4" fillId="0" borderId="21" xfId="14" applyFont="1" applyFill="1" applyBorder="1" applyAlignment="1" applyProtection="1">
      <alignment horizontal="center" vertical="center" wrapText="1"/>
      <protection locked="0"/>
    </xf>
    <xf numFmtId="0" fontId="4" fillId="0" borderId="7" xfId="14" applyFont="1" applyFill="1" applyBorder="1" applyAlignment="1" applyProtection="1">
      <alignment horizontal="center" vertical="center" wrapText="1"/>
      <protection locked="0"/>
    </xf>
    <xf numFmtId="0" fontId="4" fillId="0" borderId="74" xfId="14" applyFont="1" applyFill="1" applyBorder="1" applyAlignment="1" applyProtection="1">
      <alignment horizontal="center" vertical="center" wrapText="1"/>
      <protection locked="0"/>
    </xf>
    <xf numFmtId="0" fontId="4" fillId="0" borderId="6" xfId="14" applyFont="1" applyFill="1" applyBorder="1" applyAlignment="1" applyProtection="1">
      <alignment horizontal="center" vertical="center" wrapText="1"/>
      <protection locked="0"/>
    </xf>
    <xf numFmtId="0" fontId="4" fillId="0" borderId="7" xfId="0" applyFont="1" applyFill="1" applyBorder="1" applyAlignment="1" applyProtection="1">
      <alignment horizontal="center" vertical="center" wrapText="1"/>
      <protection locked="0"/>
    </xf>
    <xf numFmtId="0" fontId="4" fillId="0" borderId="6" xfId="0" applyFont="1" applyFill="1" applyBorder="1" applyAlignment="1" applyProtection="1">
      <alignment horizontal="center" vertical="center" wrapText="1"/>
      <protection locked="0"/>
    </xf>
    <xf numFmtId="9" fontId="4" fillId="0" borderId="3" xfId="0" applyNumberFormat="1" applyFont="1" applyFill="1" applyBorder="1" applyAlignment="1" applyProtection="1">
      <alignment horizontal="center" vertical="center" wrapText="1"/>
      <protection locked="0"/>
    </xf>
    <xf numFmtId="0" fontId="10" fillId="0" borderId="0" xfId="14" applyFont="1" applyFill="1" applyAlignment="1" applyProtection="1">
      <alignment horizontal="justify"/>
      <protection hidden="1"/>
    </xf>
    <xf numFmtId="0" fontId="2" fillId="0" borderId="3" xfId="0" applyFont="1" applyFill="1" applyBorder="1" applyAlignment="1" applyProtection="1">
      <alignment horizontal="center" vertical="center" wrapText="1"/>
      <protection locked="0"/>
    </xf>
    <xf numFmtId="0" fontId="7" fillId="0" borderId="69" xfId="14" applyFont="1" applyFill="1" applyBorder="1" applyAlignment="1" applyProtection="1">
      <alignment horizontal="justify"/>
      <protection locked="0"/>
    </xf>
    <xf numFmtId="0" fontId="4" fillId="0" borderId="0" xfId="0" applyFont="1" applyFill="1" applyBorder="1" applyAlignment="1" applyProtection="1">
      <alignment horizontal="center"/>
      <protection locked="0"/>
    </xf>
    <xf numFmtId="0" fontId="5" fillId="0" borderId="0" xfId="0" applyFont="1" applyFill="1" applyBorder="1" applyAlignment="1" applyProtection="1">
      <alignment horizontal="center"/>
      <protection locked="0"/>
    </xf>
    <xf numFmtId="0" fontId="2" fillId="0" borderId="0" xfId="0" applyFont="1" applyFill="1" applyBorder="1" applyAlignment="1" applyProtection="1">
      <alignment horizontal="center"/>
      <protection locked="0"/>
    </xf>
    <xf numFmtId="0" fontId="38" fillId="0" borderId="0" xfId="0" applyFont="1" applyFill="1" applyBorder="1" applyAlignment="1" applyProtection="1">
      <alignment horizontal="center"/>
      <protection locked="0"/>
    </xf>
    <xf numFmtId="0" fontId="2" fillId="0" borderId="75" xfId="0" applyFont="1" applyFill="1" applyBorder="1" applyAlignment="1" applyProtection="1">
      <alignment horizontal="center" vertical="center" wrapText="1"/>
      <protection locked="0"/>
    </xf>
    <xf numFmtId="0" fontId="3" fillId="0" borderId="7" xfId="0" applyFont="1" applyFill="1" applyBorder="1" applyAlignment="1" applyProtection="1">
      <alignment horizontal="center" vertical="center" wrapText="1"/>
      <protection locked="0"/>
    </xf>
    <xf numFmtId="0" fontId="3" fillId="0" borderId="74" xfId="0" applyFont="1" applyFill="1" applyBorder="1" applyAlignment="1" applyProtection="1">
      <alignment horizontal="center" vertical="center" wrapText="1"/>
      <protection locked="0"/>
    </xf>
    <xf numFmtId="0" fontId="3" fillId="0" borderId="6" xfId="0" applyFont="1" applyFill="1" applyBorder="1" applyAlignment="1" applyProtection="1">
      <alignment horizontal="center" vertical="center" wrapText="1"/>
      <protection locked="0"/>
    </xf>
    <xf numFmtId="0" fontId="3" fillId="0" borderId="76" xfId="0" applyFont="1" applyFill="1" applyBorder="1" applyAlignment="1" applyProtection="1">
      <alignment horizontal="center" vertical="center" wrapText="1"/>
      <protection locked="0"/>
    </xf>
    <xf numFmtId="0" fontId="3" fillId="0" borderId="77" xfId="0" applyFont="1" applyFill="1" applyBorder="1" applyAlignment="1" applyProtection="1">
      <alignment horizontal="center" vertical="center" wrapText="1"/>
      <protection locked="0"/>
    </xf>
    <xf numFmtId="0" fontId="3" fillId="0" borderId="75" xfId="0" applyFont="1" applyFill="1" applyBorder="1" applyAlignment="1" applyProtection="1">
      <alignment horizontal="center" vertical="center" wrapText="1"/>
      <protection locked="0"/>
    </xf>
    <xf numFmtId="0" fontId="3" fillId="0" borderId="78" xfId="0" applyFont="1" applyFill="1" applyBorder="1" applyAlignment="1" applyProtection="1">
      <alignment horizontal="center" vertical="center" wrapText="1"/>
      <protection locked="0"/>
    </xf>
    <xf numFmtId="0" fontId="3" fillId="0" borderId="79" xfId="0" applyFont="1" applyFill="1" applyBorder="1" applyAlignment="1" applyProtection="1">
      <alignment horizontal="center" vertical="center" wrapText="1"/>
      <protection locked="0"/>
    </xf>
    <xf numFmtId="0" fontId="3" fillId="0" borderId="80" xfId="0" applyFont="1" applyFill="1" applyBorder="1" applyAlignment="1" applyProtection="1">
      <alignment horizontal="center" vertical="center" wrapText="1"/>
      <protection locked="0"/>
    </xf>
    <xf numFmtId="9" fontId="3" fillId="0" borderId="3" xfId="0" applyNumberFormat="1" applyFont="1" applyFill="1" applyBorder="1" applyAlignment="1" applyProtection="1">
      <alignment horizontal="center" vertical="center" wrapText="1"/>
      <protection locked="0"/>
    </xf>
    <xf numFmtId="0" fontId="3" fillId="0" borderId="21" xfId="0" applyFont="1" applyFill="1" applyBorder="1" applyAlignment="1" applyProtection="1">
      <alignment horizontal="center" vertical="center" wrapText="1"/>
      <protection locked="0"/>
    </xf>
    <xf numFmtId="0" fontId="3" fillId="0" borderId="2" xfId="0" applyFont="1" applyFill="1" applyBorder="1" applyAlignment="1" applyProtection="1">
      <alignment horizontal="center" vertical="center" wrapText="1"/>
      <protection locked="0"/>
    </xf>
    <xf numFmtId="0" fontId="3" fillId="0" borderId="22" xfId="0" applyFont="1" applyFill="1" applyBorder="1" applyAlignment="1" applyProtection="1">
      <alignment horizontal="center" vertical="center" wrapText="1"/>
      <protection locked="0"/>
    </xf>
    <xf numFmtId="0" fontId="7" fillId="0" borderId="0" xfId="15" applyFont="1" applyFill="1" applyAlignment="1" applyProtection="1">
      <alignment horizontal="center"/>
      <protection hidden="1"/>
    </xf>
  </cellXfs>
  <cellStyles count="39">
    <cellStyle name="Comma" xfId="1" builtinId="3"/>
    <cellStyle name="Comma0" xfId="2"/>
    <cellStyle name="Currency0" xfId="3"/>
    <cellStyle name="Date" xfId="4"/>
    <cellStyle name="Fixed" xfId="5"/>
    <cellStyle name="Header1" xfId="6"/>
    <cellStyle name="Header2" xfId="7"/>
    <cellStyle name="Heading 1" xfId="8" builtinId="16" customBuiltin="1"/>
    <cellStyle name="Heading 2" xfId="9" builtinId="17" customBuiltin="1"/>
    <cellStyle name="Hoa-Scholl" xfId="10"/>
    <cellStyle name="n" xfId="11"/>
    <cellStyle name="Normal" xfId="0" builtinId="0"/>
    <cellStyle name="Normal_BANG DIEM HOC PHAN CAO DANG NIEN CHE" xfId="12"/>
    <cellStyle name="Normal_BANG DIEM HOC PHAN CD NIEN CHE" xfId="13"/>
    <cellStyle name="Normal_BANG DIEM HOC PHAN TCCN HK 01" xfId="14"/>
    <cellStyle name="Normal_BANG DIEM HOC PHAN TCCN HK 02" xfId="15"/>
    <cellStyle name="Normal_Chuyển Cô Đào DS.HSSV THUC HỌC 2014-2015" xfId="16"/>
    <cellStyle name="Percent" xfId="17" builtinId="5"/>
    <cellStyle name="Total" xfId="18" builtinId="25" customBuiltin="1"/>
    <cellStyle name=" [0.00]_ Att. 1- Cover" xfId="36"/>
    <cellStyle name="_ Att. 1- Cover" xfId="37"/>
    <cellStyle name="?_ Att. 1- Cover" xfId="38"/>
    <cellStyle name="똿뗦먛귟 [0.00]_PRODUCT DETAIL Q1" xfId="19"/>
    <cellStyle name="똿뗦먛귟_PRODUCT DETAIL Q1" xfId="20"/>
    <cellStyle name="믅됞 [0.00]_PRODUCT DETAIL Q1" xfId="21"/>
    <cellStyle name="믅됞_PRODUCT DETAIL Q1" xfId="22"/>
    <cellStyle name="백분율_95" xfId="23"/>
    <cellStyle name="뷭?_BOOKSHIP" xfId="24"/>
    <cellStyle name="콤마 [0]_1202" xfId="28"/>
    <cellStyle name="콤마_1202" xfId="29"/>
    <cellStyle name="통화 [0]_1202" xfId="30"/>
    <cellStyle name="통화_1202" xfId="31"/>
    <cellStyle name="표준_(정보부문)월별인원계획" xfId="32"/>
    <cellStyle name="一般_99Q3647-ALL-CAS2" xfId="25"/>
    <cellStyle name="千分位[0]_Book1" xfId="26"/>
    <cellStyle name="千分位_99Q3647-ALL-CAS2" xfId="27"/>
    <cellStyle name="貨幣 [0]_Book1" xfId="33"/>
    <cellStyle name="貨幣[0]_BRE" xfId="34"/>
    <cellStyle name="貨幣_Book1" xfId="35"/>
  </cellStyles>
  <dxfs count="29">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1"/>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5"/>
        </patternFill>
      </fill>
    </dxf>
    <dxf>
      <fill>
        <patternFill>
          <bgColor indexed="41"/>
        </patternFill>
      </fill>
    </dxf>
    <dxf>
      <fill>
        <patternFill>
          <bgColor indexed="45"/>
        </patternFill>
      </fill>
    </dxf>
    <dxf>
      <fill>
        <patternFill>
          <bgColor indexed="45"/>
        </patternFill>
      </fill>
    </dxf>
    <dxf>
      <fill>
        <patternFill>
          <bgColor indexed="42"/>
        </patternFill>
      </fill>
    </dxf>
    <dxf>
      <fill>
        <patternFill>
          <bgColor indexed="45"/>
        </patternFill>
      </fill>
    </dxf>
    <dxf>
      <fill>
        <patternFill>
          <bgColor indexed="45"/>
        </patternFill>
      </fill>
    </dxf>
    <dxf>
      <font>
        <condense val="0"/>
        <extend val="0"/>
      </font>
      <fill>
        <patternFill>
          <bgColor indexed="42"/>
        </patternFill>
      </fill>
    </dxf>
    <dxf>
      <fill>
        <patternFill>
          <bgColor indexed="45"/>
        </patternFill>
      </fill>
    </dxf>
    <dxf>
      <fill>
        <patternFill>
          <bgColor indexed="10"/>
        </patternFill>
      </fill>
    </dxf>
    <dxf>
      <fill>
        <patternFill>
          <bgColor indexed="45"/>
        </patternFill>
      </fill>
    </dxf>
    <dxf>
      <fill>
        <patternFill>
          <bgColor indexed="45"/>
        </patternFill>
      </fill>
    </dxf>
    <dxf>
      <font>
        <condense val="0"/>
        <extend val="0"/>
      </font>
      <fill>
        <patternFill>
          <bgColor indexed="42"/>
        </patternFill>
      </fill>
    </dxf>
    <dxf>
      <fill>
        <patternFill>
          <bgColor indexed="45"/>
        </patternFill>
      </fill>
    </dxf>
  </dxfs>
  <tableStyles count="0" defaultTableStyle="TableStyleMedium2" defaultPivotStyle="PivotStyleLight16"/>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calcChain" Target="calcChain.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styles" Target="style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s>
</file>

<file path=xl/drawings/drawing1.xml><?xml version="1.0" encoding="utf-8"?>
<xdr:wsDr xmlns:xdr="http://schemas.openxmlformats.org/drawingml/2006/spreadsheetDrawing" xmlns:a="http://schemas.openxmlformats.org/drawingml/2006/main">
  <xdr:twoCellAnchor>
    <xdr:from>
      <xdr:col>1</xdr:col>
      <xdr:colOff>219075</xdr:colOff>
      <xdr:row>0</xdr:row>
      <xdr:rowOff>0</xdr:rowOff>
    </xdr:from>
    <xdr:to>
      <xdr:col>4</xdr:col>
      <xdr:colOff>400050</xdr:colOff>
      <xdr:row>0</xdr:row>
      <xdr:rowOff>0</xdr:rowOff>
    </xdr:to>
    <xdr:sp macro="" textlink="">
      <xdr:nvSpPr>
        <xdr:cNvPr id="3077" name="Line 1"/>
        <xdr:cNvSpPr>
          <a:spLocks noChangeShapeType="1"/>
        </xdr:cNvSpPr>
      </xdr:nvSpPr>
      <xdr:spPr bwMode="auto">
        <a:xfrm>
          <a:off x="495300" y="0"/>
          <a:ext cx="2352675" cy="0"/>
        </a:xfrm>
        <a:prstGeom prst="line">
          <a:avLst/>
        </a:prstGeom>
        <a:noFill/>
        <a:ln w="9525">
          <a:solidFill>
            <a:srgbClr val="000000"/>
          </a:solidFill>
          <a:round/>
          <a:headEnd/>
          <a:tailEnd/>
        </a:ln>
      </xdr:spPr>
    </xdr:sp>
    <xdr:clientData/>
  </xdr:twoCellAnchor>
  <xdr:twoCellAnchor>
    <xdr:from>
      <xdr:col>4</xdr:col>
      <xdr:colOff>2162175</xdr:colOff>
      <xdr:row>0</xdr:row>
      <xdr:rowOff>0</xdr:rowOff>
    </xdr:from>
    <xdr:to>
      <xdr:col>7</xdr:col>
      <xdr:colOff>428625</xdr:colOff>
      <xdr:row>0</xdr:row>
      <xdr:rowOff>0</xdr:rowOff>
    </xdr:to>
    <xdr:sp macro="" textlink="">
      <xdr:nvSpPr>
        <xdr:cNvPr id="3078" name="Line 2"/>
        <xdr:cNvSpPr>
          <a:spLocks noChangeShapeType="1"/>
        </xdr:cNvSpPr>
      </xdr:nvSpPr>
      <xdr:spPr bwMode="auto">
        <a:xfrm>
          <a:off x="4429125" y="0"/>
          <a:ext cx="1704975" cy="0"/>
        </a:xfrm>
        <a:prstGeom prst="line">
          <a:avLst/>
        </a:prstGeom>
        <a:noFill/>
        <a:ln w="9525">
          <a:solidFill>
            <a:srgbClr val="000000"/>
          </a:solidFill>
          <a:round/>
          <a:headEnd/>
          <a:tailEnd/>
        </a:ln>
      </xdr:spPr>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dungquat\goi3\Form%20nop%20thau\PNT-P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ER\PROJECT\PROP\DA0630\INQ'Y\STEEL\DA0463BQ.XLW"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E:\DOCUMENT\DAUTHAU\Dungquat\GOI3\DUNGQUAT-6.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Dung%20Quat\Nhom%20GC\New%20Folder\My%20Documents\3533\99Q\99Q3657\99Q3299(REV.0).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N:\MGT-DRT\MGT-IMPR\MGT-SC@\DA0463\QTN-INSN\WILLICH\INSUL.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N:\MGT-DRT\MGT-IMPR\MGT-SC@\BA0397\INSULT'N\INS\ASK\PIPE-03E.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C:\Dung%20Quat\Nhom%20GC\New%20Folder\My%20Documents\3533\96Q\96q2588\PANEL.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SERVER\PROJECT\WINDOWS\TEMP\IBASE2.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E:\CS3408\Standard\RPT.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13CD-D_NH%2013-14/13CD-D1_HKII_13-14%20co%20ren%20luyen.xls"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NT-QUOT-#3"/>
      <sheetName val="COAT&amp;WRAP-QIOT-#3"/>
      <sheetName val="XL4Poppy"/>
    </sheetNames>
    <sheetDataSet>
      <sheetData sheetId="0"/>
      <sheetData sheetId="1"/>
      <sheetData sheetId="2"/>
    </sheetDataSet>
  </externalBook>
</externalLink>
</file>

<file path=xl/externalLinks/externalLink2.xml><?xml version="1.0" encoding="utf-8"?>
<externalLink xmlns="http://schemas.openxmlformats.org/spreadsheetml/2006/main">
  <externalBook xmlns:r="http://schemas.openxmlformats.org/officeDocument/2006/relationships" r:id="rId1">
    <sheetNames>
      <sheetName val="BOQ FORM FOR INQUIRY"/>
      <sheetName val="FORM OF PROPOSAL RFP-003"/>
      <sheetName val="??-BLDG"/>
      <sheetName val="???????-BLDG"/>
      <sheetName val="__-BLDG"/>
      <sheetName val="_______-BLDG"/>
    </sheetNames>
    <sheetDataSet>
      <sheetData sheetId="0"/>
      <sheetData sheetId="1"/>
      <sheetData sheetId="2"/>
      <sheetData sheetId="3"/>
      <sheetData sheetId="4"/>
      <sheetData sheetId="5"/>
    </sheetDataSet>
  </externalBook>
</externalLink>
</file>

<file path=xl/externalLinks/externalLink3.xml><?xml version="1.0" encoding="utf-8"?>
<externalLink xmlns="http://schemas.openxmlformats.org/spreadsheetml/2006/main">
  <externalBook xmlns:r="http://schemas.openxmlformats.org/officeDocument/2006/relationships" r:id="rId1">
    <sheetNames>
      <sheetName val="MTO REV.1(ARMOR)"/>
      <sheetName val="SUM-BQ-REV.1"/>
      <sheetName val="VENDOR-QUOTES"/>
      <sheetName val="HV SWGR &amp; MCC"/>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 val="PBD"/>
      <sheetName val="MTO REV.0(NON-ARMOR)"/>
      <sheetName val="MTO REV.0(ARMOR ON SHORE)"/>
      <sheetName val="CABLE"/>
      <sheetName val="MTO REV.2(ARMOR)"/>
      <sheetName val="SUM-BQ-REV.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Set>
  </externalBook>
</externalLink>
</file>

<file path=xl/externalLinks/externalLink4.xml><?xml version="1.0" encoding="utf-8"?>
<externalLink xmlns="http://schemas.openxmlformats.org/spreadsheetml/2006/main">
  <externalBook xmlns:r="http://schemas.openxmlformats.org/officeDocument/2006/relationships" r:id="rId1">
    <sheetNames>
      <sheetName val="MTL$-INTER"/>
      <sheetName val="MTL$-TRUNCK-AG"/>
      <sheetName val="MTL$-PRODTANK-UG"/>
      <sheetName val="MTL$-PRODTANK-AG"/>
      <sheetName val="MTL$-JETTY"/>
      <sheetName val="MTL$-TRUNCK-UG"/>
      <sheetName val="XL4Poppy"/>
    </sheetNames>
    <sheetDataSet>
      <sheetData sheetId="0"/>
      <sheetData sheetId="1"/>
      <sheetData sheetId="2"/>
      <sheetData sheetId="3"/>
      <sheetData sheetId="4"/>
      <sheetData sheetId="5"/>
      <sheetData sheetId="6"/>
    </sheetDataSet>
  </externalBook>
</externalLink>
</file>

<file path=xl/externalLinks/externalLink5.xml><?xml version="1.0" encoding="utf-8"?>
<externalLink xmlns="http://schemas.openxmlformats.org/spreadsheetml/2006/main">
  <externalBook xmlns:r="http://schemas.openxmlformats.org/officeDocument/2006/relationships" r:id="rId1">
    <sheetNames>
      <sheetName val="CABLE"/>
      <sheetName val="MTO REV.0"/>
      <sheetName val="VENDOR-QUOTES"/>
      <sheetName val="SUM REV.0"/>
      <sheetName val="SUM-BQ"/>
      <sheetName val="BUILDING ELE."/>
      <sheetName val="PAINTING"/>
      <sheetName val="CATHODIC PROTECTION"/>
      <sheetName val="PAGE-PARTY"/>
      <sheetName val="CCTV"/>
      <sheetName val="WEATHER PROOF LTG. &amp; ROD LTG."/>
      <sheetName val="PVC CONDUIT"/>
      <sheetName val="BOX"/>
      <sheetName val="CABLE TRAY"/>
      <sheetName val="TERMINAL KIT"/>
      <sheetName val="EXP-PROOF EQUIPMENT"/>
      <sheetName val="COVE-PAGE"/>
    </sheetNames>
    <sheetDataSet>
      <sheetData sheetId="0" refreshError="1"/>
      <sheetData sheetId="1">
        <row r="1">
          <cell r="A1" t="str">
            <v>PRICE BREAKDOWN FOR ELECTRICAL INSTALLATION WORK</v>
          </cell>
          <cell r="G1" t="str">
            <v xml:space="preserve"> </v>
          </cell>
          <cell r="K1" t="str">
            <v xml:space="preserve"> </v>
          </cell>
        </row>
        <row r="2">
          <cell r="B2" t="str">
            <v>東鼎  LNG TERMINAL</v>
          </cell>
          <cell r="G2" t="str">
            <v xml:space="preserve"> </v>
          </cell>
          <cell r="I2" t="str">
            <v>CTCI Q. NO. : 99Q3299</v>
          </cell>
          <cell r="P2" t="str">
            <v>CTCI Q. NO. : 99Q3299</v>
          </cell>
        </row>
        <row r="3">
          <cell r="B3" t="str">
            <v>LOCATION: 桃園 觀塘工業區</v>
          </cell>
        </row>
        <row r="5">
          <cell r="E5" t="str">
            <v xml:space="preserve">                  TO SITE</v>
          </cell>
          <cell r="G5" t="str">
            <v xml:space="preserve">                  TO SITE</v>
          </cell>
          <cell r="K5" t="str">
            <v xml:space="preserve">                  TO SITE</v>
          </cell>
          <cell r="M5" t="str">
            <v xml:space="preserve">                  TO SITE</v>
          </cell>
        </row>
        <row r="6">
          <cell r="E6" t="str">
            <v xml:space="preserve"> ON SHORE MAT'L (NET) NT$</v>
          </cell>
          <cell r="G6" t="str">
            <v xml:space="preserve"> OFF SHORE MAT'L (NET) US$</v>
          </cell>
          <cell r="I6" t="str">
            <v xml:space="preserve">          LABOR MH (NET) </v>
          </cell>
          <cell r="K6" t="str">
            <v xml:space="preserve">     ON SHORE MAT'L NT$</v>
          </cell>
          <cell r="M6" t="str">
            <v xml:space="preserve">   OFF SHORE MAT'L US$</v>
          </cell>
          <cell r="O6" t="str">
            <v xml:space="preserve">        LABOR PRICE NT$</v>
          </cell>
          <cell r="Q6" t="str">
            <v>REMARK</v>
          </cell>
        </row>
        <row r="7">
          <cell r="A7" t="str">
            <v>NO.</v>
          </cell>
          <cell r="B7" t="str">
            <v>DESCRIPTION</v>
          </cell>
          <cell r="C7" t="str">
            <v>Q'TY</v>
          </cell>
          <cell r="D7" t="str">
            <v>UNIT</v>
          </cell>
          <cell r="E7" t="str">
            <v>U/P</v>
          </cell>
          <cell r="F7" t="str">
            <v>TOTAL</v>
          </cell>
          <cell r="G7" t="str">
            <v>U/P</v>
          </cell>
          <cell r="H7" t="str">
            <v>TOTAL</v>
          </cell>
          <cell r="I7" t="str">
            <v>U/P</v>
          </cell>
          <cell r="J7" t="str">
            <v>TOTAL</v>
          </cell>
          <cell r="K7" t="str">
            <v>U/P</v>
          </cell>
          <cell r="L7" t="str">
            <v>TOTAL</v>
          </cell>
          <cell r="M7" t="str">
            <v>U/P</v>
          </cell>
          <cell r="N7" t="str">
            <v>TOTAL</v>
          </cell>
          <cell r="O7" t="str">
            <v>U/P</v>
          </cell>
          <cell r="P7" t="str">
            <v>TOTAL</v>
          </cell>
        </row>
        <row r="9">
          <cell r="A9" t="str">
            <v>ALT-1</v>
          </cell>
          <cell r="B9" t="str">
            <v xml:space="preserve">         PRICE SUMMARY</v>
          </cell>
        </row>
        <row r="11">
          <cell r="A11" t="str">
            <v xml:space="preserve">  A.</v>
          </cell>
          <cell r="B11" t="str">
            <v xml:space="preserve"> POWER EQUIPMENT </v>
          </cell>
          <cell r="C11">
            <v>1</v>
          </cell>
          <cell r="D11" t="str">
            <v>LOT</v>
          </cell>
          <cell r="E11">
            <v>138612100</v>
          </cell>
          <cell r="F11">
            <v>138612100</v>
          </cell>
          <cell r="H11">
            <v>0</v>
          </cell>
          <cell r="I11">
            <v>13764</v>
          </cell>
          <cell r="J11">
            <v>13764</v>
          </cell>
          <cell r="K11">
            <v>138612100</v>
          </cell>
          <cell r="L11">
            <v>138612100</v>
          </cell>
          <cell r="M11">
            <v>0</v>
          </cell>
          <cell r="N11">
            <v>0</v>
          </cell>
          <cell r="O11">
            <v>6155030</v>
          </cell>
          <cell r="P11">
            <v>6155030</v>
          </cell>
        </row>
        <row r="12">
          <cell r="F12">
            <v>0</v>
          </cell>
          <cell r="J12">
            <v>0</v>
          </cell>
          <cell r="L12">
            <v>0</v>
          </cell>
          <cell r="P12">
            <v>0</v>
          </cell>
        </row>
        <row r="13">
          <cell r="A13" t="str">
            <v xml:space="preserve">  B.</v>
          </cell>
          <cell r="B13" t="str">
            <v xml:space="preserve"> POWER DISTRIBUTION SYSTEM</v>
          </cell>
          <cell r="C13">
            <v>130730</v>
          </cell>
          <cell r="D13" t="str">
            <v>M</v>
          </cell>
          <cell r="E13">
            <v>178.00177465004208</v>
          </cell>
          <cell r="F13">
            <v>23270172</v>
          </cell>
          <cell r="H13">
            <v>0</v>
          </cell>
          <cell r="I13">
            <v>0.25310181289681022</v>
          </cell>
          <cell r="J13">
            <v>33088</v>
          </cell>
          <cell r="K13">
            <v>178.00177465004208</v>
          </cell>
          <cell r="L13">
            <v>23270172</v>
          </cell>
          <cell r="M13">
            <v>0</v>
          </cell>
          <cell r="N13">
            <v>0</v>
          </cell>
          <cell r="O13">
            <v>70.851243019964812</v>
          </cell>
          <cell r="P13">
            <v>9262383</v>
          </cell>
        </row>
        <row r="14">
          <cell r="F14">
            <v>0</v>
          </cell>
          <cell r="H14">
            <v>0</v>
          </cell>
          <cell r="J14">
            <v>0</v>
          </cell>
          <cell r="K14">
            <v>0</v>
          </cell>
          <cell r="L14">
            <v>0</v>
          </cell>
          <cell r="M14">
            <v>0</v>
          </cell>
          <cell r="N14">
            <v>0</v>
          </cell>
          <cell r="O14">
            <v>0</v>
          </cell>
          <cell r="P14">
            <v>0</v>
          </cell>
        </row>
        <row r="15">
          <cell r="A15" t="str">
            <v xml:space="preserve">  C.</v>
          </cell>
          <cell r="B15" t="str">
            <v xml:space="preserve"> LIGHTING SYSTEM</v>
          </cell>
          <cell r="C15">
            <v>508</v>
          </cell>
          <cell r="D15" t="str">
            <v>SET</v>
          </cell>
          <cell r="E15">
            <v>18871.641732283464</v>
          </cell>
          <cell r="F15">
            <v>9586794</v>
          </cell>
          <cell r="H15">
            <v>0</v>
          </cell>
          <cell r="I15">
            <v>28.084645669291337</v>
          </cell>
          <cell r="J15">
            <v>14267</v>
          </cell>
          <cell r="K15">
            <v>18871.641732283464</v>
          </cell>
          <cell r="L15">
            <v>9586794</v>
          </cell>
          <cell r="M15">
            <v>0</v>
          </cell>
          <cell r="N15">
            <v>0</v>
          </cell>
          <cell r="O15">
            <v>8470.6830708661419</v>
          </cell>
          <cell r="P15">
            <v>4303107</v>
          </cell>
        </row>
        <row r="16">
          <cell r="F16">
            <v>0</v>
          </cell>
          <cell r="H16">
            <v>0</v>
          </cell>
          <cell r="J16">
            <v>0</v>
          </cell>
          <cell r="K16">
            <v>0</v>
          </cell>
          <cell r="L16">
            <v>0</v>
          </cell>
          <cell r="M16">
            <v>0</v>
          </cell>
          <cell r="N16">
            <v>0</v>
          </cell>
          <cell r="O16">
            <v>0</v>
          </cell>
          <cell r="P16">
            <v>0</v>
          </cell>
        </row>
        <row r="17">
          <cell r="A17" t="str">
            <v xml:space="preserve">  D.</v>
          </cell>
          <cell r="B17" t="str">
            <v xml:space="preserve"> GROUNDING &amp; LIGHTNING PROTECTION SYSTEM</v>
          </cell>
          <cell r="C17">
            <v>8620</v>
          </cell>
          <cell r="D17" t="str">
            <v>M</v>
          </cell>
          <cell r="E17">
            <v>104.6885150812065</v>
          </cell>
          <cell r="F17">
            <v>902415</v>
          </cell>
          <cell r="H17">
            <v>0</v>
          </cell>
          <cell r="I17">
            <v>0.40336426914153134</v>
          </cell>
          <cell r="J17">
            <v>3477</v>
          </cell>
          <cell r="K17">
            <v>104.6885150812065</v>
          </cell>
          <cell r="L17">
            <v>902415</v>
          </cell>
          <cell r="M17">
            <v>0</v>
          </cell>
          <cell r="N17">
            <v>0</v>
          </cell>
          <cell r="O17">
            <v>146.95568445475638</v>
          </cell>
          <cell r="P17">
            <v>1266758</v>
          </cell>
        </row>
        <row r="18">
          <cell r="F18">
            <v>0</v>
          </cell>
          <cell r="H18">
            <v>0</v>
          </cell>
          <cell r="J18">
            <v>0</v>
          </cell>
          <cell r="K18">
            <v>0</v>
          </cell>
          <cell r="L18">
            <v>0</v>
          </cell>
          <cell r="M18">
            <v>0</v>
          </cell>
          <cell r="N18">
            <v>0</v>
          </cell>
          <cell r="O18">
            <v>0</v>
          </cell>
          <cell r="P18">
            <v>0</v>
          </cell>
        </row>
        <row r="19">
          <cell r="A19" t="str">
            <v xml:space="preserve">  E.</v>
          </cell>
          <cell r="B19" t="str">
            <v xml:space="preserve"> TELEPHONE SYSTEM</v>
          </cell>
          <cell r="C19">
            <v>2250</v>
          </cell>
          <cell r="D19" t="str">
            <v>M</v>
          </cell>
          <cell r="E19">
            <v>219.19555555555556</v>
          </cell>
          <cell r="F19">
            <v>493190</v>
          </cell>
          <cell r="H19">
            <v>0</v>
          </cell>
          <cell r="I19">
            <v>0.20088888888888889</v>
          </cell>
          <cell r="J19">
            <v>452</v>
          </cell>
          <cell r="K19">
            <v>219.19555555555556</v>
          </cell>
          <cell r="L19">
            <v>493190</v>
          </cell>
          <cell r="M19">
            <v>0</v>
          </cell>
          <cell r="N19">
            <v>0</v>
          </cell>
          <cell r="O19">
            <v>56.222222222222221</v>
          </cell>
          <cell r="P19">
            <v>126500</v>
          </cell>
        </row>
        <row r="20">
          <cell r="F20">
            <v>0</v>
          </cell>
          <cell r="H20">
            <v>0</v>
          </cell>
          <cell r="J20">
            <v>0</v>
          </cell>
          <cell r="K20">
            <v>0</v>
          </cell>
          <cell r="L20">
            <v>0</v>
          </cell>
          <cell r="M20">
            <v>0</v>
          </cell>
          <cell r="N20">
            <v>0</v>
          </cell>
          <cell r="O20">
            <v>0</v>
          </cell>
          <cell r="P20">
            <v>0</v>
          </cell>
        </row>
        <row r="21">
          <cell r="A21" t="str">
            <v xml:space="preserve">  F.</v>
          </cell>
          <cell r="B21" t="str">
            <v xml:space="preserve"> PAGE/INTERCOMMUNICATION SYSTEM</v>
          </cell>
          <cell r="C21">
            <v>15</v>
          </cell>
          <cell r="D21" t="str">
            <v>SET</v>
          </cell>
          <cell r="E21">
            <v>67271.8</v>
          </cell>
          <cell r="F21">
            <v>1009077</v>
          </cell>
          <cell r="H21">
            <v>0</v>
          </cell>
          <cell r="I21">
            <v>87.266666666666666</v>
          </cell>
          <cell r="J21">
            <v>1309</v>
          </cell>
          <cell r="K21">
            <v>67271.8</v>
          </cell>
          <cell r="L21">
            <v>1009077</v>
          </cell>
          <cell r="M21">
            <v>0</v>
          </cell>
          <cell r="N21">
            <v>0</v>
          </cell>
          <cell r="O21">
            <v>24435.333333333332</v>
          </cell>
          <cell r="P21">
            <v>366530</v>
          </cell>
        </row>
        <row r="22">
          <cell r="F22">
            <v>0</v>
          </cell>
          <cell r="H22">
            <v>0</v>
          </cell>
          <cell r="J22">
            <v>0</v>
          </cell>
          <cell r="K22">
            <v>0</v>
          </cell>
          <cell r="L22">
            <v>0</v>
          </cell>
          <cell r="M22">
            <v>0</v>
          </cell>
          <cell r="N22">
            <v>0</v>
          </cell>
          <cell r="O22">
            <v>0</v>
          </cell>
          <cell r="P22">
            <v>0</v>
          </cell>
        </row>
        <row r="23">
          <cell r="A23" t="str">
            <v xml:space="preserve">  G.</v>
          </cell>
          <cell r="B23" t="str">
            <v xml:space="preserve"> CCTV SYSTEM</v>
          </cell>
          <cell r="C23">
            <v>6</v>
          </cell>
          <cell r="D23" t="str">
            <v>SET</v>
          </cell>
          <cell r="E23">
            <v>291143.16666666669</v>
          </cell>
          <cell r="F23">
            <v>1746859</v>
          </cell>
          <cell r="H23">
            <v>0</v>
          </cell>
          <cell r="I23">
            <v>221</v>
          </cell>
          <cell r="J23">
            <v>1326</v>
          </cell>
          <cell r="K23">
            <v>291143.16666666669</v>
          </cell>
          <cell r="L23">
            <v>1746859</v>
          </cell>
          <cell r="M23">
            <v>0</v>
          </cell>
          <cell r="N23">
            <v>0</v>
          </cell>
          <cell r="O23">
            <v>61933.5</v>
          </cell>
          <cell r="P23">
            <v>371601</v>
          </cell>
        </row>
        <row r="24">
          <cell r="F24">
            <v>0</v>
          </cell>
          <cell r="H24">
            <v>0</v>
          </cell>
          <cell r="J24">
            <v>0</v>
          </cell>
          <cell r="K24">
            <v>0</v>
          </cell>
          <cell r="L24">
            <v>0</v>
          </cell>
          <cell r="M24">
            <v>0</v>
          </cell>
          <cell r="N24">
            <v>0</v>
          </cell>
          <cell r="O24">
            <v>0</v>
          </cell>
          <cell r="P24">
            <v>0</v>
          </cell>
        </row>
        <row r="25">
          <cell r="A25" t="str">
            <v xml:space="preserve">  H.</v>
          </cell>
          <cell r="B25" t="str">
            <v xml:space="preserve"> CATHODIC PROTECTION SYSTEM</v>
          </cell>
          <cell r="C25">
            <v>60</v>
          </cell>
          <cell r="D25" t="str">
            <v>PC</v>
          </cell>
          <cell r="E25">
            <v>12445.316666666668</v>
          </cell>
          <cell r="F25">
            <v>746719</v>
          </cell>
          <cell r="H25">
            <v>0</v>
          </cell>
          <cell r="I25">
            <v>17.083333333333332</v>
          </cell>
          <cell r="J25">
            <v>1025</v>
          </cell>
          <cell r="K25">
            <v>12445.316666666668</v>
          </cell>
          <cell r="L25">
            <v>746719</v>
          </cell>
          <cell r="M25">
            <v>0</v>
          </cell>
          <cell r="N25">
            <v>0</v>
          </cell>
          <cell r="O25">
            <v>6387.1</v>
          </cell>
          <cell r="P25">
            <v>383226</v>
          </cell>
        </row>
        <row r="27">
          <cell r="A27" t="str">
            <v xml:space="preserve">  I.</v>
          </cell>
          <cell r="B27" t="str">
            <v>APS SYSTEM</v>
          </cell>
          <cell r="C27">
            <v>60</v>
          </cell>
          <cell r="D27" t="str">
            <v>SET</v>
          </cell>
          <cell r="E27">
            <v>260365.88333333333</v>
          </cell>
          <cell r="F27">
            <v>15621953</v>
          </cell>
          <cell r="H27">
            <v>0</v>
          </cell>
          <cell r="I27">
            <v>227.13333333333333</v>
          </cell>
          <cell r="J27">
            <v>13628</v>
          </cell>
          <cell r="K27">
            <v>260365.88333333333</v>
          </cell>
          <cell r="L27">
            <v>15621953</v>
          </cell>
          <cell r="M27">
            <v>0</v>
          </cell>
          <cell r="N27">
            <v>0</v>
          </cell>
          <cell r="O27">
            <v>63605.433333333334</v>
          </cell>
          <cell r="P27">
            <v>3816326</v>
          </cell>
        </row>
        <row r="29">
          <cell r="A29" t="str">
            <v xml:space="preserve">  J.</v>
          </cell>
          <cell r="B29" t="str">
            <v>U/G CONDUIT BANK</v>
          </cell>
          <cell r="C29">
            <v>2850</v>
          </cell>
          <cell r="D29" t="str">
            <v>M3</v>
          </cell>
          <cell r="E29">
            <v>2070.4561403508774</v>
          </cell>
          <cell r="F29">
            <v>5900800</v>
          </cell>
          <cell r="H29">
            <v>0</v>
          </cell>
          <cell r="I29">
            <v>9.5898245614035087</v>
          </cell>
          <cell r="J29">
            <v>27331</v>
          </cell>
          <cell r="K29">
            <v>2070.4561403508774</v>
          </cell>
          <cell r="L29">
            <v>5900800</v>
          </cell>
          <cell r="M29">
            <v>0</v>
          </cell>
          <cell r="N29">
            <v>0</v>
          </cell>
          <cell r="O29">
            <v>7703.0175438596489</v>
          </cell>
          <cell r="P29">
            <v>21953600</v>
          </cell>
        </row>
        <row r="32">
          <cell r="B32" t="str">
            <v>TOTAL (ALT-1)</v>
          </cell>
          <cell r="F32">
            <v>197890079</v>
          </cell>
          <cell r="H32">
            <v>0</v>
          </cell>
          <cell r="J32">
            <v>109667</v>
          </cell>
          <cell r="L32">
            <v>197890079</v>
          </cell>
          <cell r="N32">
            <v>0</v>
          </cell>
          <cell r="P32">
            <v>48005061</v>
          </cell>
          <cell r="Q32">
            <v>109667</v>
          </cell>
        </row>
        <row r="33">
          <cell r="Q33">
            <v>0</v>
          </cell>
        </row>
        <row r="34">
          <cell r="A34" t="str">
            <v>OTHER</v>
          </cell>
          <cell r="B34" t="str">
            <v xml:space="preserve"> CATHODIC PROTECTION SYSTEM  FOR TRUNK LINE</v>
          </cell>
          <cell r="C34">
            <v>1</v>
          </cell>
          <cell r="D34" t="str">
            <v>LOT</v>
          </cell>
          <cell r="F34">
            <v>4357694</v>
          </cell>
          <cell r="J34">
            <v>6089</v>
          </cell>
          <cell r="L34">
            <v>4357694</v>
          </cell>
          <cell r="P34">
            <v>2372268</v>
          </cell>
          <cell r="Q34">
            <v>6089</v>
          </cell>
        </row>
        <row r="36">
          <cell r="B36" t="str">
            <v xml:space="preserve">MATERIAL PRICE 造價分析 </v>
          </cell>
        </row>
        <row r="37">
          <cell r="B37" t="str">
            <v xml:space="preserve">CAPACITOR </v>
          </cell>
          <cell r="D37" t="str">
            <v>KVA</v>
          </cell>
        </row>
        <row r="38">
          <cell r="B38" t="str">
            <v>CABLE &amp; WIRE FOR POWER SYSTEM</v>
          </cell>
          <cell r="C38">
            <v>130730</v>
          </cell>
          <cell r="D38" t="str">
            <v>M</v>
          </cell>
        </row>
        <row r="39">
          <cell r="B39" t="str">
            <v>LIGHTING FIXTURE</v>
          </cell>
          <cell r="C39">
            <v>508</v>
          </cell>
          <cell r="D39" t="str">
            <v>SET</v>
          </cell>
        </row>
        <row r="41">
          <cell r="B41" t="str">
            <v>LABOR PRICE 造價分析</v>
          </cell>
        </row>
        <row r="42">
          <cell r="B42" t="str">
            <v xml:space="preserve">CAPACITOR </v>
          </cell>
          <cell r="C42">
            <v>0</v>
          </cell>
          <cell r="D42" t="str">
            <v>KVA</v>
          </cell>
        </row>
        <row r="43">
          <cell r="B43" t="str">
            <v>CABLE &amp; WIRE FOR POWER SYSTEM</v>
          </cell>
          <cell r="C43">
            <v>130730</v>
          </cell>
          <cell r="D43" t="str">
            <v>M</v>
          </cell>
          <cell r="I43">
            <v>0.73359596114128356</v>
          </cell>
          <cell r="J43">
            <v>95903</v>
          </cell>
        </row>
        <row r="44">
          <cell r="B44" t="str">
            <v>LIGHTING FIXTURE</v>
          </cell>
          <cell r="C44">
            <v>508</v>
          </cell>
          <cell r="D44" t="str">
            <v>SET</v>
          </cell>
        </row>
        <row r="46">
          <cell r="A46" t="str">
            <v>ALT-2</v>
          </cell>
          <cell r="C46" t="str">
            <v xml:space="preserve"> </v>
          </cell>
          <cell r="D46" t="str">
            <v xml:space="preserve"> </v>
          </cell>
          <cell r="F46">
            <v>0</v>
          </cell>
          <cell r="H46">
            <v>0</v>
          </cell>
          <cell r="J46">
            <v>0</v>
          </cell>
          <cell r="K46">
            <v>0</v>
          </cell>
          <cell r="L46">
            <v>0</v>
          </cell>
          <cell r="M46">
            <v>0</v>
          </cell>
          <cell r="N46">
            <v>0</v>
          </cell>
          <cell r="O46">
            <v>0</v>
          </cell>
          <cell r="P46">
            <v>0</v>
          </cell>
        </row>
        <row r="47">
          <cell r="A47">
            <v>1</v>
          </cell>
          <cell r="B47" t="str">
            <v xml:space="preserve">  6.9KV GCS ,  NEMA CLASS E2 , MCC PANEL</v>
          </cell>
          <cell r="C47">
            <v>-1</v>
          </cell>
          <cell r="D47" t="str">
            <v>PNL</v>
          </cell>
          <cell r="E47">
            <v>500000</v>
          </cell>
          <cell r="F47">
            <v>-500000</v>
          </cell>
          <cell r="H47">
            <v>0</v>
          </cell>
          <cell r="I47">
            <v>20</v>
          </cell>
          <cell r="J47">
            <v>-20</v>
          </cell>
          <cell r="K47">
            <v>500000</v>
          </cell>
          <cell r="L47">
            <v>-500000</v>
          </cell>
          <cell r="M47">
            <v>0</v>
          </cell>
          <cell r="N47">
            <v>0</v>
          </cell>
          <cell r="O47">
            <v>5600</v>
          </cell>
          <cell r="P47">
            <v>-5600</v>
          </cell>
          <cell r="Q47">
            <v>0</v>
          </cell>
        </row>
        <row r="48">
          <cell r="A48">
            <v>2</v>
          </cell>
          <cell r="B48" t="str">
            <v xml:space="preserve">  600V POWER CABLE 3/C 5.5 sq.mm  XLPE/PVC</v>
          </cell>
          <cell r="C48">
            <v>-195</v>
          </cell>
          <cell r="D48" t="str">
            <v>M</v>
          </cell>
          <cell r="E48">
            <v>20</v>
          </cell>
          <cell r="F48">
            <v>-3900</v>
          </cell>
          <cell r="H48">
            <v>0</v>
          </cell>
          <cell r="I48">
            <v>0.1</v>
          </cell>
          <cell r="J48">
            <v>-20</v>
          </cell>
          <cell r="K48">
            <v>20</v>
          </cell>
          <cell r="L48">
            <v>-3900</v>
          </cell>
          <cell r="M48">
            <v>0</v>
          </cell>
          <cell r="N48">
            <v>0</v>
          </cell>
          <cell r="O48">
            <v>28</v>
          </cell>
          <cell r="P48">
            <v>-5460</v>
          </cell>
          <cell r="Q48">
            <v>0</v>
          </cell>
        </row>
        <row r="49">
          <cell r="A49">
            <v>3</v>
          </cell>
          <cell r="B49" t="str">
            <v xml:space="preserve">  600V CONTROL CABLE 12/C 2.0 sq.mm  PVC/PVC</v>
          </cell>
          <cell r="C49">
            <v>-195</v>
          </cell>
          <cell r="D49" t="str">
            <v>M</v>
          </cell>
          <cell r="E49">
            <v>38</v>
          </cell>
          <cell r="F49">
            <v>-7410</v>
          </cell>
          <cell r="H49">
            <v>0</v>
          </cell>
          <cell r="I49">
            <v>0.13800000000000001</v>
          </cell>
          <cell r="J49">
            <v>-27</v>
          </cell>
          <cell r="K49">
            <v>38</v>
          </cell>
          <cell r="L49">
            <v>-7410</v>
          </cell>
          <cell r="M49">
            <v>0</v>
          </cell>
          <cell r="N49">
            <v>0</v>
          </cell>
          <cell r="O49">
            <v>39</v>
          </cell>
          <cell r="P49">
            <v>-7605</v>
          </cell>
          <cell r="Q49">
            <v>0</v>
          </cell>
        </row>
        <row r="50">
          <cell r="A50">
            <v>4</v>
          </cell>
          <cell r="B50" t="str">
            <v xml:space="preserve">  8KV POWER CABLE 3/C  38 sq.mm  XLPE/PVC</v>
          </cell>
          <cell r="C50">
            <v>-580</v>
          </cell>
          <cell r="D50" t="str">
            <v>M</v>
          </cell>
          <cell r="E50">
            <v>268</v>
          </cell>
          <cell r="F50">
            <v>-155440</v>
          </cell>
          <cell r="H50">
            <v>0</v>
          </cell>
          <cell r="I50">
            <v>0.32100000000000001</v>
          </cell>
          <cell r="J50">
            <v>-186</v>
          </cell>
          <cell r="K50">
            <v>268</v>
          </cell>
          <cell r="L50">
            <v>-155440</v>
          </cell>
          <cell r="M50">
            <v>0</v>
          </cell>
          <cell r="N50">
            <v>0</v>
          </cell>
          <cell r="O50">
            <v>90</v>
          </cell>
          <cell r="P50">
            <v>-52200</v>
          </cell>
          <cell r="Q50">
            <v>0</v>
          </cell>
        </row>
        <row r="51">
          <cell r="A51">
            <v>5</v>
          </cell>
          <cell r="B51" t="str">
            <v xml:space="preserve">  8KV POWER CABLE 3/C  60 sq.mm  XLPE/PVC</v>
          </cell>
          <cell r="C51">
            <v>390</v>
          </cell>
          <cell r="D51" t="str">
            <v>M</v>
          </cell>
          <cell r="E51">
            <v>367</v>
          </cell>
          <cell r="F51">
            <v>143130</v>
          </cell>
          <cell r="H51">
            <v>0</v>
          </cell>
          <cell r="I51">
            <v>0.38800000000000001</v>
          </cell>
          <cell r="J51">
            <v>151</v>
          </cell>
          <cell r="K51">
            <v>367</v>
          </cell>
          <cell r="L51">
            <v>143130</v>
          </cell>
          <cell r="M51">
            <v>0</v>
          </cell>
          <cell r="N51">
            <v>0</v>
          </cell>
          <cell r="O51">
            <v>109</v>
          </cell>
          <cell r="P51">
            <v>42510</v>
          </cell>
          <cell r="Q51">
            <v>0</v>
          </cell>
        </row>
        <row r="52">
          <cell r="A52">
            <v>6</v>
          </cell>
          <cell r="B52" t="str">
            <v xml:space="preserve"> PVC CONDUIT, THICK WALL, CNS1302 SCH. B , 2"</v>
          </cell>
          <cell r="C52">
            <v>-390</v>
          </cell>
          <cell r="D52" t="str">
            <v>M</v>
          </cell>
          <cell r="E52">
            <v>38</v>
          </cell>
          <cell r="F52">
            <v>-14820</v>
          </cell>
          <cell r="H52">
            <v>0</v>
          </cell>
          <cell r="I52">
            <v>0.3</v>
          </cell>
          <cell r="J52">
            <v>-117</v>
          </cell>
          <cell r="K52">
            <v>38</v>
          </cell>
          <cell r="L52">
            <v>-14820</v>
          </cell>
          <cell r="M52">
            <v>0</v>
          </cell>
          <cell r="N52">
            <v>0</v>
          </cell>
          <cell r="O52">
            <v>84</v>
          </cell>
          <cell r="P52">
            <v>-32760</v>
          </cell>
          <cell r="Q52">
            <v>0</v>
          </cell>
        </row>
        <row r="53">
          <cell r="A53">
            <v>7</v>
          </cell>
          <cell r="B53" t="str">
            <v xml:space="preserve"> MISCELLANEOUS </v>
          </cell>
          <cell r="C53">
            <v>1</v>
          </cell>
          <cell r="D53" t="str">
            <v>LOT</v>
          </cell>
          <cell r="E53">
            <v>-708.6</v>
          </cell>
          <cell r="F53">
            <v>-709</v>
          </cell>
          <cell r="I53">
            <v>-2.46</v>
          </cell>
          <cell r="J53">
            <v>-2</v>
          </cell>
          <cell r="K53">
            <v>-709</v>
          </cell>
          <cell r="L53">
            <v>-709</v>
          </cell>
          <cell r="M53">
            <v>0</v>
          </cell>
          <cell r="N53">
            <v>0</v>
          </cell>
          <cell r="O53">
            <v>-689</v>
          </cell>
          <cell r="P53">
            <v>-689</v>
          </cell>
        </row>
        <row r="54">
          <cell r="B54" t="str">
            <v>SUB-TOTAL : (ALT-1)</v>
          </cell>
          <cell r="F54">
            <v>-539149</v>
          </cell>
          <cell r="H54">
            <v>0</v>
          </cell>
          <cell r="J54">
            <v>-221</v>
          </cell>
          <cell r="K54">
            <v>0</v>
          </cell>
          <cell r="L54">
            <v>-539149</v>
          </cell>
          <cell r="M54">
            <v>0</v>
          </cell>
          <cell r="N54">
            <v>0</v>
          </cell>
          <cell r="O54">
            <v>0</v>
          </cell>
          <cell r="P54">
            <v>-61804</v>
          </cell>
          <cell r="Q54">
            <v>-221</v>
          </cell>
        </row>
        <row r="56">
          <cell r="A56" t="str">
            <v>ALT-3</v>
          </cell>
        </row>
        <row r="57">
          <cell r="A57">
            <v>1</v>
          </cell>
          <cell r="B57" t="str">
            <v xml:space="preserve"> AUTO-TRANSFORMER FOR 6.9KV 8500KW MOTOR STARTER , </v>
          </cell>
          <cell r="C57">
            <v>1</v>
          </cell>
          <cell r="D57" t="str">
            <v>SET</v>
          </cell>
          <cell r="E57">
            <v>484000</v>
          </cell>
          <cell r="F57">
            <v>484000</v>
          </cell>
          <cell r="H57">
            <v>0</v>
          </cell>
          <cell r="I57">
            <v>20</v>
          </cell>
          <cell r="J57">
            <v>20</v>
          </cell>
          <cell r="K57">
            <v>484000</v>
          </cell>
          <cell r="L57">
            <v>484000</v>
          </cell>
          <cell r="M57">
            <v>0</v>
          </cell>
          <cell r="N57">
            <v>0</v>
          </cell>
          <cell r="O57">
            <v>5600</v>
          </cell>
          <cell r="P57">
            <v>5600</v>
          </cell>
        </row>
        <row r="58">
          <cell r="B58" t="str">
            <v xml:space="preserve"> TAP 80% , STARTING TIME 60 Sec. (MOTOR PF=0.7 , EFF=0.9)</v>
          </cell>
          <cell r="F58">
            <v>0</v>
          </cell>
          <cell r="H58">
            <v>0</v>
          </cell>
          <cell r="J58">
            <v>0</v>
          </cell>
          <cell r="K58">
            <v>0</v>
          </cell>
          <cell r="L58">
            <v>0</v>
          </cell>
          <cell r="M58">
            <v>0</v>
          </cell>
          <cell r="N58">
            <v>0</v>
          </cell>
          <cell r="O58">
            <v>0</v>
          </cell>
          <cell r="P58">
            <v>0</v>
          </cell>
        </row>
        <row r="59">
          <cell r="A59">
            <v>2</v>
          </cell>
          <cell r="B59" t="str">
            <v xml:space="preserve">  6.9KV VCB 1250A 40KA</v>
          </cell>
          <cell r="C59">
            <v>3</v>
          </cell>
          <cell r="D59" t="str">
            <v>PNL</v>
          </cell>
          <cell r="E59">
            <v>800000</v>
          </cell>
          <cell r="F59">
            <v>2400000</v>
          </cell>
          <cell r="H59">
            <v>0</v>
          </cell>
          <cell r="I59">
            <v>20</v>
          </cell>
          <cell r="J59">
            <v>60</v>
          </cell>
          <cell r="K59">
            <v>800000</v>
          </cell>
          <cell r="L59">
            <v>2400000</v>
          </cell>
          <cell r="M59">
            <v>0</v>
          </cell>
          <cell r="N59">
            <v>0</v>
          </cell>
          <cell r="O59">
            <v>5600</v>
          </cell>
          <cell r="P59">
            <v>16800</v>
          </cell>
          <cell r="Q59">
            <v>0</v>
          </cell>
        </row>
        <row r="60">
          <cell r="A60">
            <v>3</v>
          </cell>
          <cell r="B60" t="str">
            <v xml:space="preserve">  6.9KV 2000KVA , W/GCS , CAPACIATOR PANEL</v>
          </cell>
          <cell r="C60">
            <v>2</v>
          </cell>
          <cell r="D60" t="str">
            <v>PNL</v>
          </cell>
          <cell r="E60">
            <v>1500000</v>
          </cell>
          <cell r="F60">
            <v>3000000</v>
          </cell>
          <cell r="H60">
            <v>0</v>
          </cell>
          <cell r="I60">
            <v>30</v>
          </cell>
          <cell r="J60">
            <v>60</v>
          </cell>
          <cell r="K60">
            <v>1500000</v>
          </cell>
          <cell r="L60">
            <v>3000000</v>
          </cell>
          <cell r="M60">
            <v>0</v>
          </cell>
          <cell r="N60">
            <v>0</v>
          </cell>
          <cell r="O60">
            <v>8400</v>
          </cell>
          <cell r="P60">
            <v>16800</v>
          </cell>
        </row>
        <row r="61">
          <cell r="A61">
            <v>4</v>
          </cell>
          <cell r="B61" t="str">
            <v xml:space="preserve">  600V POWER CABLE 3/C 5.5 sq.mm  XLPE/PVC</v>
          </cell>
          <cell r="C61">
            <v>200</v>
          </cell>
          <cell r="D61" t="str">
            <v>M</v>
          </cell>
          <cell r="E61">
            <v>20</v>
          </cell>
          <cell r="F61">
            <v>4000</v>
          </cell>
          <cell r="H61">
            <v>0</v>
          </cell>
          <cell r="I61">
            <v>0.1</v>
          </cell>
          <cell r="J61">
            <v>20</v>
          </cell>
          <cell r="K61">
            <v>20</v>
          </cell>
          <cell r="L61">
            <v>4000</v>
          </cell>
          <cell r="M61">
            <v>0</v>
          </cell>
          <cell r="N61">
            <v>0</v>
          </cell>
          <cell r="O61">
            <v>28</v>
          </cell>
          <cell r="P61">
            <v>5600</v>
          </cell>
          <cell r="Q61">
            <v>0</v>
          </cell>
        </row>
        <row r="62">
          <cell r="A62">
            <v>5</v>
          </cell>
          <cell r="B62" t="str">
            <v xml:space="preserve">  600V POWER CABLE 3/C 22sq.mm  XLPE/PVC</v>
          </cell>
          <cell r="C62">
            <v>600</v>
          </cell>
          <cell r="D62" t="str">
            <v>M</v>
          </cell>
          <cell r="E62">
            <v>70</v>
          </cell>
          <cell r="F62">
            <v>42000</v>
          </cell>
          <cell r="H62">
            <v>0</v>
          </cell>
          <cell r="I62">
            <v>0.18099999999999999</v>
          </cell>
          <cell r="J62">
            <v>109</v>
          </cell>
          <cell r="K62">
            <v>70</v>
          </cell>
          <cell r="L62">
            <v>42000</v>
          </cell>
          <cell r="M62">
            <v>0</v>
          </cell>
          <cell r="N62">
            <v>0</v>
          </cell>
          <cell r="O62">
            <v>51</v>
          </cell>
          <cell r="P62">
            <v>30600</v>
          </cell>
          <cell r="Q62">
            <v>0</v>
          </cell>
        </row>
        <row r="63">
          <cell r="A63">
            <v>6</v>
          </cell>
          <cell r="B63" t="str">
            <v xml:space="preserve">  600V CONTROL CABLE 7/C 2.1 sq.mm  PVC/PVC</v>
          </cell>
          <cell r="C63">
            <v>600</v>
          </cell>
          <cell r="D63" t="str">
            <v>M</v>
          </cell>
          <cell r="E63">
            <v>24</v>
          </cell>
          <cell r="F63">
            <v>14400</v>
          </cell>
          <cell r="H63">
            <v>0</v>
          </cell>
          <cell r="I63">
            <v>0.105</v>
          </cell>
          <cell r="J63">
            <v>63</v>
          </cell>
          <cell r="K63">
            <v>24</v>
          </cell>
          <cell r="L63">
            <v>14400</v>
          </cell>
          <cell r="M63">
            <v>0</v>
          </cell>
          <cell r="N63">
            <v>0</v>
          </cell>
          <cell r="O63">
            <v>29</v>
          </cell>
          <cell r="P63">
            <v>17400</v>
          </cell>
          <cell r="Q63">
            <v>0</v>
          </cell>
        </row>
        <row r="64">
          <cell r="A64">
            <v>7</v>
          </cell>
          <cell r="B64" t="str">
            <v xml:space="preserve">  600V CONTROL CABLE 12/C 2.0 sq.mm  PVC/PVC</v>
          </cell>
          <cell r="C64">
            <v>200</v>
          </cell>
          <cell r="D64" t="str">
            <v>M</v>
          </cell>
          <cell r="E64">
            <v>38</v>
          </cell>
          <cell r="F64">
            <v>7600</v>
          </cell>
          <cell r="H64">
            <v>0</v>
          </cell>
          <cell r="I64">
            <v>0.13800000000000001</v>
          </cell>
          <cell r="J64">
            <v>28</v>
          </cell>
          <cell r="K64">
            <v>38</v>
          </cell>
          <cell r="L64">
            <v>7600</v>
          </cell>
          <cell r="M64">
            <v>0</v>
          </cell>
          <cell r="N64">
            <v>0</v>
          </cell>
          <cell r="O64">
            <v>39</v>
          </cell>
          <cell r="P64">
            <v>7800</v>
          </cell>
          <cell r="Q64">
            <v>0</v>
          </cell>
        </row>
        <row r="65">
          <cell r="A65">
            <v>8</v>
          </cell>
          <cell r="B65" t="str">
            <v xml:space="preserve">  8KV POWER CABLE 1/C 325 sq.mm XLPE/PVC</v>
          </cell>
          <cell r="C65">
            <v>2500</v>
          </cell>
          <cell r="D65" t="str">
            <v>M</v>
          </cell>
          <cell r="E65">
            <v>375</v>
          </cell>
          <cell r="F65">
            <v>937500</v>
          </cell>
          <cell r="H65">
            <v>0</v>
          </cell>
          <cell r="I65">
            <v>0.30199999999999999</v>
          </cell>
          <cell r="J65">
            <v>755</v>
          </cell>
          <cell r="K65">
            <v>375</v>
          </cell>
          <cell r="L65">
            <v>937500</v>
          </cell>
          <cell r="M65">
            <v>0</v>
          </cell>
          <cell r="N65">
            <v>0</v>
          </cell>
          <cell r="O65">
            <v>85</v>
          </cell>
          <cell r="P65">
            <v>212500</v>
          </cell>
        </row>
        <row r="66">
          <cell r="A66">
            <v>9</v>
          </cell>
          <cell r="B66" t="str">
            <v xml:space="preserve">  8KV TERMINATION KIT , 1/C 325 sq.mm </v>
          </cell>
          <cell r="C66">
            <v>24</v>
          </cell>
          <cell r="D66" t="str">
            <v>SET</v>
          </cell>
          <cell r="E66">
            <v>2542</v>
          </cell>
          <cell r="F66">
            <v>61008</v>
          </cell>
          <cell r="H66">
            <v>0</v>
          </cell>
          <cell r="I66">
            <v>5</v>
          </cell>
          <cell r="J66">
            <v>120</v>
          </cell>
          <cell r="K66">
            <v>2542</v>
          </cell>
          <cell r="L66">
            <v>61008</v>
          </cell>
          <cell r="M66">
            <v>0</v>
          </cell>
          <cell r="N66">
            <v>0</v>
          </cell>
          <cell r="O66">
            <v>1400</v>
          </cell>
          <cell r="P66">
            <v>33600</v>
          </cell>
        </row>
        <row r="67">
          <cell r="A67">
            <v>10</v>
          </cell>
          <cell r="B67" t="str">
            <v xml:space="preserve"> PVC CONDUIT, THICK WALL, CNS1302 SCH. B , 2"</v>
          </cell>
          <cell r="C67">
            <v>800</v>
          </cell>
          <cell r="D67" t="str">
            <v>M</v>
          </cell>
          <cell r="E67">
            <v>38</v>
          </cell>
          <cell r="F67">
            <v>30400</v>
          </cell>
          <cell r="H67">
            <v>0</v>
          </cell>
          <cell r="I67">
            <v>0.3</v>
          </cell>
          <cell r="J67">
            <v>240</v>
          </cell>
          <cell r="K67">
            <v>38</v>
          </cell>
          <cell r="L67">
            <v>30400</v>
          </cell>
          <cell r="M67">
            <v>0</v>
          </cell>
          <cell r="N67">
            <v>0</v>
          </cell>
          <cell r="O67">
            <v>84</v>
          </cell>
          <cell r="P67">
            <v>67200</v>
          </cell>
          <cell r="Q67">
            <v>0</v>
          </cell>
        </row>
        <row r="68">
          <cell r="A68">
            <v>11</v>
          </cell>
          <cell r="B68" t="str">
            <v xml:space="preserve"> PVC CONDUIT, THICK WALL, CNS1302 SCH. B , 6"</v>
          </cell>
          <cell r="C68">
            <v>800</v>
          </cell>
          <cell r="D68" t="str">
            <v>M</v>
          </cell>
          <cell r="E68">
            <v>242</v>
          </cell>
          <cell r="F68">
            <v>193600</v>
          </cell>
          <cell r="H68">
            <v>0</v>
          </cell>
          <cell r="I68">
            <v>0.68</v>
          </cell>
          <cell r="J68">
            <v>544</v>
          </cell>
          <cell r="K68">
            <v>242</v>
          </cell>
          <cell r="L68">
            <v>193600</v>
          </cell>
          <cell r="M68">
            <v>0</v>
          </cell>
          <cell r="N68">
            <v>0</v>
          </cell>
          <cell r="O68">
            <v>190</v>
          </cell>
          <cell r="P68">
            <v>152000</v>
          </cell>
          <cell r="Q68">
            <v>0</v>
          </cell>
        </row>
        <row r="69">
          <cell r="A69">
            <v>12</v>
          </cell>
          <cell r="B69" t="str">
            <v xml:space="preserve"> EXCAVATION</v>
          </cell>
          <cell r="C69">
            <v>350</v>
          </cell>
          <cell r="D69" t="str">
            <v>M3</v>
          </cell>
          <cell r="E69" t="str">
            <v>M+L</v>
          </cell>
          <cell r="F69" t="str">
            <v>M+L</v>
          </cell>
          <cell r="G69">
            <v>0</v>
          </cell>
          <cell r="H69">
            <v>0</v>
          </cell>
          <cell r="I69">
            <v>0</v>
          </cell>
          <cell r="J69">
            <v>0</v>
          </cell>
          <cell r="K69" t="str">
            <v>M+L</v>
          </cell>
          <cell r="L69" t="str">
            <v>M+L</v>
          </cell>
          <cell r="M69">
            <v>0</v>
          </cell>
          <cell r="N69">
            <v>0</v>
          </cell>
          <cell r="O69">
            <v>60</v>
          </cell>
          <cell r="P69">
            <v>21000</v>
          </cell>
          <cell r="Q69">
            <v>0</v>
          </cell>
        </row>
        <row r="70">
          <cell r="A70">
            <v>13</v>
          </cell>
          <cell r="B70" t="str">
            <v xml:space="preserve"> BACKFILL</v>
          </cell>
          <cell r="C70">
            <v>250</v>
          </cell>
          <cell r="D70" t="str">
            <v>M3</v>
          </cell>
          <cell r="E70" t="str">
            <v>M+L</v>
          </cell>
          <cell r="F70" t="str">
            <v>M+L</v>
          </cell>
          <cell r="G70">
            <v>0</v>
          </cell>
          <cell r="H70">
            <v>0</v>
          </cell>
          <cell r="I70">
            <v>0</v>
          </cell>
          <cell r="J70">
            <v>0</v>
          </cell>
          <cell r="K70" t="str">
            <v>M+L</v>
          </cell>
          <cell r="L70" t="str">
            <v>M+L</v>
          </cell>
          <cell r="M70">
            <v>0</v>
          </cell>
          <cell r="N70">
            <v>0</v>
          </cell>
          <cell r="O70">
            <v>100</v>
          </cell>
          <cell r="P70">
            <v>25000</v>
          </cell>
          <cell r="Q70">
            <v>0</v>
          </cell>
        </row>
        <row r="71">
          <cell r="A71">
            <v>14</v>
          </cell>
          <cell r="B71" t="str">
            <v xml:space="preserve"> CONCRETE FOR DUCT BANK 2000 PSI</v>
          </cell>
          <cell r="C71">
            <v>100</v>
          </cell>
          <cell r="D71" t="str">
            <v>M3</v>
          </cell>
          <cell r="E71" t="str">
            <v>M+L</v>
          </cell>
          <cell r="F71" t="str">
            <v>M+L</v>
          </cell>
          <cell r="G71">
            <v>0</v>
          </cell>
          <cell r="H71">
            <v>0</v>
          </cell>
          <cell r="I71">
            <v>0</v>
          </cell>
          <cell r="J71">
            <v>0</v>
          </cell>
          <cell r="K71" t="str">
            <v>M+L</v>
          </cell>
          <cell r="L71" t="str">
            <v>M+L</v>
          </cell>
          <cell r="M71">
            <v>0</v>
          </cell>
          <cell r="N71">
            <v>0</v>
          </cell>
          <cell r="O71">
            <v>1700</v>
          </cell>
          <cell r="P71">
            <v>170000</v>
          </cell>
          <cell r="Q71">
            <v>0</v>
          </cell>
        </row>
        <row r="72">
          <cell r="A72">
            <v>15</v>
          </cell>
          <cell r="B72" t="str">
            <v xml:space="preserve"> RED COLORED OXIDE</v>
          </cell>
          <cell r="C72">
            <v>900</v>
          </cell>
          <cell r="D72" t="str">
            <v>KG</v>
          </cell>
          <cell r="E72" t="str">
            <v>M+L</v>
          </cell>
          <cell r="F72" t="str">
            <v>M+L</v>
          </cell>
          <cell r="G72">
            <v>0</v>
          </cell>
          <cell r="H72">
            <v>0</v>
          </cell>
          <cell r="I72">
            <v>0</v>
          </cell>
          <cell r="J72">
            <v>0</v>
          </cell>
          <cell r="K72" t="str">
            <v>M+L</v>
          </cell>
          <cell r="L72" t="str">
            <v>M+L</v>
          </cell>
          <cell r="M72">
            <v>0</v>
          </cell>
          <cell r="N72">
            <v>0</v>
          </cell>
          <cell r="O72">
            <v>60</v>
          </cell>
          <cell r="P72">
            <v>54000</v>
          </cell>
          <cell r="Q72">
            <v>0</v>
          </cell>
        </row>
        <row r="73">
          <cell r="A73">
            <v>16</v>
          </cell>
          <cell r="B73" t="str">
            <v xml:space="preserve"> DISPOSAL</v>
          </cell>
          <cell r="C73">
            <v>100</v>
          </cell>
          <cell r="D73" t="str">
            <v>M3</v>
          </cell>
          <cell r="E73" t="str">
            <v>M+L</v>
          </cell>
          <cell r="F73" t="str">
            <v>M+L</v>
          </cell>
          <cell r="G73">
            <v>0</v>
          </cell>
          <cell r="H73">
            <v>0</v>
          </cell>
          <cell r="I73">
            <v>0</v>
          </cell>
          <cell r="J73">
            <v>0</v>
          </cell>
          <cell r="K73" t="str">
            <v>M+L</v>
          </cell>
          <cell r="L73" t="str">
            <v>M+L</v>
          </cell>
          <cell r="M73">
            <v>0</v>
          </cell>
          <cell r="N73">
            <v>0</v>
          </cell>
          <cell r="O73">
            <v>220</v>
          </cell>
          <cell r="P73">
            <v>22000</v>
          </cell>
          <cell r="Q73">
            <v>0</v>
          </cell>
        </row>
        <row r="74">
          <cell r="A74">
            <v>17</v>
          </cell>
          <cell r="B74" t="str">
            <v xml:space="preserve"> FORMWORK</v>
          </cell>
          <cell r="C74">
            <v>300</v>
          </cell>
          <cell r="D74" t="str">
            <v>M2</v>
          </cell>
          <cell r="E74" t="str">
            <v>M+L</v>
          </cell>
          <cell r="F74" t="str">
            <v>M+L</v>
          </cell>
          <cell r="G74">
            <v>0</v>
          </cell>
          <cell r="H74">
            <v>0</v>
          </cell>
          <cell r="I74">
            <v>0</v>
          </cell>
          <cell r="J74">
            <v>0</v>
          </cell>
          <cell r="K74" t="str">
            <v>M+L</v>
          </cell>
          <cell r="L74" t="str">
            <v>M+L</v>
          </cell>
          <cell r="M74">
            <v>0</v>
          </cell>
          <cell r="N74">
            <v>0</v>
          </cell>
          <cell r="O74">
            <v>360</v>
          </cell>
          <cell r="P74">
            <v>108000</v>
          </cell>
          <cell r="Q74">
            <v>0</v>
          </cell>
        </row>
        <row r="75">
          <cell r="A75">
            <v>18</v>
          </cell>
          <cell r="B75" t="str">
            <v xml:space="preserve"> RE-BAR</v>
          </cell>
          <cell r="C75">
            <v>1900</v>
          </cell>
          <cell r="D75" t="str">
            <v>KG</v>
          </cell>
          <cell r="E75" t="str">
            <v>M+L</v>
          </cell>
          <cell r="F75" t="str">
            <v>M+L</v>
          </cell>
          <cell r="G75">
            <v>0</v>
          </cell>
          <cell r="H75">
            <v>0</v>
          </cell>
          <cell r="I75">
            <v>0</v>
          </cell>
          <cell r="J75">
            <v>0</v>
          </cell>
          <cell r="K75" t="str">
            <v>M+L</v>
          </cell>
          <cell r="L75" t="str">
            <v>M+L</v>
          </cell>
          <cell r="M75">
            <v>0</v>
          </cell>
          <cell r="N75">
            <v>0</v>
          </cell>
          <cell r="O75">
            <v>16</v>
          </cell>
          <cell r="P75">
            <v>30400</v>
          </cell>
          <cell r="Q75">
            <v>0</v>
          </cell>
        </row>
        <row r="76">
          <cell r="A76">
            <v>19</v>
          </cell>
          <cell r="B76" t="str">
            <v xml:space="preserve"> COMPOND FOR WATER SEALING(IN MH.)</v>
          </cell>
          <cell r="C76">
            <v>125</v>
          </cell>
          <cell r="D76" t="str">
            <v>KG</v>
          </cell>
          <cell r="E76" t="str">
            <v>M+L</v>
          </cell>
          <cell r="F76" t="str">
            <v>M+L</v>
          </cell>
          <cell r="G76">
            <v>0</v>
          </cell>
          <cell r="H76">
            <v>0</v>
          </cell>
          <cell r="I76">
            <v>0</v>
          </cell>
          <cell r="J76">
            <v>0</v>
          </cell>
          <cell r="K76" t="str">
            <v>M+L</v>
          </cell>
          <cell r="L76" t="str">
            <v>M+L</v>
          </cell>
          <cell r="M76">
            <v>0</v>
          </cell>
          <cell r="N76">
            <v>0</v>
          </cell>
          <cell r="O76">
            <v>200</v>
          </cell>
          <cell r="P76">
            <v>25000</v>
          </cell>
          <cell r="Q76">
            <v>0</v>
          </cell>
        </row>
        <row r="77">
          <cell r="A77">
            <v>20</v>
          </cell>
          <cell r="B77" t="str">
            <v xml:space="preserve"> MISCELLANEOUS </v>
          </cell>
          <cell r="C77">
            <v>1</v>
          </cell>
          <cell r="D77" t="str">
            <v>LOT</v>
          </cell>
          <cell r="E77">
            <v>31995.239999999998</v>
          </cell>
          <cell r="F77">
            <v>31995</v>
          </cell>
          <cell r="I77">
            <v>32.85</v>
          </cell>
          <cell r="J77">
            <v>33</v>
          </cell>
          <cell r="K77">
            <v>31995</v>
          </cell>
          <cell r="L77">
            <v>31995</v>
          </cell>
          <cell r="M77">
            <v>0</v>
          </cell>
          <cell r="N77">
            <v>0</v>
          </cell>
          <cell r="O77">
            <v>9198</v>
          </cell>
          <cell r="P77">
            <v>9198</v>
          </cell>
        </row>
        <row r="78">
          <cell r="B78" t="str">
            <v>SUB-TOTAL : (ALT-2)</v>
          </cell>
          <cell r="F78">
            <v>7206503</v>
          </cell>
          <cell r="H78">
            <v>0</v>
          </cell>
          <cell r="J78">
            <v>2052</v>
          </cell>
          <cell r="K78">
            <v>0</v>
          </cell>
          <cell r="L78">
            <v>7206503</v>
          </cell>
          <cell r="M78">
            <v>0</v>
          </cell>
          <cell r="N78">
            <v>0</v>
          </cell>
          <cell r="O78">
            <v>0</v>
          </cell>
          <cell r="P78">
            <v>1030498</v>
          </cell>
          <cell r="Q78">
            <v>2052</v>
          </cell>
        </row>
        <row r="82">
          <cell r="A82" t="str">
            <v xml:space="preserve">  A.</v>
          </cell>
          <cell r="B82" t="str">
            <v xml:space="preserve"> POWER EQUIPMENT </v>
          </cell>
          <cell r="C82" t="str">
            <v xml:space="preserve"> </v>
          </cell>
          <cell r="D82" t="str">
            <v xml:space="preserve"> </v>
          </cell>
          <cell r="F82">
            <v>0</v>
          </cell>
          <cell r="H82">
            <v>0</v>
          </cell>
          <cell r="J82">
            <v>0</v>
          </cell>
          <cell r="K82">
            <v>0</v>
          </cell>
          <cell r="L82">
            <v>0</v>
          </cell>
          <cell r="M82">
            <v>0</v>
          </cell>
          <cell r="N82">
            <v>0</v>
          </cell>
          <cell r="O82">
            <v>0</v>
          </cell>
          <cell r="P82">
            <v>0</v>
          </cell>
        </row>
        <row r="83">
          <cell r="F83">
            <v>0</v>
          </cell>
          <cell r="H83">
            <v>0</v>
          </cell>
          <cell r="J83">
            <v>0</v>
          </cell>
          <cell r="K83">
            <v>0</v>
          </cell>
          <cell r="L83">
            <v>0</v>
          </cell>
          <cell r="M83">
            <v>0</v>
          </cell>
          <cell r="N83">
            <v>0</v>
          </cell>
          <cell r="O83">
            <v>0</v>
          </cell>
          <cell r="P83">
            <v>0</v>
          </cell>
        </row>
        <row r="84">
          <cell r="A84" t="str">
            <v>*</v>
          </cell>
          <cell r="B84" t="str">
            <v>DWG. NO. XK11A-0000-01</v>
          </cell>
          <cell r="F84">
            <v>0</v>
          </cell>
          <cell r="H84">
            <v>0</v>
          </cell>
          <cell r="J84">
            <v>0</v>
          </cell>
          <cell r="K84">
            <v>0</v>
          </cell>
          <cell r="L84">
            <v>0</v>
          </cell>
          <cell r="M84">
            <v>0</v>
          </cell>
          <cell r="N84">
            <v>0</v>
          </cell>
          <cell r="O84">
            <v>0</v>
          </cell>
          <cell r="P84">
            <v>0</v>
          </cell>
        </row>
        <row r="85">
          <cell r="A85" t="str">
            <v>A.1</v>
          </cell>
          <cell r="B85" t="str">
            <v>161KV SWITCHGEAR AREA</v>
          </cell>
          <cell r="F85">
            <v>0</v>
          </cell>
          <cell r="H85">
            <v>0</v>
          </cell>
          <cell r="J85">
            <v>0</v>
          </cell>
          <cell r="K85">
            <v>0</v>
          </cell>
          <cell r="L85">
            <v>0</v>
          </cell>
          <cell r="M85">
            <v>0</v>
          </cell>
          <cell r="N85">
            <v>0</v>
          </cell>
          <cell r="O85">
            <v>0</v>
          </cell>
          <cell r="P85">
            <v>0</v>
          </cell>
        </row>
        <row r="86">
          <cell r="A86" t="str">
            <v>A.1.1</v>
          </cell>
          <cell r="B86" t="str">
            <v xml:space="preserve">  161KV SF6 GIS ,1250A 50KA , 2 BAYS ,W/ GCB, DS, ES, MOF, LA, CT…..</v>
          </cell>
          <cell r="C86">
            <v>1</v>
          </cell>
          <cell r="D86" t="str">
            <v>SET</v>
          </cell>
          <cell r="E86">
            <v>50540000</v>
          </cell>
          <cell r="F86">
            <v>50540000</v>
          </cell>
          <cell r="H86">
            <v>0</v>
          </cell>
          <cell r="I86">
            <v>4038</v>
          </cell>
          <cell r="J86">
            <v>4038</v>
          </cell>
          <cell r="K86">
            <v>50540000</v>
          </cell>
          <cell r="L86">
            <v>50540000</v>
          </cell>
          <cell r="M86">
            <v>0</v>
          </cell>
          <cell r="N86">
            <v>0</v>
          </cell>
          <cell r="O86">
            <v>1620000</v>
          </cell>
          <cell r="P86">
            <v>1620000</v>
          </cell>
        </row>
        <row r="87">
          <cell r="A87" t="str">
            <v>A.1.2</v>
          </cell>
          <cell r="B87" t="str">
            <v xml:space="preserve">  RELAY &amp; CONTROL PANEL, FOR GIS PANEL ,W/CONTROL CABLE &amp; PILOTWIRE RL</v>
          </cell>
          <cell r="C87">
            <v>1</v>
          </cell>
          <cell r="D87" t="str">
            <v>LOT</v>
          </cell>
          <cell r="E87">
            <v>3412700</v>
          </cell>
          <cell r="F87">
            <v>3412700</v>
          </cell>
          <cell r="H87">
            <v>0</v>
          </cell>
          <cell r="I87">
            <v>500</v>
          </cell>
          <cell r="J87">
            <v>500</v>
          </cell>
          <cell r="K87">
            <v>3412700</v>
          </cell>
          <cell r="L87">
            <v>3412700</v>
          </cell>
          <cell r="M87">
            <v>0</v>
          </cell>
          <cell r="N87">
            <v>0</v>
          </cell>
          <cell r="O87">
            <v>200000</v>
          </cell>
          <cell r="P87">
            <v>200000</v>
          </cell>
        </row>
        <row r="88">
          <cell r="A88" t="str">
            <v>A.1.3</v>
          </cell>
          <cell r="B88" t="str">
            <v xml:space="preserve">  161KV POWER CABLE  , 1/C 250 SQ.MM</v>
          </cell>
          <cell r="C88">
            <v>330</v>
          </cell>
          <cell r="D88" t="str">
            <v>M</v>
          </cell>
          <cell r="E88">
            <v>1680</v>
          </cell>
          <cell r="F88">
            <v>554400</v>
          </cell>
          <cell r="H88">
            <v>0</v>
          </cell>
          <cell r="I88">
            <v>1.1519999999999999</v>
          </cell>
          <cell r="J88">
            <v>380</v>
          </cell>
          <cell r="K88">
            <v>1680</v>
          </cell>
          <cell r="L88">
            <v>554400</v>
          </cell>
          <cell r="M88">
            <v>0</v>
          </cell>
          <cell r="N88">
            <v>0</v>
          </cell>
          <cell r="O88">
            <v>323</v>
          </cell>
          <cell r="P88">
            <v>106590</v>
          </cell>
        </row>
        <row r="89">
          <cell r="A89" t="str">
            <v>A.1.4</v>
          </cell>
          <cell r="B89" t="str">
            <v xml:space="preserve">  161KV TERMINATION KIT, HEAT SHRINKABLE TYPE , 1/C 250 SQ.MM</v>
          </cell>
          <cell r="C89">
            <v>12</v>
          </cell>
          <cell r="D89" t="str">
            <v>SET</v>
          </cell>
          <cell r="E89">
            <v>210000</v>
          </cell>
          <cell r="F89">
            <v>2520000</v>
          </cell>
          <cell r="H89">
            <v>0</v>
          </cell>
          <cell r="I89">
            <v>133</v>
          </cell>
          <cell r="J89">
            <v>1596</v>
          </cell>
          <cell r="K89">
            <v>210000</v>
          </cell>
          <cell r="L89">
            <v>2520000</v>
          </cell>
          <cell r="M89">
            <v>0</v>
          </cell>
          <cell r="N89">
            <v>0</v>
          </cell>
          <cell r="O89">
            <v>53200</v>
          </cell>
          <cell r="P89">
            <v>638400</v>
          </cell>
        </row>
        <row r="90">
          <cell r="A90" t="str">
            <v>A.1.5</v>
          </cell>
          <cell r="B90" t="str">
            <v xml:space="preserve">  MAIN POWER TRANSFORMER W/NGR &amp; LA*3, OIL-IMMERSED , 161KV/6.9KV 30/40MVA</v>
          </cell>
          <cell r="C90">
            <v>2</v>
          </cell>
          <cell r="D90" t="str">
            <v>SET</v>
          </cell>
          <cell r="E90">
            <v>10460000</v>
          </cell>
          <cell r="F90">
            <v>20920000</v>
          </cell>
          <cell r="H90">
            <v>0</v>
          </cell>
          <cell r="I90">
            <v>595</v>
          </cell>
          <cell r="J90">
            <v>1190</v>
          </cell>
          <cell r="K90">
            <v>10460000</v>
          </cell>
          <cell r="L90">
            <v>20920000</v>
          </cell>
          <cell r="M90">
            <v>0</v>
          </cell>
          <cell r="N90">
            <v>0</v>
          </cell>
          <cell r="O90">
            <v>238000</v>
          </cell>
          <cell r="P90">
            <v>476000</v>
          </cell>
        </row>
        <row r="91">
          <cell r="A91" t="str">
            <v>A.1.6</v>
          </cell>
          <cell r="B91" t="str">
            <v xml:space="preserve">  6.9KV BUS DUCT , 4000A INDOOR/OUTDOOR , 8M LG , 40KA</v>
          </cell>
          <cell r="C91">
            <v>2</v>
          </cell>
          <cell r="D91" t="str">
            <v>SET</v>
          </cell>
          <cell r="E91">
            <v>840000</v>
          </cell>
          <cell r="F91">
            <v>1680000</v>
          </cell>
          <cell r="H91">
            <v>0</v>
          </cell>
          <cell r="I91">
            <v>80</v>
          </cell>
          <cell r="J91">
            <v>160</v>
          </cell>
          <cell r="K91">
            <v>840000</v>
          </cell>
          <cell r="L91">
            <v>1680000</v>
          </cell>
          <cell r="M91">
            <v>0</v>
          </cell>
          <cell r="N91">
            <v>0</v>
          </cell>
          <cell r="O91">
            <v>22400</v>
          </cell>
          <cell r="P91">
            <v>44800</v>
          </cell>
        </row>
        <row r="92">
          <cell r="B92" t="str">
            <v>SUB-TOTAL (A.1)</v>
          </cell>
          <cell r="F92">
            <v>79627100</v>
          </cell>
          <cell r="J92">
            <v>7864</v>
          </cell>
          <cell r="L92">
            <v>79627100</v>
          </cell>
          <cell r="P92">
            <v>3085790</v>
          </cell>
        </row>
        <row r="93">
          <cell r="F93">
            <v>0</v>
          </cell>
          <cell r="H93">
            <v>0</v>
          </cell>
          <cell r="J93">
            <v>0</v>
          </cell>
          <cell r="K93">
            <v>0</v>
          </cell>
          <cell r="L93">
            <v>0</v>
          </cell>
          <cell r="M93">
            <v>0</v>
          </cell>
          <cell r="N93">
            <v>0</v>
          </cell>
          <cell r="O93">
            <v>0</v>
          </cell>
          <cell r="P93">
            <v>0</v>
          </cell>
        </row>
        <row r="94">
          <cell r="A94" t="str">
            <v>*</v>
          </cell>
          <cell r="B94" t="str">
            <v>DWG. NO. XK11A-0000-02, 03 , 04</v>
          </cell>
          <cell r="F94">
            <v>0</v>
          </cell>
          <cell r="H94">
            <v>0</v>
          </cell>
          <cell r="J94">
            <v>0</v>
          </cell>
          <cell r="K94">
            <v>0</v>
          </cell>
          <cell r="L94">
            <v>0</v>
          </cell>
          <cell r="M94">
            <v>0</v>
          </cell>
          <cell r="N94">
            <v>0</v>
          </cell>
          <cell r="O94">
            <v>0</v>
          </cell>
          <cell r="P94">
            <v>0</v>
          </cell>
        </row>
        <row r="95">
          <cell r="A95" t="str">
            <v xml:space="preserve">   A.2</v>
          </cell>
          <cell r="B95" t="str">
            <v>MAIN SUBSTATION (公共設施)</v>
          </cell>
          <cell r="H95">
            <v>0</v>
          </cell>
          <cell r="J95">
            <v>0</v>
          </cell>
          <cell r="K95">
            <v>0</v>
          </cell>
          <cell r="L95">
            <v>0</v>
          </cell>
          <cell r="M95">
            <v>0</v>
          </cell>
          <cell r="N95">
            <v>0</v>
          </cell>
          <cell r="O95">
            <v>0</v>
          </cell>
          <cell r="P95">
            <v>0</v>
          </cell>
        </row>
        <row r="96">
          <cell r="A96" t="str">
            <v>A.2.1</v>
          </cell>
          <cell r="B96" t="str">
            <v xml:space="preserve">  6.9KV VCB 4000A 40KA , SWITCHGEAR INCOMING &amp; TIE PANEL </v>
          </cell>
          <cell r="C96">
            <v>3</v>
          </cell>
          <cell r="D96" t="str">
            <v>PNL</v>
          </cell>
          <cell r="E96">
            <v>1300000</v>
          </cell>
          <cell r="F96">
            <v>3900000</v>
          </cell>
          <cell r="H96">
            <v>0</v>
          </cell>
          <cell r="I96">
            <v>30</v>
          </cell>
          <cell r="J96">
            <v>90</v>
          </cell>
          <cell r="K96">
            <v>1300000</v>
          </cell>
          <cell r="L96">
            <v>3900000</v>
          </cell>
          <cell r="M96">
            <v>0</v>
          </cell>
          <cell r="N96">
            <v>0</v>
          </cell>
          <cell r="O96">
            <v>8400</v>
          </cell>
          <cell r="P96">
            <v>25200</v>
          </cell>
        </row>
        <row r="97">
          <cell r="A97" t="str">
            <v>A.2.2</v>
          </cell>
          <cell r="B97" t="str">
            <v xml:space="preserve">  6.9KV VCB 1250A 40KA , SWITCHGEAR FEEDER PANEL </v>
          </cell>
          <cell r="C97">
            <v>6</v>
          </cell>
          <cell r="D97" t="str">
            <v>PNL</v>
          </cell>
          <cell r="E97">
            <v>750000</v>
          </cell>
          <cell r="F97">
            <v>4500000</v>
          </cell>
          <cell r="H97">
            <v>0</v>
          </cell>
          <cell r="I97">
            <v>20</v>
          </cell>
          <cell r="J97">
            <v>120</v>
          </cell>
          <cell r="K97">
            <v>750000</v>
          </cell>
          <cell r="L97">
            <v>4500000</v>
          </cell>
          <cell r="M97">
            <v>0</v>
          </cell>
          <cell r="N97">
            <v>0</v>
          </cell>
          <cell r="O97">
            <v>5600</v>
          </cell>
          <cell r="P97">
            <v>33600</v>
          </cell>
        </row>
        <row r="98">
          <cell r="A98" t="str">
            <v>A.2.3</v>
          </cell>
          <cell r="B98" t="str">
            <v xml:space="preserve">  6.9KV 500KVA , W/GCS , CAPACIATOR PANEL</v>
          </cell>
          <cell r="C98">
            <v>2</v>
          </cell>
          <cell r="D98" t="str">
            <v>PNL</v>
          </cell>
          <cell r="E98">
            <v>600000</v>
          </cell>
          <cell r="F98">
            <v>1200000</v>
          </cell>
          <cell r="H98">
            <v>0</v>
          </cell>
          <cell r="I98">
            <v>20</v>
          </cell>
          <cell r="J98">
            <v>40</v>
          </cell>
          <cell r="K98">
            <v>600000</v>
          </cell>
          <cell r="L98">
            <v>1200000</v>
          </cell>
          <cell r="M98">
            <v>0</v>
          </cell>
          <cell r="N98">
            <v>0</v>
          </cell>
          <cell r="O98">
            <v>5600</v>
          </cell>
          <cell r="P98">
            <v>11200</v>
          </cell>
        </row>
        <row r="99">
          <cell r="A99" t="str">
            <v>A.2.4</v>
          </cell>
          <cell r="B99" t="str">
            <v xml:space="preserve">  CAST RESIN DRY TYPE TR. , IP20 ENCLOSURE , 3 PHASE 6.9KV/480V ,1000KVA </v>
          </cell>
          <cell r="C99">
            <v>2</v>
          </cell>
          <cell r="D99" t="str">
            <v>SET</v>
          </cell>
          <cell r="E99">
            <v>410000</v>
          </cell>
          <cell r="F99">
            <v>820000</v>
          </cell>
          <cell r="H99">
            <v>0</v>
          </cell>
          <cell r="I99">
            <v>108</v>
          </cell>
          <cell r="J99">
            <v>216</v>
          </cell>
          <cell r="K99">
            <v>410000</v>
          </cell>
          <cell r="L99">
            <v>820000</v>
          </cell>
          <cell r="M99">
            <v>0</v>
          </cell>
          <cell r="N99">
            <v>0</v>
          </cell>
          <cell r="O99">
            <v>30240</v>
          </cell>
          <cell r="P99">
            <v>60480</v>
          </cell>
        </row>
        <row r="100">
          <cell r="A100" t="str">
            <v>A.2.5</v>
          </cell>
          <cell r="B100" t="str">
            <v xml:space="preserve">  480V BUS DUCT, 3PH 3W, 1600A INDOOR, 30KA , 6M LG</v>
          </cell>
          <cell r="C100">
            <v>2</v>
          </cell>
          <cell r="D100" t="str">
            <v>SET</v>
          </cell>
          <cell r="E100">
            <v>210000</v>
          </cell>
          <cell r="F100">
            <v>420000</v>
          </cell>
          <cell r="H100">
            <v>0</v>
          </cell>
          <cell r="I100">
            <v>36</v>
          </cell>
          <cell r="J100">
            <v>72</v>
          </cell>
          <cell r="K100">
            <v>210000</v>
          </cell>
          <cell r="L100">
            <v>420000</v>
          </cell>
          <cell r="M100">
            <v>0</v>
          </cell>
          <cell r="N100">
            <v>0</v>
          </cell>
          <cell r="O100">
            <v>10080</v>
          </cell>
          <cell r="P100">
            <v>20160</v>
          </cell>
        </row>
        <row r="101">
          <cell r="A101" t="str">
            <v>A.2.6</v>
          </cell>
          <cell r="B101" t="str">
            <v xml:space="preserve">  480V SWGR , 30KA, INCOMING ACB1600Ax2PNL &amp; TIE ACB1600A </v>
          </cell>
          <cell r="C101">
            <v>1</v>
          </cell>
          <cell r="D101" t="str">
            <v>LOT</v>
          </cell>
          <cell r="E101">
            <v>1100000</v>
          </cell>
          <cell r="F101">
            <v>1100000</v>
          </cell>
          <cell r="H101">
            <v>0</v>
          </cell>
          <cell r="I101">
            <v>60</v>
          </cell>
          <cell r="J101">
            <v>60</v>
          </cell>
          <cell r="K101">
            <v>1100000</v>
          </cell>
          <cell r="L101">
            <v>1100000</v>
          </cell>
          <cell r="M101">
            <v>0</v>
          </cell>
          <cell r="N101">
            <v>0</v>
          </cell>
          <cell r="O101">
            <v>16800</v>
          </cell>
          <cell r="P101">
            <v>16800</v>
          </cell>
        </row>
        <row r="102">
          <cell r="A102" t="str">
            <v>A.2.7</v>
          </cell>
          <cell r="B102" t="str">
            <v xml:space="preserve">  480V MCC SINGLE FACE , 30KA</v>
          </cell>
          <cell r="C102">
            <v>7</v>
          </cell>
          <cell r="D102" t="str">
            <v>PNL</v>
          </cell>
          <cell r="E102">
            <v>120000</v>
          </cell>
          <cell r="F102">
            <v>840000</v>
          </cell>
          <cell r="H102">
            <v>0</v>
          </cell>
          <cell r="I102">
            <v>15</v>
          </cell>
          <cell r="J102">
            <v>105</v>
          </cell>
          <cell r="K102">
            <v>120000</v>
          </cell>
          <cell r="L102">
            <v>840000</v>
          </cell>
          <cell r="M102">
            <v>0</v>
          </cell>
          <cell r="N102">
            <v>0</v>
          </cell>
          <cell r="O102">
            <v>4200</v>
          </cell>
          <cell r="P102">
            <v>29400</v>
          </cell>
        </row>
        <row r="103">
          <cell r="B103" t="str">
            <v>SUB-TOTAL (A.2)</v>
          </cell>
          <cell r="F103">
            <v>12780000</v>
          </cell>
          <cell r="J103">
            <v>703</v>
          </cell>
          <cell r="L103">
            <v>12780000</v>
          </cell>
          <cell r="P103">
            <v>196840</v>
          </cell>
        </row>
        <row r="105">
          <cell r="A105" t="str">
            <v>*</v>
          </cell>
          <cell r="B105" t="str">
            <v>DWG. NO. XK11A-0000-05,06,07,08</v>
          </cell>
          <cell r="F105">
            <v>0</v>
          </cell>
          <cell r="H105">
            <v>0</v>
          </cell>
          <cell r="J105">
            <v>0</v>
          </cell>
          <cell r="K105">
            <v>0</v>
          </cell>
          <cell r="L105">
            <v>0</v>
          </cell>
          <cell r="M105">
            <v>0</v>
          </cell>
          <cell r="N105">
            <v>0</v>
          </cell>
          <cell r="O105">
            <v>0</v>
          </cell>
          <cell r="P105">
            <v>0</v>
          </cell>
        </row>
        <row r="106">
          <cell r="A106" t="str">
            <v xml:space="preserve">   A.3</v>
          </cell>
          <cell r="B106" t="str">
            <v>NO.1 SUBSTATION (場區)</v>
          </cell>
          <cell r="F106">
            <v>0</v>
          </cell>
          <cell r="H106">
            <v>0</v>
          </cell>
          <cell r="J106">
            <v>0</v>
          </cell>
          <cell r="K106">
            <v>0</v>
          </cell>
          <cell r="L106">
            <v>0</v>
          </cell>
          <cell r="M106">
            <v>0</v>
          </cell>
          <cell r="N106">
            <v>0</v>
          </cell>
          <cell r="O106">
            <v>0</v>
          </cell>
          <cell r="P106">
            <v>0</v>
          </cell>
        </row>
        <row r="107">
          <cell r="A107" t="str">
            <v>A.3.1</v>
          </cell>
          <cell r="B107" t="str">
            <v xml:space="preserve">  6.9KV VCB 1250A 40KA , SWITCHGEAR INCOMING &amp; TIE PANEL &amp; FEEDER PANEL</v>
          </cell>
          <cell r="C107">
            <v>5</v>
          </cell>
          <cell r="D107" t="str">
            <v>PNL</v>
          </cell>
          <cell r="E107">
            <v>800000</v>
          </cell>
          <cell r="F107">
            <v>4000000</v>
          </cell>
          <cell r="H107">
            <v>0</v>
          </cell>
          <cell r="I107">
            <v>20</v>
          </cell>
          <cell r="J107">
            <v>100</v>
          </cell>
          <cell r="K107">
            <v>800000</v>
          </cell>
          <cell r="L107">
            <v>4000000</v>
          </cell>
          <cell r="M107">
            <v>0</v>
          </cell>
          <cell r="N107">
            <v>0</v>
          </cell>
          <cell r="O107">
            <v>5600</v>
          </cell>
          <cell r="P107">
            <v>28000</v>
          </cell>
        </row>
        <row r="108">
          <cell r="A108" t="str">
            <v>A.3.2</v>
          </cell>
          <cell r="B108" t="str">
            <v xml:space="preserve">  6.9KV GCS ,  NEMA CLASS E2 , MCC PANEL</v>
          </cell>
          <cell r="C108">
            <v>10</v>
          </cell>
          <cell r="D108" t="str">
            <v>PNL</v>
          </cell>
          <cell r="E108">
            <v>500000</v>
          </cell>
          <cell r="F108">
            <v>5000000</v>
          </cell>
          <cell r="H108">
            <v>0</v>
          </cell>
          <cell r="I108">
            <v>20</v>
          </cell>
          <cell r="J108">
            <v>200</v>
          </cell>
          <cell r="K108">
            <v>500000</v>
          </cell>
          <cell r="L108">
            <v>5000000</v>
          </cell>
          <cell r="M108">
            <v>0</v>
          </cell>
          <cell r="N108">
            <v>0</v>
          </cell>
          <cell r="O108">
            <v>5600</v>
          </cell>
          <cell r="P108">
            <v>56000</v>
          </cell>
        </row>
        <row r="109">
          <cell r="A109" t="str">
            <v>A.3.3</v>
          </cell>
          <cell r="B109" t="str">
            <v xml:space="preserve">  6.9KV 500KVA , W/GCS , CAPACIATOR PANEL</v>
          </cell>
          <cell r="C109">
            <v>8</v>
          </cell>
          <cell r="D109" t="str">
            <v>PNL</v>
          </cell>
          <cell r="E109">
            <v>600000</v>
          </cell>
          <cell r="F109">
            <v>4800000</v>
          </cell>
          <cell r="H109">
            <v>0</v>
          </cell>
          <cell r="I109">
            <v>20</v>
          </cell>
          <cell r="J109">
            <v>160</v>
          </cell>
          <cell r="K109">
            <v>600000</v>
          </cell>
          <cell r="L109">
            <v>4800000</v>
          </cell>
          <cell r="M109">
            <v>0</v>
          </cell>
          <cell r="N109">
            <v>0</v>
          </cell>
          <cell r="O109">
            <v>5600</v>
          </cell>
          <cell r="P109">
            <v>44800</v>
          </cell>
        </row>
        <row r="110">
          <cell r="A110" t="str">
            <v>A.3.4</v>
          </cell>
          <cell r="B110" t="str">
            <v xml:space="preserve">  CAST RESIN DRY TYPE TR. , IP20 ENCLOSURE , 3 PHASE 6.9KV/480V ,2000/2500KVA </v>
          </cell>
          <cell r="C110">
            <v>2</v>
          </cell>
          <cell r="D110" t="str">
            <v>SET</v>
          </cell>
          <cell r="E110">
            <v>652000</v>
          </cell>
          <cell r="F110">
            <v>1304000</v>
          </cell>
          <cell r="H110">
            <v>0</v>
          </cell>
          <cell r="I110">
            <v>170</v>
          </cell>
          <cell r="J110">
            <v>340</v>
          </cell>
          <cell r="K110">
            <v>652000</v>
          </cell>
          <cell r="L110">
            <v>1304000</v>
          </cell>
          <cell r="M110">
            <v>0</v>
          </cell>
          <cell r="N110">
            <v>0</v>
          </cell>
          <cell r="O110">
            <v>47600</v>
          </cell>
          <cell r="P110">
            <v>95200</v>
          </cell>
        </row>
        <row r="111">
          <cell r="A111" t="str">
            <v>A.3.5</v>
          </cell>
          <cell r="B111" t="str">
            <v xml:space="preserve">  480V BUS DUCT, 3PH 3W, 4000A INDOOR, 65KA , 6M LG</v>
          </cell>
          <cell r="C111">
            <v>2</v>
          </cell>
          <cell r="D111" t="str">
            <v>SET</v>
          </cell>
          <cell r="E111">
            <v>350000</v>
          </cell>
          <cell r="F111">
            <v>700000</v>
          </cell>
          <cell r="H111">
            <v>0</v>
          </cell>
          <cell r="I111">
            <v>36</v>
          </cell>
          <cell r="J111">
            <v>72</v>
          </cell>
          <cell r="K111">
            <v>350000</v>
          </cell>
          <cell r="L111">
            <v>700000</v>
          </cell>
          <cell r="M111">
            <v>0</v>
          </cell>
          <cell r="N111">
            <v>0</v>
          </cell>
          <cell r="O111">
            <v>10080</v>
          </cell>
          <cell r="P111">
            <v>20160</v>
          </cell>
        </row>
        <row r="112">
          <cell r="A112" t="str">
            <v>A.3.6</v>
          </cell>
          <cell r="B112" t="str">
            <v xml:space="preserve">  480V SWGR , 65KA, INCOMING ACB4000Ax2PNL &amp; TIE ACB4000A</v>
          </cell>
          <cell r="C112">
            <v>1</v>
          </cell>
          <cell r="D112" t="str">
            <v>LOT</v>
          </cell>
          <cell r="E112">
            <v>1830000</v>
          </cell>
          <cell r="F112">
            <v>1830000</v>
          </cell>
          <cell r="H112">
            <v>0</v>
          </cell>
          <cell r="I112">
            <v>60</v>
          </cell>
          <cell r="J112">
            <v>60</v>
          </cell>
          <cell r="K112">
            <v>1830000</v>
          </cell>
          <cell r="L112">
            <v>1830000</v>
          </cell>
          <cell r="M112">
            <v>0</v>
          </cell>
          <cell r="N112">
            <v>0</v>
          </cell>
          <cell r="O112">
            <v>16800</v>
          </cell>
          <cell r="P112">
            <v>16800</v>
          </cell>
        </row>
        <row r="113">
          <cell r="A113" t="str">
            <v>A.3.7</v>
          </cell>
          <cell r="B113" t="str">
            <v xml:space="preserve">  480V MCC SINGLE FACE , 65KA</v>
          </cell>
          <cell r="C113">
            <v>19</v>
          </cell>
          <cell r="D113" t="str">
            <v>PNL</v>
          </cell>
          <cell r="E113">
            <v>160000</v>
          </cell>
          <cell r="F113">
            <v>3040000</v>
          </cell>
          <cell r="H113">
            <v>0</v>
          </cell>
          <cell r="I113">
            <v>15</v>
          </cell>
          <cell r="J113">
            <v>285</v>
          </cell>
          <cell r="K113">
            <v>160000</v>
          </cell>
          <cell r="L113">
            <v>3040000</v>
          </cell>
          <cell r="M113">
            <v>0</v>
          </cell>
          <cell r="N113">
            <v>0</v>
          </cell>
          <cell r="O113">
            <v>4200</v>
          </cell>
          <cell r="P113">
            <v>79800</v>
          </cell>
        </row>
        <row r="114">
          <cell r="A114" t="str">
            <v>A.3.8</v>
          </cell>
          <cell r="B114" t="str">
            <v xml:space="preserve">  480V EMERGENCY SWGR , 65KA, 4000A ACB</v>
          </cell>
          <cell r="C114">
            <v>2</v>
          </cell>
          <cell r="D114" t="str">
            <v>PNL</v>
          </cell>
          <cell r="E114">
            <v>610000</v>
          </cell>
          <cell r="F114">
            <v>1220000</v>
          </cell>
          <cell r="H114">
            <v>0</v>
          </cell>
          <cell r="I114">
            <v>20</v>
          </cell>
          <cell r="J114">
            <v>40</v>
          </cell>
          <cell r="K114">
            <v>610000</v>
          </cell>
          <cell r="L114">
            <v>1220000</v>
          </cell>
          <cell r="M114">
            <v>0</v>
          </cell>
          <cell r="N114">
            <v>0</v>
          </cell>
          <cell r="O114">
            <v>5600</v>
          </cell>
          <cell r="P114">
            <v>11200</v>
          </cell>
        </row>
        <row r="115">
          <cell r="A115" t="str">
            <v>A.3.9</v>
          </cell>
          <cell r="B115" t="str">
            <v xml:space="preserve">  480V EMERGENCY MCC SINGLE FACE , 40KA</v>
          </cell>
          <cell r="C115">
            <v>3</v>
          </cell>
          <cell r="D115" t="str">
            <v>PNL</v>
          </cell>
          <cell r="E115">
            <v>140000</v>
          </cell>
          <cell r="F115">
            <v>420000</v>
          </cell>
          <cell r="H115">
            <v>0</v>
          </cell>
          <cell r="I115">
            <v>15</v>
          </cell>
          <cell r="J115">
            <v>45</v>
          </cell>
          <cell r="K115">
            <v>140000</v>
          </cell>
          <cell r="L115">
            <v>420000</v>
          </cell>
          <cell r="M115">
            <v>0</v>
          </cell>
          <cell r="N115">
            <v>0</v>
          </cell>
          <cell r="O115">
            <v>4200</v>
          </cell>
          <cell r="P115">
            <v>12600</v>
          </cell>
        </row>
        <row r="116">
          <cell r="B116" t="str">
            <v>SUB-TOTAL (A.3)</v>
          </cell>
          <cell r="F116">
            <v>22314000</v>
          </cell>
          <cell r="J116">
            <v>1302</v>
          </cell>
          <cell r="L116">
            <v>22314000</v>
          </cell>
          <cell r="P116">
            <v>364560</v>
          </cell>
        </row>
        <row r="117">
          <cell r="F117">
            <v>0</v>
          </cell>
          <cell r="H117">
            <v>0</v>
          </cell>
          <cell r="J117">
            <v>0</v>
          </cell>
          <cell r="K117">
            <v>0</v>
          </cell>
          <cell r="L117">
            <v>0</v>
          </cell>
          <cell r="M117">
            <v>0</v>
          </cell>
          <cell r="N117">
            <v>0</v>
          </cell>
          <cell r="O117">
            <v>0</v>
          </cell>
          <cell r="P117">
            <v>0</v>
          </cell>
        </row>
        <row r="118">
          <cell r="A118" t="str">
            <v>*</v>
          </cell>
          <cell r="B118" t="str">
            <v>DWG. NO. XK11A-0000-09,10</v>
          </cell>
          <cell r="F118">
            <v>0</v>
          </cell>
          <cell r="H118">
            <v>0</v>
          </cell>
          <cell r="J118">
            <v>0</v>
          </cell>
          <cell r="K118">
            <v>0</v>
          </cell>
          <cell r="L118">
            <v>0</v>
          </cell>
          <cell r="M118">
            <v>0</v>
          </cell>
          <cell r="N118">
            <v>0</v>
          </cell>
          <cell r="O118">
            <v>0</v>
          </cell>
          <cell r="P118">
            <v>0</v>
          </cell>
        </row>
        <row r="119">
          <cell r="A119" t="str">
            <v xml:space="preserve">   A.4</v>
          </cell>
          <cell r="B119" t="str">
            <v>NO.2 SUBSTATION (碼頭區)</v>
          </cell>
          <cell r="F119">
            <v>0</v>
          </cell>
          <cell r="H119">
            <v>0</v>
          </cell>
          <cell r="J119">
            <v>0</v>
          </cell>
          <cell r="K119">
            <v>0</v>
          </cell>
          <cell r="L119">
            <v>0</v>
          </cell>
          <cell r="M119">
            <v>0</v>
          </cell>
          <cell r="N119">
            <v>0</v>
          </cell>
          <cell r="O119">
            <v>0</v>
          </cell>
          <cell r="P119">
            <v>0</v>
          </cell>
        </row>
        <row r="120">
          <cell r="A120" t="str">
            <v>A.4.1</v>
          </cell>
          <cell r="B120" t="str">
            <v xml:space="preserve">  6.9KV VCB 1250A 40KA , SWITCHGEAR INCOMING &amp; TIE PANEL &amp; FEEDER PANEL</v>
          </cell>
          <cell r="C120">
            <v>5</v>
          </cell>
          <cell r="D120" t="str">
            <v>PNL</v>
          </cell>
          <cell r="E120">
            <v>800000</v>
          </cell>
          <cell r="F120">
            <v>4000000</v>
          </cell>
          <cell r="H120">
            <v>0</v>
          </cell>
          <cell r="I120">
            <v>20</v>
          </cell>
          <cell r="J120">
            <v>100</v>
          </cell>
          <cell r="K120">
            <v>800000</v>
          </cell>
          <cell r="L120">
            <v>4000000</v>
          </cell>
          <cell r="M120">
            <v>0</v>
          </cell>
          <cell r="N120">
            <v>0</v>
          </cell>
          <cell r="O120">
            <v>5600</v>
          </cell>
          <cell r="P120">
            <v>28000</v>
          </cell>
        </row>
        <row r="121">
          <cell r="A121" t="str">
            <v>A.4.2</v>
          </cell>
          <cell r="B121" t="str">
            <v xml:space="preserve">  6.9KV VCB 1250A , MCC PANEL</v>
          </cell>
          <cell r="C121">
            <v>3</v>
          </cell>
          <cell r="D121" t="str">
            <v>PNL</v>
          </cell>
          <cell r="E121">
            <v>700000</v>
          </cell>
          <cell r="F121">
            <v>2100000</v>
          </cell>
          <cell r="H121">
            <v>0</v>
          </cell>
          <cell r="I121">
            <v>20</v>
          </cell>
          <cell r="J121">
            <v>60</v>
          </cell>
          <cell r="K121">
            <v>700000</v>
          </cell>
          <cell r="L121">
            <v>2100000</v>
          </cell>
          <cell r="M121">
            <v>0</v>
          </cell>
          <cell r="N121">
            <v>0</v>
          </cell>
          <cell r="O121">
            <v>5600</v>
          </cell>
          <cell r="P121">
            <v>16800</v>
          </cell>
        </row>
        <row r="122">
          <cell r="A122" t="str">
            <v>A.4.3</v>
          </cell>
          <cell r="B122" t="str">
            <v xml:space="preserve">  6.9KV 500KVA , W/GCS , CAPACIATOR PANEL</v>
          </cell>
          <cell r="C122">
            <v>2</v>
          </cell>
          <cell r="D122" t="str">
            <v>PNL</v>
          </cell>
          <cell r="E122">
            <v>600000</v>
          </cell>
          <cell r="F122">
            <v>1200000</v>
          </cell>
          <cell r="H122">
            <v>0</v>
          </cell>
          <cell r="I122">
            <v>20</v>
          </cell>
          <cell r="J122">
            <v>40</v>
          </cell>
          <cell r="K122">
            <v>600000</v>
          </cell>
          <cell r="L122">
            <v>1200000</v>
          </cell>
          <cell r="M122">
            <v>0</v>
          </cell>
          <cell r="N122">
            <v>0</v>
          </cell>
          <cell r="O122">
            <v>5600</v>
          </cell>
          <cell r="P122">
            <v>11200</v>
          </cell>
        </row>
        <row r="123">
          <cell r="A123" t="str">
            <v>A.4.4</v>
          </cell>
          <cell r="B123" t="str">
            <v xml:space="preserve">  6.9KV 1000KVA , W/GCS , CAPACIATOR PANEL</v>
          </cell>
          <cell r="C123">
            <v>2</v>
          </cell>
          <cell r="D123" t="str">
            <v>PNL</v>
          </cell>
          <cell r="E123">
            <v>900000</v>
          </cell>
          <cell r="F123">
            <v>1800000</v>
          </cell>
          <cell r="H123">
            <v>0</v>
          </cell>
          <cell r="I123">
            <v>20</v>
          </cell>
          <cell r="J123">
            <v>40</v>
          </cell>
          <cell r="K123">
            <v>900000</v>
          </cell>
          <cell r="L123">
            <v>1800000</v>
          </cell>
          <cell r="M123">
            <v>0</v>
          </cell>
          <cell r="N123">
            <v>0</v>
          </cell>
          <cell r="O123">
            <v>5600</v>
          </cell>
          <cell r="P123">
            <v>11200</v>
          </cell>
        </row>
        <row r="124">
          <cell r="A124" t="str">
            <v>A.4.5</v>
          </cell>
          <cell r="B124" t="str">
            <v xml:space="preserve">  CAST RESIN DRY TYPE TR. , IP20 ENCLOSURE , 3 PHASE 6.9KV/480V ,1000KVA </v>
          </cell>
          <cell r="C124">
            <v>2</v>
          </cell>
          <cell r="D124" t="str">
            <v>SET</v>
          </cell>
          <cell r="E124">
            <v>410000</v>
          </cell>
          <cell r="F124">
            <v>820000</v>
          </cell>
          <cell r="H124">
            <v>0</v>
          </cell>
          <cell r="I124">
            <v>108</v>
          </cell>
          <cell r="J124">
            <v>216</v>
          </cell>
          <cell r="K124">
            <v>410000</v>
          </cell>
          <cell r="L124">
            <v>820000</v>
          </cell>
          <cell r="M124">
            <v>0</v>
          </cell>
          <cell r="N124">
            <v>0</v>
          </cell>
          <cell r="O124">
            <v>30240</v>
          </cell>
          <cell r="P124">
            <v>60480</v>
          </cell>
        </row>
        <row r="125">
          <cell r="A125" t="str">
            <v>A.4.6</v>
          </cell>
          <cell r="B125" t="str">
            <v xml:space="preserve">  480V BUS DUCT, 3PH 3W, 1600A INDOOR, 30KA , 6M LG</v>
          </cell>
          <cell r="C125">
            <v>2</v>
          </cell>
          <cell r="D125" t="str">
            <v>SET</v>
          </cell>
          <cell r="E125">
            <v>210000</v>
          </cell>
          <cell r="F125">
            <v>420000</v>
          </cell>
          <cell r="H125">
            <v>0</v>
          </cell>
          <cell r="I125">
            <v>36</v>
          </cell>
          <cell r="J125">
            <v>72</v>
          </cell>
          <cell r="K125">
            <v>210000</v>
          </cell>
          <cell r="L125">
            <v>420000</v>
          </cell>
          <cell r="M125">
            <v>0</v>
          </cell>
          <cell r="N125">
            <v>0</v>
          </cell>
          <cell r="O125">
            <v>10080</v>
          </cell>
          <cell r="P125">
            <v>20160</v>
          </cell>
        </row>
        <row r="126">
          <cell r="A126" t="str">
            <v>A.4.7</v>
          </cell>
          <cell r="B126" t="str">
            <v xml:space="preserve">  480V SWGR , 30KA, INCOMING ACB1600Ax2PNL &amp; TIE ACB1600A </v>
          </cell>
          <cell r="C126">
            <v>1</v>
          </cell>
          <cell r="D126" t="str">
            <v>LOT</v>
          </cell>
          <cell r="E126">
            <v>1100000</v>
          </cell>
          <cell r="F126">
            <v>1100000</v>
          </cell>
          <cell r="H126">
            <v>0</v>
          </cell>
          <cell r="I126">
            <v>60</v>
          </cell>
          <cell r="J126">
            <v>60</v>
          </cell>
          <cell r="K126">
            <v>1100000</v>
          </cell>
          <cell r="L126">
            <v>1100000</v>
          </cell>
          <cell r="M126">
            <v>0</v>
          </cell>
          <cell r="N126">
            <v>0</v>
          </cell>
          <cell r="O126">
            <v>16800</v>
          </cell>
          <cell r="P126">
            <v>16800</v>
          </cell>
        </row>
        <row r="127">
          <cell r="A127" t="str">
            <v>A.4.8</v>
          </cell>
          <cell r="B127" t="str">
            <v xml:space="preserve">  480V MCC SINGLE FACE , 30KA</v>
          </cell>
          <cell r="C127">
            <v>7</v>
          </cell>
          <cell r="D127" t="str">
            <v>PNL</v>
          </cell>
          <cell r="E127">
            <v>120000</v>
          </cell>
          <cell r="F127">
            <v>840000</v>
          </cell>
          <cell r="H127">
            <v>0</v>
          </cell>
          <cell r="I127">
            <v>15</v>
          </cell>
          <cell r="J127">
            <v>105</v>
          </cell>
          <cell r="K127">
            <v>120000</v>
          </cell>
          <cell r="L127">
            <v>840000</v>
          </cell>
          <cell r="M127">
            <v>0</v>
          </cell>
          <cell r="N127">
            <v>0</v>
          </cell>
          <cell r="O127">
            <v>4200</v>
          </cell>
          <cell r="P127">
            <v>29400</v>
          </cell>
        </row>
        <row r="128">
          <cell r="B128" t="str">
            <v>SUB-TOTAL (A.4)</v>
          </cell>
          <cell r="F128">
            <v>12280000</v>
          </cell>
          <cell r="J128">
            <v>693</v>
          </cell>
          <cell r="L128">
            <v>12280000</v>
          </cell>
          <cell r="P128">
            <v>194040</v>
          </cell>
        </row>
        <row r="129">
          <cell r="F129">
            <v>0</v>
          </cell>
          <cell r="H129">
            <v>0</v>
          </cell>
          <cell r="J129">
            <v>0</v>
          </cell>
          <cell r="K129">
            <v>0</v>
          </cell>
          <cell r="L129">
            <v>0</v>
          </cell>
          <cell r="M129">
            <v>0</v>
          </cell>
          <cell r="N129">
            <v>0</v>
          </cell>
          <cell r="O129">
            <v>0</v>
          </cell>
          <cell r="P129">
            <v>0</v>
          </cell>
        </row>
        <row r="130">
          <cell r="A130" t="str">
            <v>A.5</v>
          </cell>
          <cell r="B130" t="str">
            <v xml:space="preserve"> DISEL STAND-BY GENERATOR 1250KW OUTPUT,</v>
          </cell>
          <cell r="C130">
            <v>1</v>
          </cell>
          <cell r="D130" t="str">
            <v>SET</v>
          </cell>
          <cell r="E130">
            <v>6250000</v>
          </cell>
          <cell r="F130">
            <v>6250000</v>
          </cell>
          <cell r="H130">
            <v>0</v>
          </cell>
          <cell r="I130">
            <v>560</v>
          </cell>
          <cell r="J130">
            <v>560</v>
          </cell>
          <cell r="K130">
            <v>6250000</v>
          </cell>
          <cell r="L130">
            <v>6250000</v>
          </cell>
          <cell r="M130">
            <v>0</v>
          </cell>
          <cell r="N130">
            <v>0</v>
          </cell>
          <cell r="O130">
            <v>224000</v>
          </cell>
          <cell r="P130">
            <v>224000</v>
          </cell>
        </row>
        <row r="131">
          <cell r="B131" t="str">
            <v xml:space="preserve"> 3PH 3W 480V, W/ CONTROL PANEL , DALY TANK</v>
          </cell>
          <cell r="F131">
            <v>0</v>
          </cell>
          <cell r="H131">
            <v>0</v>
          </cell>
          <cell r="J131">
            <v>0</v>
          </cell>
          <cell r="K131">
            <v>0</v>
          </cell>
          <cell r="L131">
            <v>0</v>
          </cell>
          <cell r="M131">
            <v>0</v>
          </cell>
          <cell r="N131">
            <v>0</v>
          </cell>
          <cell r="O131">
            <v>0</v>
          </cell>
          <cell r="P131">
            <v>0</v>
          </cell>
        </row>
        <row r="132">
          <cell r="F132">
            <v>0</v>
          </cell>
          <cell r="H132">
            <v>0</v>
          </cell>
          <cell r="J132">
            <v>0</v>
          </cell>
          <cell r="K132">
            <v>0</v>
          </cell>
          <cell r="L132">
            <v>0</v>
          </cell>
          <cell r="M132">
            <v>0</v>
          </cell>
          <cell r="N132">
            <v>0</v>
          </cell>
          <cell r="O132">
            <v>0</v>
          </cell>
          <cell r="P132">
            <v>0</v>
          </cell>
        </row>
        <row r="133">
          <cell r="A133" t="str">
            <v>A.6</v>
          </cell>
          <cell r="B133" t="str">
            <v>3 PHASE 480V-120V UPS</v>
          </cell>
          <cell r="F133">
            <v>0</v>
          </cell>
          <cell r="H133">
            <v>0</v>
          </cell>
          <cell r="J133">
            <v>0</v>
          </cell>
          <cell r="K133">
            <v>0</v>
          </cell>
          <cell r="L133">
            <v>0</v>
          </cell>
          <cell r="M133">
            <v>0</v>
          </cell>
          <cell r="N133">
            <v>0</v>
          </cell>
          <cell r="O133">
            <v>0</v>
          </cell>
          <cell r="P133">
            <v>0</v>
          </cell>
        </row>
        <row r="134">
          <cell r="A134" t="str">
            <v>A.6.1</v>
          </cell>
          <cell r="B134" t="str">
            <v xml:space="preserve"> 100 KVA ,  W/ BATTERY LEAD-CALCIUM TYPE 30 MIN.</v>
          </cell>
          <cell r="C134">
            <v>1</v>
          </cell>
          <cell r="D134" t="str">
            <v>SET</v>
          </cell>
          <cell r="E134">
            <v>1250000</v>
          </cell>
          <cell r="F134">
            <v>1250000</v>
          </cell>
          <cell r="H134">
            <v>0</v>
          </cell>
          <cell r="I134">
            <v>188</v>
          </cell>
          <cell r="J134">
            <v>188</v>
          </cell>
          <cell r="K134">
            <v>1250000</v>
          </cell>
          <cell r="L134">
            <v>1250000</v>
          </cell>
          <cell r="M134">
            <v>0</v>
          </cell>
          <cell r="N134">
            <v>0</v>
          </cell>
          <cell r="O134">
            <v>52640</v>
          </cell>
          <cell r="P134">
            <v>52640</v>
          </cell>
        </row>
        <row r="135">
          <cell r="A135" t="str">
            <v>A.6.2</v>
          </cell>
          <cell r="B135" t="str">
            <v xml:space="preserve"> 15 KVA ,  W/ BATTERY LEAD-CALCIUM TYPE 30 MIN.</v>
          </cell>
          <cell r="C135">
            <v>1</v>
          </cell>
          <cell r="D135" t="str">
            <v>SET</v>
          </cell>
          <cell r="E135">
            <v>300000</v>
          </cell>
          <cell r="F135">
            <v>300000</v>
          </cell>
          <cell r="H135">
            <v>0</v>
          </cell>
          <cell r="I135">
            <v>50</v>
          </cell>
          <cell r="J135">
            <v>50</v>
          </cell>
          <cell r="K135">
            <v>300000</v>
          </cell>
          <cell r="L135">
            <v>300000</v>
          </cell>
          <cell r="M135">
            <v>0</v>
          </cell>
          <cell r="N135">
            <v>0</v>
          </cell>
          <cell r="O135">
            <v>14000</v>
          </cell>
          <cell r="P135">
            <v>14000</v>
          </cell>
        </row>
        <row r="136">
          <cell r="B136" t="str">
            <v>SUB-TOTAL (A.6)</v>
          </cell>
          <cell r="F136">
            <v>1550000</v>
          </cell>
          <cell r="J136">
            <v>238</v>
          </cell>
          <cell r="L136">
            <v>1550000</v>
          </cell>
          <cell r="P136">
            <v>66640</v>
          </cell>
        </row>
        <row r="138">
          <cell r="A138" t="str">
            <v>A.7</v>
          </cell>
          <cell r="B138" t="str">
            <v xml:space="preserve">  DC POWER SUPPLY       </v>
          </cell>
        </row>
        <row r="139">
          <cell r="A139" t="str">
            <v>A.7.1</v>
          </cell>
          <cell r="B139" t="str">
            <v xml:space="preserve"> 125VDC CHAGER, 50A,  W/ 60AH LEAD-CALCIUM BATTERY &amp; RACK</v>
          </cell>
          <cell r="C139">
            <v>1</v>
          </cell>
          <cell r="D139" t="str">
            <v>SET</v>
          </cell>
          <cell r="E139">
            <v>325000</v>
          </cell>
          <cell r="F139">
            <v>325000</v>
          </cell>
          <cell r="H139">
            <v>0</v>
          </cell>
          <cell r="I139">
            <v>50</v>
          </cell>
          <cell r="J139">
            <v>50</v>
          </cell>
          <cell r="K139">
            <v>325000</v>
          </cell>
          <cell r="L139">
            <v>325000</v>
          </cell>
          <cell r="M139">
            <v>0</v>
          </cell>
          <cell r="N139">
            <v>0</v>
          </cell>
          <cell r="O139">
            <v>14000</v>
          </cell>
          <cell r="P139">
            <v>14000</v>
          </cell>
        </row>
        <row r="140">
          <cell r="A140" t="str">
            <v>A.7.2</v>
          </cell>
          <cell r="B140" t="str">
            <v xml:space="preserve"> 125VDC CHAGER, 25A,  W/ 30AH LEAD-CALCIUM BATTERY &amp; RACK</v>
          </cell>
          <cell r="C140">
            <v>2</v>
          </cell>
          <cell r="D140" t="str">
            <v>SET</v>
          </cell>
          <cell r="E140">
            <v>245000</v>
          </cell>
          <cell r="F140">
            <v>490000</v>
          </cell>
          <cell r="H140">
            <v>0</v>
          </cell>
          <cell r="I140">
            <v>35</v>
          </cell>
          <cell r="J140">
            <v>70</v>
          </cell>
          <cell r="K140">
            <v>245000</v>
          </cell>
          <cell r="L140">
            <v>490000</v>
          </cell>
          <cell r="M140">
            <v>0</v>
          </cell>
          <cell r="N140">
            <v>0</v>
          </cell>
          <cell r="O140">
            <v>9800</v>
          </cell>
          <cell r="P140">
            <v>19600</v>
          </cell>
        </row>
        <row r="141">
          <cell r="B141" t="str">
            <v>SUB-TOTAL (A7)</v>
          </cell>
          <cell r="F141">
            <v>815000</v>
          </cell>
          <cell r="J141">
            <v>120</v>
          </cell>
          <cell r="L141">
            <v>815000</v>
          </cell>
          <cell r="P141">
            <v>33600</v>
          </cell>
        </row>
        <row r="143">
          <cell r="A143" t="str">
            <v>A.8</v>
          </cell>
          <cell r="B143" t="str">
            <v>OTHER</v>
          </cell>
        </row>
        <row r="144">
          <cell r="A144" t="str">
            <v>A.8.1</v>
          </cell>
          <cell r="B144" t="str">
            <v>SELF-STANDING POWER PANEL, 480V, 65KA</v>
          </cell>
          <cell r="C144">
            <v>1</v>
          </cell>
          <cell r="D144" t="str">
            <v>SET</v>
          </cell>
          <cell r="E144">
            <v>120000</v>
          </cell>
          <cell r="F144">
            <v>120000</v>
          </cell>
          <cell r="H144">
            <v>0</v>
          </cell>
          <cell r="I144">
            <v>20</v>
          </cell>
          <cell r="J144">
            <v>20</v>
          </cell>
          <cell r="K144">
            <v>120000</v>
          </cell>
          <cell r="L144">
            <v>120000</v>
          </cell>
          <cell r="M144">
            <v>0</v>
          </cell>
          <cell r="N144">
            <v>0</v>
          </cell>
          <cell r="O144">
            <v>5600</v>
          </cell>
          <cell r="P144">
            <v>5600</v>
          </cell>
        </row>
        <row r="145">
          <cell r="B145" t="str">
            <v>PNL. NO. CCR2-D-MC1 (DWG. NO. XK11A-0000-12)</v>
          </cell>
          <cell r="F145">
            <v>0</v>
          </cell>
          <cell r="H145">
            <v>0</v>
          </cell>
          <cell r="J145">
            <v>0</v>
          </cell>
          <cell r="K145">
            <v>0</v>
          </cell>
          <cell r="L145">
            <v>0</v>
          </cell>
          <cell r="M145">
            <v>0</v>
          </cell>
          <cell r="N145">
            <v>0</v>
          </cell>
          <cell r="O145">
            <v>0</v>
          </cell>
          <cell r="P145">
            <v>0</v>
          </cell>
        </row>
        <row r="146">
          <cell r="A146" t="str">
            <v>A.8.2</v>
          </cell>
          <cell r="B146" t="str">
            <v>SELF-STANDING POWER PANEL, 480V, 30KA (DWG. NO. XK11A-0000-12)</v>
          </cell>
          <cell r="C146">
            <v>6</v>
          </cell>
          <cell r="D146" t="str">
            <v>SET</v>
          </cell>
          <cell r="E146">
            <v>140000</v>
          </cell>
          <cell r="F146">
            <v>840000</v>
          </cell>
          <cell r="H146">
            <v>0</v>
          </cell>
          <cell r="I146">
            <v>20</v>
          </cell>
          <cell r="J146">
            <v>120</v>
          </cell>
          <cell r="K146">
            <v>140000</v>
          </cell>
          <cell r="L146">
            <v>840000</v>
          </cell>
          <cell r="M146">
            <v>0</v>
          </cell>
          <cell r="N146">
            <v>0</v>
          </cell>
          <cell r="O146">
            <v>5600</v>
          </cell>
          <cell r="P146">
            <v>33600</v>
          </cell>
        </row>
        <row r="147">
          <cell r="B147" t="str">
            <v>PNL. NO. POWER PANEL.</v>
          </cell>
          <cell r="F147">
            <v>0</v>
          </cell>
          <cell r="H147">
            <v>0</v>
          </cell>
          <cell r="J147">
            <v>0</v>
          </cell>
          <cell r="K147">
            <v>0</v>
          </cell>
          <cell r="L147">
            <v>0</v>
          </cell>
          <cell r="M147">
            <v>0</v>
          </cell>
          <cell r="N147">
            <v>0</v>
          </cell>
          <cell r="O147">
            <v>0</v>
          </cell>
          <cell r="P147">
            <v>0</v>
          </cell>
        </row>
        <row r="148">
          <cell r="A148" t="str">
            <v>A.8.3</v>
          </cell>
          <cell r="B148" t="str">
            <v>DRY RTANSFORMER, WEATHER PROOF ENCLOSURE</v>
          </cell>
          <cell r="F148">
            <v>0</v>
          </cell>
          <cell r="H148">
            <v>0</v>
          </cell>
          <cell r="J148">
            <v>0</v>
          </cell>
          <cell r="K148">
            <v>0</v>
          </cell>
          <cell r="L148">
            <v>0</v>
          </cell>
          <cell r="M148">
            <v>0</v>
          </cell>
          <cell r="N148">
            <v>0</v>
          </cell>
          <cell r="O148">
            <v>0</v>
          </cell>
          <cell r="P148">
            <v>0</v>
          </cell>
        </row>
        <row r="149">
          <cell r="B149" t="str">
            <v>480/240V, 30KVA</v>
          </cell>
          <cell r="C149">
            <v>9</v>
          </cell>
          <cell r="D149" t="str">
            <v>SET</v>
          </cell>
          <cell r="E149">
            <v>40000</v>
          </cell>
          <cell r="F149">
            <v>360000</v>
          </cell>
          <cell r="H149">
            <v>0</v>
          </cell>
          <cell r="I149">
            <v>18</v>
          </cell>
          <cell r="J149">
            <v>162</v>
          </cell>
          <cell r="K149">
            <v>40000</v>
          </cell>
          <cell r="L149">
            <v>360000</v>
          </cell>
          <cell r="M149">
            <v>0</v>
          </cell>
          <cell r="N149">
            <v>0</v>
          </cell>
          <cell r="O149">
            <v>5040</v>
          </cell>
          <cell r="P149">
            <v>45360</v>
          </cell>
        </row>
        <row r="150">
          <cell r="B150" t="str">
            <v>480/240V, 20KVA</v>
          </cell>
          <cell r="C150">
            <v>6</v>
          </cell>
          <cell r="D150" t="str">
            <v>SET</v>
          </cell>
          <cell r="E150">
            <v>30000</v>
          </cell>
          <cell r="F150">
            <v>180000</v>
          </cell>
          <cell r="H150">
            <v>0</v>
          </cell>
          <cell r="I150">
            <v>14</v>
          </cell>
          <cell r="J150">
            <v>84</v>
          </cell>
          <cell r="K150">
            <v>30000</v>
          </cell>
          <cell r="L150">
            <v>180000</v>
          </cell>
          <cell r="M150">
            <v>0</v>
          </cell>
          <cell r="N150">
            <v>0</v>
          </cell>
          <cell r="O150">
            <v>3920</v>
          </cell>
          <cell r="P150">
            <v>23520</v>
          </cell>
        </row>
        <row r="151">
          <cell r="B151" t="str">
            <v>480/240V, 10KVA</v>
          </cell>
          <cell r="C151">
            <v>9</v>
          </cell>
          <cell r="D151" t="str">
            <v>SET</v>
          </cell>
          <cell r="E151">
            <v>22000</v>
          </cell>
          <cell r="F151">
            <v>198000</v>
          </cell>
          <cell r="H151">
            <v>0</v>
          </cell>
          <cell r="I151">
            <v>9</v>
          </cell>
          <cell r="J151">
            <v>81</v>
          </cell>
          <cell r="K151">
            <v>22000</v>
          </cell>
          <cell r="L151">
            <v>198000</v>
          </cell>
          <cell r="M151">
            <v>0</v>
          </cell>
          <cell r="N151">
            <v>0</v>
          </cell>
          <cell r="O151">
            <v>2520</v>
          </cell>
          <cell r="P151">
            <v>22680</v>
          </cell>
        </row>
        <row r="152">
          <cell r="A152" t="str">
            <v>A.8.4</v>
          </cell>
          <cell r="B152" t="str">
            <v xml:space="preserve"> MCC FOR TRASH , 480V MCC SINGLE FACE , 30KA</v>
          </cell>
          <cell r="C152">
            <v>5</v>
          </cell>
          <cell r="D152" t="str">
            <v>SET</v>
          </cell>
          <cell r="E152">
            <v>120000</v>
          </cell>
          <cell r="F152">
            <v>600000</v>
          </cell>
          <cell r="H152">
            <v>0</v>
          </cell>
          <cell r="I152">
            <v>15</v>
          </cell>
          <cell r="J152">
            <v>75</v>
          </cell>
          <cell r="K152">
            <v>120000</v>
          </cell>
          <cell r="L152">
            <v>600000</v>
          </cell>
          <cell r="M152">
            <v>0</v>
          </cell>
          <cell r="N152">
            <v>0</v>
          </cell>
          <cell r="O152">
            <v>4200</v>
          </cell>
          <cell r="P152">
            <v>21000</v>
          </cell>
        </row>
        <row r="153">
          <cell r="A153" t="str">
            <v>A.8.5</v>
          </cell>
          <cell r="B153" t="str">
            <v>600VAC, 100A ATS PANEL, WALL MOUNT, INDOOR</v>
          </cell>
          <cell r="C153">
            <v>3</v>
          </cell>
          <cell r="D153" t="str">
            <v>SET</v>
          </cell>
          <cell r="E153">
            <v>100000</v>
          </cell>
          <cell r="F153">
            <v>300000</v>
          </cell>
          <cell r="H153">
            <v>0</v>
          </cell>
          <cell r="I153">
            <v>15</v>
          </cell>
          <cell r="J153">
            <v>45</v>
          </cell>
          <cell r="K153">
            <v>100000</v>
          </cell>
          <cell r="L153">
            <v>300000</v>
          </cell>
          <cell r="M153">
            <v>0</v>
          </cell>
          <cell r="N153">
            <v>0</v>
          </cell>
          <cell r="O153">
            <v>4200</v>
          </cell>
          <cell r="P153">
            <v>12600</v>
          </cell>
        </row>
        <row r="154">
          <cell r="A154" t="str">
            <v>A.8.6</v>
          </cell>
          <cell r="B154" t="str">
            <v>100A NFB PANEL, WALL MOUNT., INDOOR</v>
          </cell>
          <cell r="C154">
            <v>6</v>
          </cell>
          <cell r="D154" t="str">
            <v>SET</v>
          </cell>
          <cell r="E154">
            <v>4000</v>
          </cell>
          <cell r="F154">
            <v>24000</v>
          </cell>
          <cell r="H154">
            <v>0</v>
          </cell>
          <cell r="I154">
            <v>4</v>
          </cell>
          <cell r="J154">
            <v>24</v>
          </cell>
          <cell r="K154">
            <v>4000</v>
          </cell>
          <cell r="L154">
            <v>24000</v>
          </cell>
          <cell r="M154">
            <v>0</v>
          </cell>
          <cell r="N154">
            <v>0</v>
          </cell>
          <cell r="O154">
            <v>1120</v>
          </cell>
          <cell r="P154">
            <v>6720</v>
          </cell>
        </row>
        <row r="155">
          <cell r="A155" t="str">
            <v>A.8.7</v>
          </cell>
          <cell r="B155" t="str">
            <v>600V PDP PANEL, WALL MOUNT, INDOOR</v>
          </cell>
          <cell r="C155">
            <v>6</v>
          </cell>
          <cell r="D155" t="str">
            <v>SET</v>
          </cell>
          <cell r="E155">
            <v>9000</v>
          </cell>
          <cell r="F155">
            <v>54000</v>
          </cell>
          <cell r="H155">
            <v>0</v>
          </cell>
          <cell r="I155">
            <v>6</v>
          </cell>
          <cell r="J155">
            <v>36</v>
          </cell>
          <cell r="K155">
            <v>9000</v>
          </cell>
          <cell r="L155">
            <v>54000</v>
          </cell>
          <cell r="M155">
            <v>0</v>
          </cell>
          <cell r="N155">
            <v>0</v>
          </cell>
          <cell r="O155">
            <v>1680</v>
          </cell>
          <cell r="P155">
            <v>10080</v>
          </cell>
        </row>
        <row r="156">
          <cell r="B156" t="str">
            <v>W/NFB 100A x 1, 20A x6, 10KA</v>
          </cell>
        </row>
        <row r="157">
          <cell r="A157" t="str">
            <v>A.8.8</v>
          </cell>
          <cell r="B157" t="str">
            <v>POWER SYSTEM GRAPHIC PANEL, SELF-STANDING,</v>
          </cell>
          <cell r="C157">
            <v>1</v>
          </cell>
          <cell r="D157" t="str">
            <v>SET</v>
          </cell>
          <cell r="E157">
            <v>320000</v>
          </cell>
          <cell r="F157">
            <v>320000</v>
          </cell>
          <cell r="H157">
            <v>0</v>
          </cell>
          <cell r="I157">
            <v>30</v>
          </cell>
          <cell r="J157">
            <v>30</v>
          </cell>
          <cell r="K157">
            <v>320000</v>
          </cell>
          <cell r="L157">
            <v>320000</v>
          </cell>
          <cell r="M157">
            <v>0</v>
          </cell>
          <cell r="N157">
            <v>0</v>
          </cell>
          <cell r="O157">
            <v>8400</v>
          </cell>
          <cell r="P157">
            <v>8400</v>
          </cell>
        </row>
        <row r="158">
          <cell r="B158" t="str">
            <v xml:space="preserve"> ENCLOSURE SIZE 2200(W)x2300(H)x600(D)MM.</v>
          </cell>
          <cell r="F158">
            <v>0</v>
          </cell>
          <cell r="H158">
            <v>0</v>
          </cell>
          <cell r="J158">
            <v>0</v>
          </cell>
          <cell r="K158">
            <v>0</v>
          </cell>
          <cell r="L158">
            <v>0</v>
          </cell>
          <cell r="M158">
            <v>0</v>
          </cell>
          <cell r="N158">
            <v>0</v>
          </cell>
          <cell r="O158">
            <v>0</v>
          </cell>
          <cell r="P158">
            <v>0</v>
          </cell>
        </row>
        <row r="159">
          <cell r="B159" t="str">
            <v>MOSAIC PANEL SIZE 2000(W)x1000(H)MM., W/ LIGHT x60</v>
          </cell>
          <cell r="F159">
            <v>0</v>
          </cell>
          <cell r="H159">
            <v>0</v>
          </cell>
          <cell r="J159">
            <v>0</v>
          </cell>
          <cell r="K159">
            <v>0</v>
          </cell>
          <cell r="L159">
            <v>0</v>
          </cell>
          <cell r="M159">
            <v>0</v>
          </cell>
          <cell r="N159">
            <v>0</v>
          </cell>
          <cell r="O159">
            <v>0</v>
          </cell>
          <cell r="P159">
            <v>0</v>
          </cell>
        </row>
        <row r="160">
          <cell r="B160" t="str">
            <v>SUB-TOTAL (A.8)</v>
          </cell>
          <cell r="F160">
            <v>2996000</v>
          </cell>
          <cell r="J160">
            <v>677</v>
          </cell>
          <cell r="L160">
            <v>2996000</v>
          </cell>
          <cell r="O160">
            <v>0</v>
          </cell>
          <cell r="P160">
            <v>189560</v>
          </cell>
        </row>
        <row r="161">
          <cell r="O161">
            <v>0</v>
          </cell>
        </row>
        <row r="162">
          <cell r="A162" t="str">
            <v xml:space="preserve">   A.9</v>
          </cell>
          <cell r="B162" t="str">
            <v xml:space="preserve"> TEST FEE FOR MECH-ELEC CONSULANT CO. &amp; T.P.C.</v>
          </cell>
          <cell r="C162">
            <v>1</v>
          </cell>
          <cell r="D162" t="str">
            <v>LOT</v>
          </cell>
          <cell r="E162" t="str">
            <v>M+L</v>
          </cell>
          <cell r="F162" t="str">
            <v>M+L</v>
          </cell>
          <cell r="H162">
            <v>0</v>
          </cell>
          <cell r="I162">
            <v>1607</v>
          </cell>
          <cell r="J162">
            <v>1607</v>
          </cell>
          <cell r="K162" t="str">
            <v>M+L</v>
          </cell>
          <cell r="L162" t="str">
            <v>M+L</v>
          </cell>
          <cell r="M162">
            <v>0</v>
          </cell>
          <cell r="N162">
            <v>0</v>
          </cell>
          <cell r="O162">
            <v>1800000</v>
          </cell>
          <cell r="P162">
            <v>1800000</v>
          </cell>
        </row>
        <row r="163">
          <cell r="F163">
            <v>0</v>
          </cell>
          <cell r="H163">
            <v>0</v>
          </cell>
          <cell r="J163">
            <v>0</v>
          </cell>
          <cell r="K163">
            <v>0</v>
          </cell>
          <cell r="L163">
            <v>0</v>
          </cell>
          <cell r="M163">
            <v>0</v>
          </cell>
          <cell r="N163">
            <v>0</v>
          </cell>
          <cell r="O163">
            <v>0</v>
          </cell>
          <cell r="P163">
            <v>0</v>
          </cell>
        </row>
        <row r="164">
          <cell r="B164" t="str">
            <v>SUB-TOTAL : (A)</v>
          </cell>
          <cell r="F164">
            <v>138612100</v>
          </cell>
          <cell r="H164">
            <v>0</v>
          </cell>
          <cell r="J164">
            <v>13764</v>
          </cell>
          <cell r="K164">
            <v>0</v>
          </cell>
          <cell r="L164">
            <v>138612100</v>
          </cell>
          <cell r="M164">
            <v>0</v>
          </cell>
          <cell r="N164">
            <v>0</v>
          </cell>
          <cell r="O164">
            <v>0</v>
          </cell>
          <cell r="P164">
            <v>6155030</v>
          </cell>
        </row>
        <row r="167">
          <cell r="F167">
            <v>0</v>
          </cell>
          <cell r="H167">
            <v>0</v>
          </cell>
          <cell r="J167">
            <v>0</v>
          </cell>
          <cell r="K167">
            <v>0</v>
          </cell>
          <cell r="L167">
            <v>0</v>
          </cell>
          <cell r="M167">
            <v>0</v>
          </cell>
          <cell r="N167">
            <v>0</v>
          </cell>
          <cell r="O167">
            <v>0</v>
          </cell>
          <cell r="P167">
            <v>0</v>
          </cell>
        </row>
        <row r="168">
          <cell r="A168" t="str">
            <v>B</v>
          </cell>
          <cell r="B168" t="str">
            <v xml:space="preserve"> POWER DISTRIBUTION SYSTEM</v>
          </cell>
          <cell r="F168">
            <v>0</v>
          </cell>
          <cell r="H168">
            <v>0</v>
          </cell>
          <cell r="J168">
            <v>0</v>
          </cell>
          <cell r="K168">
            <v>0</v>
          </cell>
          <cell r="L168">
            <v>0</v>
          </cell>
          <cell r="M168">
            <v>0</v>
          </cell>
          <cell r="N168">
            <v>0</v>
          </cell>
          <cell r="O168">
            <v>0</v>
          </cell>
          <cell r="P168">
            <v>0</v>
          </cell>
        </row>
        <row r="169">
          <cell r="F169">
            <v>0</v>
          </cell>
          <cell r="H169">
            <v>0</v>
          </cell>
          <cell r="J169">
            <v>0</v>
          </cell>
          <cell r="K169">
            <v>0</v>
          </cell>
          <cell r="L169">
            <v>0</v>
          </cell>
          <cell r="M169">
            <v>0</v>
          </cell>
          <cell r="N169">
            <v>0</v>
          </cell>
          <cell r="O169">
            <v>0</v>
          </cell>
          <cell r="P169">
            <v>0</v>
          </cell>
        </row>
        <row r="170">
          <cell r="B170" t="str">
            <v xml:space="preserve"> 600V POWER CABLE, XLPE INSU. PVC JACKET</v>
          </cell>
          <cell r="F170">
            <v>0</v>
          </cell>
          <cell r="H170">
            <v>0</v>
          </cell>
          <cell r="J170">
            <v>0</v>
          </cell>
          <cell r="K170">
            <v>0</v>
          </cell>
          <cell r="L170">
            <v>0</v>
          </cell>
          <cell r="M170">
            <v>0</v>
          </cell>
          <cell r="N170">
            <v>0</v>
          </cell>
          <cell r="O170">
            <v>0</v>
          </cell>
          <cell r="P170">
            <v>0</v>
          </cell>
        </row>
        <row r="171">
          <cell r="A171">
            <v>1</v>
          </cell>
          <cell r="B171" t="str">
            <v xml:space="preserve">    3/C 3.5 sq.mm </v>
          </cell>
          <cell r="C171">
            <v>4500</v>
          </cell>
          <cell r="D171" t="str">
            <v>M</v>
          </cell>
          <cell r="E171">
            <v>15</v>
          </cell>
          <cell r="F171">
            <v>67500</v>
          </cell>
          <cell r="H171">
            <v>0</v>
          </cell>
          <cell r="I171">
            <v>7.9000000000000001E-2</v>
          </cell>
          <cell r="J171">
            <v>356</v>
          </cell>
          <cell r="K171">
            <v>15</v>
          </cell>
          <cell r="L171">
            <v>67500</v>
          </cell>
          <cell r="M171">
            <v>0</v>
          </cell>
          <cell r="N171">
            <v>0</v>
          </cell>
          <cell r="O171">
            <v>22</v>
          </cell>
          <cell r="P171">
            <v>99000</v>
          </cell>
        </row>
        <row r="172">
          <cell r="A172">
            <v>2</v>
          </cell>
          <cell r="B172" t="str">
            <v xml:space="preserve">    3/C 5.5 sq.mm </v>
          </cell>
          <cell r="C172">
            <v>4000</v>
          </cell>
          <cell r="D172" t="str">
            <v>M</v>
          </cell>
          <cell r="E172">
            <v>20</v>
          </cell>
          <cell r="F172">
            <v>80000</v>
          </cell>
          <cell r="H172">
            <v>0</v>
          </cell>
          <cell r="I172">
            <v>0.1</v>
          </cell>
          <cell r="J172">
            <v>400</v>
          </cell>
          <cell r="K172">
            <v>20</v>
          </cell>
          <cell r="L172">
            <v>80000</v>
          </cell>
          <cell r="M172">
            <v>0</v>
          </cell>
          <cell r="N172">
            <v>0</v>
          </cell>
          <cell r="O172">
            <v>28</v>
          </cell>
          <cell r="P172">
            <v>112000</v>
          </cell>
        </row>
        <row r="173">
          <cell r="A173">
            <v>3</v>
          </cell>
          <cell r="B173" t="str">
            <v xml:space="preserve">    3/C   8 sq.mm </v>
          </cell>
          <cell r="C173">
            <v>3000</v>
          </cell>
          <cell r="D173" t="str">
            <v>M</v>
          </cell>
          <cell r="E173">
            <v>29</v>
          </cell>
          <cell r="F173">
            <v>87000</v>
          </cell>
          <cell r="H173">
            <v>0</v>
          </cell>
          <cell r="I173">
            <v>0.11799999999999999</v>
          </cell>
          <cell r="J173">
            <v>354</v>
          </cell>
          <cell r="K173">
            <v>29</v>
          </cell>
          <cell r="L173">
            <v>87000</v>
          </cell>
          <cell r="M173">
            <v>0</v>
          </cell>
          <cell r="N173">
            <v>0</v>
          </cell>
          <cell r="O173">
            <v>33</v>
          </cell>
          <cell r="P173">
            <v>99000</v>
          </cell>
        </row>
        <row r="174">
          <cell r="A174">
            <v>4</v>
          </cell>
          <cell r="B174" t="str">
            <v xml:space="preserve">    3/C  14 sq.mm </v>
          </cell>
          <cell r="C174">
            <v>1000</v>
          </cell>
          <cell r="D174" t="str">
            <v>M</v>
          </cell>
          <cell r="E174">
            <v>47</v>
          </cell>
          <cell r="F174">
            <v>47000</v>
          </cell>
          <cell r="H174">
            <v>0</v>
          </cell>
          <cell r="I174">
            <v>0.152</v>
          </cell>
          <cell r="J174">
            <v>152</v>
          </cell>
          <cell r="K174">
            <v>47</v>
          </cell>
          <cell r="L174">
            <v>47000</v>
          </cell>
          <cell r="M174">
            <v>0</v>
          </cell>
          <cell r="N174">
            <v>0</v>
          </cell>
          <cell r="O174">
            <v>43</v>
          </cell>
          <cell r="P174">
            <v>43000</v>
          </cell>
        </row>
        <row r="175">
          <cell r="A175">
            <v>5</v>
          </cell>
          <cell r="B175" t="str">
            <v xml:space="preserve">    3/C  22 sq.mm </v>
          </cell>
          <cell r="C175">
            <v>3000</v>
          </cell>
          <cell r="D175" t="str">
            <v>M</v>
          </cell>
          <cell r="E175">
            <v>70</v>
          </cell>
          <cell r="F175">
            <v>210000</v>
          </cell>
          <cell r="H175">
            <v>0</v>
          </cell>
          <cell r="I175">
            <v>0.18099999999999999</v>
          </cell>
          <cell r="J175">
            <v>543</v>
          </cell>
          <cell r="K175">
            <v>70</v>
          </cell>
          <cell r="L175">
            <v>210000</v>
          </cell>
          <cell r="M175">
            <v>0</v>
          </cell>
          <cell r="N175">
            <v>0</v>
          </cell>
          <cell r="O175">
            <v>51</v>
          </cell>
          <cell r="P175">
            <v>153000</v>
          </cell>
        </row>
        <row r="176">
          <cell r="A176">
            <v>6</v>
          </cell>
          <cell r="B176" t="str">
            <v xml:space="preserve">    3/C  38 sq.mm </v>
          </cell>
          <cell r="C176">
            <v>3000</v>
          </cell>
          <cell r="D176" t="str">
            <v>M</v>
          </cell>
          <cell r="E176">
            <v>111</v>
          </cell>
          <cell r="F176">
            <v>333000</v>
          </cell>
          <cell r="H176">
            <v>0</v>
          </cell>
          <cell r="I176">
            <v>0.23</v>
          </cell>
          <cell r="J176">
            <v>690</v>
          </cell>
          <cell r="K176">
            <v>111</v>
          </cell>
          <cell r="L176">
            <v>333000</v>
          </cell>
          <cell r="M176">
            <v>0</v>
          </cell>
          <cell r="N176">
            <v>0</v>
          </cell>
          <cell r="O176">
            <v>64</v>
          </cell>
          <cell r="P176">
            <v>192000</v>
          </cell>
        </row>
        <row r="177">
          <cell r="A177">
            <v>7</v>
          </cell>
          <cell r="B177" t="str">
            <v xml:space="preserve">    3/C  60 sq.mm </v>
          </cell>
          <cell r="C177">
            <v>7200</v>
          </cell>
          <cell r="D177" t="str">
            <v>M</v>
          </cell>
          <cell r="E177">
            <v>177</v>
          </cell>
          <cell r="F177">
            <v>1274400</v>
          </cell>
          <cell r="H177">
            <v>0</v>
          </cell>
          <cell r="I177">
            <v>0.27700000000000002</v>
          </cell>
          <cell r="J177">
            <v>1994</v>
          </cell>
          <cell r="K177">
            <v>177</v>
          </cell>
          <cell r="L177">
            <v>1274400</v>
          </cell>
          <cell r="M177">
            <v>0</v>
          </cell>
          <cell r="N177">
            <v>0</v>
          </cell>
          <cell r="O177">
            <v>78</v>
          </cell>
          <cell r="P177">
            <v>561600</v>
          </cell>
        </row>
        <row r="178">
          <cell r="A178">
            <v>8</v>
          </cell>
          <cell r="B178" t="str">
            <v xml:space="preserve">    1/C 100 sq.mm </v>
          </cell>
          <cell r="C178">
            <v>2000</v>
          </cell>
          <cell r="D178" t="str">
            <v>M</v>
          </cell>
          <cell r="E178">
            <v>92</v>
          </cell>
          <cell r="F178">
            <v>184000</v>
          </cell>
          <cell r="H178">
            <v>0</v>
          </cell>
          <cell r="I178">
            <v>0.17599999999999999</v>
          </cell>
          <cell r="J178">
            <v>352</v>
          </cell>
          <cell r="K178">
            <v>92</v>
          </cell>
          <cell r="L178">
            <v>184000</v>
          </cell>
          <cell r="M178">
            <v>0</v>
          </cell>
          <cell r="N178">
            <v>0</v>
          </cell>
          <cell r="O178">
            <v>49</v>
          </cell>
          <cell r="P178">
            <v>98000</v>
          </cell>
        </row>
        <row r="179">
          <cell r="A179">
            <v>9</v>
          </cell>
          <cell r="B179" t="str">
            <v xml:space="preserve">    1/C 150 sq.mm </v>
          </cell>
          <cell r="C179">
            <v>16500</v>
          </cell>
          <cell r="D179" t="str">
            <v>M</v>
          </cell>
          <cell r="E179">
            <v>137</v>
          </cell>
          <cell r="F179">
            <v>2260500</v>
          </cell>
          <cell r="H179">
            <v>0</v>
          </cell>
          <cell r="I179">
            <v>0.20499999999999999</v>
          </cell>
          <cell r="J179">
            <v>3383</v>
          </cell>
          <cell r="K179">
            <v>137</v>
          </cell>
          <cell r="L179">
            <v>2260500</v>
          </cell>
          <cell r="M179">
            <v>0</v>
          </cell>
          <cell r="N179">
            <v>0</v>
          </cell>
          <cell r="O179">
            <v>57</v>
          </cell>
          <cell r="P179">
            <v>940500</v>
          </cell>
        </row>
        <row r="180">
          <cell r="A180">
            <v>10</v>
          </cell>
          <cell r="B180" t="str">
            <v xml:space="preserve">    1/C 250 sq.mm </v>
          </cell>
          <cell r="C180">
            <v>15000</v>
          </cell>
          <cell r="D180" t="str">
            <v>M</v>
          </cell>
          <cell r="E180">
            <v>223</v>
          </cell>
          <cell r="F180">
            <v>3345000</v>
          </cell>
          <cell r="H180">
            <v>0</v>
          </cell>
          <cell r="I180">
            <v>0.247</v>
          </cell>
          <cell r="J180">
            <v>3705</v>
          </cell>
          <cell r="K180">
            <v>223</v>
          </cell>
          <cell r="L180">
            <v>3345000</v>
          </cell>
          <cell r="M180">
            <v>0</v>
          </cell>
          <cell r="N180">
            <v>0</v>
          </cell>
          <cell r="O180">
            <v>69</v>
          </cell>
          <cell r="P180">
            <v>1035000</v>
          </cell>
        </row>
        <row r="181">
          <cell r="A181">
            <v>11</v>
          </cell>
          <cell r="B181" t="str">
            <v xml:space="preserve">    1/C 325 sq.mm </v>
          </cell>
          <cell r="C181">
            <v>16500</v>
          </cell>
          <cell r="D181" t="str">
            <v>M</v>
          </cell>
          <cell r="E181">
            <v>279</v>
          </cell>
          <cell r="F181">
            <v>4603500</v>
          </cell>
          <cell r="H181">
            <v>0</v>
          </cell>
          <cell r="I181">
            <v>0.27</v>
          </cell>
          <cell r="J181">
            <v>4455</v>
          </cell>
          <cell r="K181">
            <v>279</v>
          </cell>
          <cell r="L181">
            <v>4603500</v>
          </cell>
          <cell r="M181">
            <v>0</v>
          </cell>
          <cell r="N181">
            <v>0</v>
          </cell>
          <cell r="O181">
            <v>76</v>
          </cell>
          <cell r="P181">
            <v>1254000</v>
          </cell>
        </row>
        <row r="182">
          <cell r="A182">
            <v>12</v>
          </cell>
          <cell r="B182" t="str">
            <v xml:space="preserve">    4/C 5.5 sq.mm </v>
          </cell>
          <cell r="C182">
            <v>300</v>
          </cell>
          <cell r="D182" t="str">
            <v>M</v>
          </cell>
          <cell r="E182">
            <v>28</v>
          </cell>
          <cell r="F182">
            <v>8400</v>
          </cell>
          <cell r="H182">
            <v>0</v>
          </cell>
          <cell r="I182">
            <v>0.11700000000000001</v>
          </cell>
          <cell r="J182">
            <v>35</v>
          </cell>
          <cell r="K182">
            <v>28</v>
          </cell>
          <cell r="L182">
            <v>8400</v>
          </cell>
          <cell r="M182">
            <v>0</v>
          </cell>
          <cell r="N182">
            <v>0</v>
          </cell>
          <cell r="O182">
            <v>33</v>
          </cell>
          <cell r="P182">
            <v>9900</v>
          </cell>
        </row>
        <row r="183">
          <cell r="A183">
            <v>13</v>
          </cell>
          <cell r="B183" t="str">
            <v xml:space="preserve">    4/C 60 sq.mm </v>
          </cell>
          <cell r="C183">
            <v>300</v>
          </cell>
          <cell r="D183" t="str">
            <v>M</v>
          </cell>
          <cell r="E183">
            <v>232</v>
          </cell>
          <cell r="F183">
            <v>69600</v>
          </cell>
          <cell r="H183">
            <v>0</v>
          </cell>
          <cell r="I183">
            <v>0.32500000000000001</v>
          </cell>
          <cell r="J183">
            <v>98</v>
          </cell>
          <cell r="K183">
            <v>232</v>
          </cell>
          <cell r="L183">
            <v>69600</v>
          </cell>
          <cell r="M183">
            <v>0</v>
          </cell>
          <cell r="N183">
            <v>0</v>
          </cell>
          <cell r="O183">
            <v>91</v>
          </cell>
          <cell r="P183">
            <v>27300</v>
          </cell>
        </row>
        <row r="184">
          <cell r="E184">
            <v>0</v>
          </cell>
          <cell r="F184">
            <v>0</v>
          </cell>
          <cell r="H184">
            <v>0</v>
          </cell>
          <cell r="I184">
            <v>0</v>
          </cell>
          <cell r="J184">
            <v>0</v>
          </cell>
          <cell r="K184">
            <v>0</v>
          </cell>
          <cell r="L184">
            <v>0</v>
          </cell>
          <cell r="M184">
            <v>0</v>
          </cell>
          <cell r="N184">
            <v>0</v>
          </cell>
          <cell r="O184">
            <v>0</v>
          </cell>
          <cell r="P184">
            <v>0</v>
          </cell>
        </row>
        <row r="185">
          <cell r="B185" t="str">
            <v xml:space="preserve"> 600V CONTROL CABLE, PVC INSU. PVC JACKET</v>
          </cell>
          <cell r="E185">
            <v>0</v>
          </cell>
          <cell r="F185">
            <v>0</v>
          </cell>
          <cell r="H185">
            <v>0</v>
          </cell>
          <cell r="I185">
            <v>0</v>
          </cell>
          <cell r="J185">
            <v>0</v>
          </cell>
          <cell r="K185">
            <v>0</v>
          </cell>
          <cell r="L185">
            <v>0</v>
          </cell>
          <cell r="M185">
            <v>0</v>
          </cell>
          <cell r="N185">
            <v>0</v>
          </cell>
          <cell r="O185">
            <v>0</v>
          </cell>
          <cell r="P185">
            <v>0</v>
          </cell>
        </row>
        <row r="186">
          <cell r="A186">
            <v>14</v>
          </cell>
          <cell r="B186" t="str">
            <v xml:space="preserve">    4/C 2.0 sq.mm </v>
          </cell>
          <cell r="C186">
            <v>13000</v>
          </cell>
          <cell r="D186" t="str">
            <v>M</v>
          </cell>
          <cell r="E186">
            <v>11</v>
          </cell>
          <cell r="F186">
            <v>143000</v>
          </cell>
          <cell r="H186">
            <v>0</v>
          </cell>
          <cell r="I186">
            <v>0.08</v>
          </cell>
          <cell r="J186">
            <v>1040</v>
          </cell>
          <cell r="K186">
            <v>11</v>
          </cell>
          <cell r="L186">
            <v>143000</v>
          </cell>
          <cell r="M186">
            <v>0</v>
          </cell>
          <cell r="N186">
            <v>0</v>
          </cell>
          <cell r="O186">
            <v>22</v>
          </cell>
          <cell r="P186">
            <v>286000</v>
          </cell>
        </row>
        <row r="187">
          <cell r="A187">
            <v>15</v>
          </cell>
          <cell r="B187" t="str">
            <v xml:space="preserve">    7/C 2.0 sq.mm </v>
          </cell>
          <cell r="C187">
            <v>6400</v>
          </cell>
          <cell r="D187" t="str">
            <v>M</v>
          </cell>
          <cell r="E187">
            <v>24</v>
          </cell>
          <cell r="F187">
            <v>153600</v>
          </cell>
          <cell r="H187">
            <v>0</v>
          </cell>
          <cell r="I187">
            <v>0.105</v>
          </cell>
          <cell r="J187">
            <v>672</v>
          </cell>
          <cell r="K187">
            <v>24</v>
          </cell>
          <cell r="L187">
            <v>153600</v>
          </cell>
          <cell r="M187">
            <v>0</v>
          </cell>
          <cell r="N187">
            <v>0</v>
          </cell>
          <cell r="O187">
            <v>29</v>
          </cell>
          <cell r="P187">
            <v>185600</v>
          </cell>
        </row>
        <row r="188">
          <cell r="A188">
            <v>16</v>
          </cell>
          <cell r="B188" t="str">
            <v xml:space="preserve">    9/C 2.0 sq.mm </v>
          </cell>
          <cell r="C188">
            <v>4000</v>
          </cell>
          <cell r="D188" t="str">
            <v>M</v>
          </cell>
          <cell r="E188">
            <v>30</v>
          </cell>
          <cell r="F188">
            <v>120000</v>
          </cell>
          <cell r="H188">
            <v>0</v>
          </cell>
          <cell r="I188">
            <v>0.12</v>
          </cell>
          <cell r="J188">
            <v>480</v>
          </cell>
          <cell r="K188">
            <v>30</v>
          </cell>
          <cell r="L188">
            <v>120000</v>
          </cell>
          <cell r="M188">
            <v>0</v>
          </cell>
          <cell r="N188">
            <v>0</v>
          </cell>
          <cell r="O188">
            <v>34</v>
          </cell>
          <cell r="P188">
            <v>136000</v>
          </cell>
        </row>
        <row r="189">
          <cell r="A189">
            <v>17</v>
          </cell>
          <cell r="B189" t="str">
            <v xml:space="preserve">   12/C 2.0 sq.mm </v>
          </cell>
          <cell r="C189">
            <v>2500</v>
          </cell>
          <cell r="D189" t="str">
            <v>M</v>
          </cell>
          <cell r="E189">
            <v>38</v>
          </cell>
          <cell r="F189">
            <v>95000</v>
          </cell>
          <cell r="H189">
            <v>0</v>
          </cell>
          <cell r="I189">
            <v>0.13800000000000001</v>
          </cell>
          <cell r="J189">
            <v>345</v>
          </cell>
          <cell r="K189">
            <v>38</v>
          </cell>
          <cell r="L189">
            <v>95000</v>
          </cell>
          <cell r="M189">
            <v>0</v>
          </cell>
          <cell r="N189">
            <v>0</v>
          </cell>
          <cell r="O189">
            <v>39</v>
          </cell>
          <cell r="P189">
            <v>97500</v>
          </cell>
        </row>
        <row r="190">
          <cell r="A190">
            <v>18</v>
          </cell>
          <cell r="B190" t="str">
            <v xml:space="preserve">   19/C 2.0 sq.mm </v>
          </cell>
          <cell r="C190">
            <v>1950</v>
          </cell>
          <cell r="D190" t="str">
            <v>M</v>
          </cell>
          <cell r="E190">
            <v>57</v>
          </cell>
          <cell r="F190">
            <v>111150</v>
          </cell>
          <cell r="H190">
            <v>0</v>
          </cell>
          <cell r="I190">
            <v>0.17399999999999999</v>
          </cell>
          <cell r="J190">
            <v>339</v>
          </cell>
          <cell r="K190">
            <v>57</v>
          </cell>
          <cell r="L190">
            <v>111150</v>
          </cell>
          <cell r="M190">
            <v>0</v>
          </cell>
          <cell r="N190">
            <v>0</v>
          </cell>
          <cell r="O190">
            <v>49</v>
          </cell>
          <cell r="P190">
            <v>95550</v>
          </cell>
        </row>
        <row r="191">
          <cell r="A191">
            <v>19</v>
          </cell>
          <cell r="B191" t="str">
            <v xml:space="preserve">   30/C 2.0 sq.mm </v>
          </cell>
          <cell r="C191">
            <v>1900</v>
          </cell>
          <cell r="D191" t="str">
            <v>M</v>
          </cell>
          <cell r="E191">
            <v>92</v>
          </cell>
          <cell r="F191">
            <v>174800</v>
          </cell>
          <cell r="H191">
            <v>0</v>
          </cell>
          <cell r="I191">
            <v>0.21199999999999999</v>
          </cell>
          <cell r="J191">
            <v>403</v>
          </cell>
          <cell r="K191">
            <v>92</v>
          </cell>
          <cell r="L191">
            <v>174800</v>
          </cell>
          <cell r="M191">
            <v>0</v>
          </cell>
          <cell r="N191">
            <v>0</v>
          </cell>
          <cell r="O191">
            <v>59</v>
          </cell>
          <cell r="P191">
            <v>112100</v>
          </cell>
        </row>
        <row r="192">
          <cell r="A192">
            <v>20</v>
          </cell>
          <cell r="B192" t="str">
            <v>600V SHIELDED CABLE, 8P-#14AWG</v>
          </cell>
          <cell r="C192">
            <v>300</v>
          </cell>
          <cell r="D192" t="str">
            <v>M</v>
          </cell>
          <cell r="E192">
            <v>83</v>
          </cell>
          <cell r="F192">
            <v>24900</v>
          </cell>
          <cell r="H192">
            <v>0</v>
          </cell>
          <cell r="I192">
            <v>0.16</v>
          </cell>
          <cell r="J192">
            <v>48</v>
          </cell>
          <cell r="K192">
            <v>83</v>
          </cell>
          <cell r="L192">
            <v>24900</v>
          </cell>
          <cell r="M192">
            <v>0</v>
          </cell>
          <cell r="N192">
            <v>0</v>
          </cell>
          <cell r="O192">
            <v>45</v>
          </cell>
          <cell r="P192">
            <v>13500</v>
          </cell>
        </row>
        <row r="193">
          <cell r="E193">
            <v>0</v>
          </cell>
          <cell r="F193">
            <v>0</v>
          </cell>
          <cell r="H193">
            <v>0</v>
          </cell>
          <cell r="I193">
            <v>0</v>
          </cell>
          <cell r="J193">
            <v>0</v>
          </cell>
          <cell r="K193">
            <v>0</v>
          </cell>
          <cell r="L193">
            <v>0</v>
          </cell>
          <cell r="M193">
            <v>0</v>
          </cell>
          <cell r="N193">
            <v>0</v>
          </cell>
          <cell r="O193">
            <v>0</v>
          </cell>
          <cell r="P193">
            <v>0</v>
          </cell>
        </row>
        <row r="194">
          <cell r="B194" t="str">
            <v>8KV POWER CABLE, XLPE INSU. PVC JACKET</v>
          </cell>
          <cell r="E194">
            <v>0</v>
          </cell>
          <cell r="F194">
            <v>0</v>
          </cell>
          <cell r="H194">
            <v>0</v>
          </cell>
          <cell r="I194">
            <v>0</v>
          </cell>
          <cell r="J194">
            <v>0</v>
          </cell>
          <cell r="K194">
            <v>0</v>
          </cell>
          <cell r="L194">
            <v>0</v>
          </cell>
          <cell r="M194">
            <v>0</v>
          </cell>
          <cell r="N194">
            <v>0</v>
          </cell>
          <cell r="O194">
            <v>0</v>
          </cell>
          <cell r="P194">
            <v>0</v>
          </cell>
        </row>
        <row r="195">
          <cell r="A195">
            <v>21</v>
          </cell>
          <cell r="B195" t="str">
            <v xml:space="preserve">    3/C  38 sq.mm </v>
          </cell>
          <cell r="C195">
            <v>880</v>
          </cell>
          <cell r="D195" t="str">
            <v>M</v>
          </cell>
          <cell r="E195">
            <v>268</v>
          </cell>
          <cell r="F195">
            <v>235840</v>
          </cell>
          <cell r="H195">
            <v>0</v>
          </cell>
          <cell r="I195">
            <v>0.32100000000000001</v>
          </cell>
          <cell r="J195">
            <v>282</v>
          </cell>
          <cell r="K195">
            <v>268</v>
          </cell>
          <cell r="L195">
            <v>235840</v>
          </cell>
          <cell r="M195">
            <v>0</v>
          </cell>
          <cell r="N195">
            <v>0</v>
          </cell>
          <cell r="O195">
            <v>90</v>
          </cell>
          <cell r="P195">
            <v>79200</v>
          </cell>
        </row>
        <row r="196">
          <cell r="A196">
            <v>22</v>
          </cell>
          <cell r="B196" t="str">
            <v xml:space="preserve">    3/C  60 sq.mm </v>
          </cell>
          <cell r="C196">
            <v>200</v>
          </cell>
          <cell r="D196" t="str">
            <v>M</v>
          </cell>
          <cell r="E196">
            <v>367</v>
          </cell>
          <cell r="F196">
            <v>73400</v>
          </cell>
          <cell r="H196">
            <v>0</v>
          </cell>
          <cell r="I196">
            <v>0.38800000000000001</v>
          </cell>
          <cell r="J196">
            <v>78</v>
          </cell>
          <cell r="K196">
            <v>367</v>
          </cell>
          <cell r="L196">
            <v>73400</v>
          </cell>
          <cell r="M196">
            <v>0</v>
          </cell>
          <cell r="N196">
            <v>0</v>
          </cell>
          <cell r="O196">
            <v>109</v>
          </cell>
          <cell r="P196">
            <v>21800</v>
          </cell>
        </row>
        <row r="197">
          <cell r="A197">
            <v>23</v>
          </cell>
          <cell r="B197" t="str">
            <v xml:space="preserve">    1/C 100 sq.mm </v>
          </cell>
          <cell r="C197">
            <v>4800</v>
          </cell>
          <cell r="D197" t="str">
            <v>M</v>
          </cell>
          <cell r="E197">
            <v>148</v>
          </cell>
          <cell r="F197">
            <v>710400</v>
          </cell>
          <cell r="H197">
            <v>0</v>
          </cell>
          <cell r="I197">
            <v>0.22500000000000001</v>
          </cell>
          <cell r="J197">
            <v>1080</v>
          </cell>
          <cell r="K197">
            <v>148</v>
          </cell>
          <cell r="L197">
            <v>710400</v>
          </cell>
          <cell r="M197">
            <v>0</v>
          </cell>
          <cell r="N197">
            <v>0</v>
          </cell>
          <cell r="O197">
            <v>63</v>
          </cell>
          <cell r="P197">
            <v>302400</v>
          </cell>
        </row>
        <row r="198">
          <cell r="A198">
            <v>24</v>
          </cell>
          <cell r="B198" t="str">
            <v xml:space="preserve">    1/C 200 sq.mm </v>
          </cell>
          <cell r="C198">
            <v>1000</v>
          </cell>
          <cell r="D198" t="str">
            <v>M</v>
          </cell>
          <cell r="E198">
            <v>246</v>
          </cell>
          <cell r="F198">
            <v>246000</v>
          </cell>
          <cell r="H198">
            <v>0</v>
          </cell>
          <cell r="I198">
            <v>0.28699999999999998</v>
          </cell>
          <cell r="J198">
            <v>287</v>
          </cell>
          <cell r="K198">
            <v>246</v>
          </cell>
          <cell r="L198">
            <v>246000</v>
          </cell>
          <cell r="M198">
            <v>0</v>
          </cell>
          <cell r="N198">
            <v>0</v>
          </cell>
          <cell r="O198">
            <v>80</v>
          </cell>
          <cell r="P198">
            <v>80000</v>
          </cell>
        </row>
        <row r="199">
          <cell r="A199">
            <v>25</v>
          </cell>
          <cell r="B199" t="str">
            <v xml:space="preserve">    1/C 250 sq.mm </v>
          </cell>
          <cell r="C199">
            <v>17500</v>
          </cell>
          <cell r="D199" t="str">
            <v>M</v>
          </cell>
          <cell r="E199">
            <v>306</v>
          </cell>
          <cell r="F199">
            <v>5355000</v>
          </cell>
          <cell r="H199">
            <v>0</v>
          </cell>
          <cell r="I199">
            <v>0.27400000000000002</v>
          </cell>
          <cell r="J199">
            <v>4795</v>
          </cell>
          <cell r="K199">
            <v>306</v>
          </cell>
          <cell r="L199">
            <v>5355000</v>
          </cell>
          <cell r="M199">
            <v>0</v>
          </cell>
          <cell r="N199">
            <v>0</v>
          </cell>
          <cell r="O199">
            <v>77</v>
          </cell>
          <cell r="P199">
            <v>1347500</v>
          </cell>
        </row>
        <row r="200">
          <cell r="F200">
            <v>0</v>
          </cell>
          <cell r="H200">
            <v>0</v>
          </cell>
          <cell r="J200">
            <v>0</v>
          </cell>
          <cell r="K200">
            <v>0</v>
          </cell>
          <cell r="L200">
            <v>0</v>
          </cell>
          <cell r="M200">
            <v>0</v>
          </cell>
          <cell r="N200">
            <v>0</v>
          </cell>
          <cell r="O200">
            <v>0</v>
          </cell>
          <cell r="P200">
            <v>0</v>
          </cell>
        </row>
        <row r="201">
          <cell r="B201" t="str">
            <v>8KV TERMINATION KIT, HEAT SHRINKABLE TYPE</v>
          </cell>
          <cell r="F201">
            <v>0</v>
          </cell>
          <cell r="H201">
            <v>0</v>
          </cell>
          <cell r="J201">
            <v>0</v>
          </cell>
          <cell r="K201">
            <v>0</v>
          </cell>
          <cell r="L201">
            <v>0</v>
          </cell>
          <cell r="M201">
            <v>0</v>
          </cell>
          <cell r="N201">
            <v>0</v>
          </cell>
          <cell r="O201">
            <v>0</v>
          </cell>
          <cell r="P201">
            <v>0</v>
          </cell>
        </row>
        <row r="202">
          <cell r="A202">
            <v>26</v>
          </cell>
          <cell r="B202" t="str">
            <v xml:space="preserve">    3/C  38 sq.mm </v>
          </cell>
          <cell r="C202">
            <v>8</v>
          </cell>
          <cell r="D202" t="str">
            <v>SET</v>
          </cell>
          <cell r="E202">
            <v>4330</v>
          </cell>
          <cell r="F202">
            <v>34640</v>
          </cell>
          <cell r="H202">
            <v>0</v>
          </cell>
          <cell r="I202">
            <v>5</v>
          </cell>
          <cell r="J202">
            <v>40</v>
          </cell>
          <cell r="K202">
            <v>4330</v>
          </cell>
          <cell r="L202">
            <v>34640</v>
          </cell>
          <cell r="M202">
            <v>0</v>
          </cell>
          <cell r="N202">
            <v>0</v>
          </cell>
          <cell r="O202">
            <v>1400</v>
          </cell>
          <cell r="P202">
            <v>11200</v>
          </cell>
        </row>
        <row r="203">
          <cell r="A203">
            <v>27</v>
          </cell>
          <cell r="B203" t="str">
            <v xml:space="preserve">    3/C  60 sq.mm </v>
          </cell>
          <cell r="C203">
            <v>10</v>
          </cell>
          <cell r="D203" t="str">
            <v>SET</v>
          </cell>
          <cell r="E203">
            <v>4330</v>
          </cell>
          <cell r="F203">
            <v>43300</v>
          </cell>
          <cell r="H203">
            <v>0</v>
          </cell>
          <cell r="I203">
            <v>6</v>
          </cell>
          <cell r="J203">
            <v>60</v>
          </cell>
          <cell r="K203">
            <v>4330</v>
          </cell>
          <cell r="L203">
            <v>43300</v>
          </cell>
          <cell r="M203">
            <v>0</v>
          </cell>
          <cell r="N203">
            <v>0</v>
          </cell>
          <cell r="O203">
            <v>1680</v>
          </cell>
          <cell r="P203">
            <v>16800</v>
          </cell>
        </row>
        <row r="204">
          <cell r="A204">
            <v>28</v>
          </cell>
          <cell r="B204" t="str">
            <v xml:space="preserve">   1/C 100 sq.mm </v>
          </cell>
          <cell r="C204">
            <v>30</v>
          </cell>
          <cell r="D204" t="str">
            <v>SET</v>
          </cell>
          <cell r="E204">
            <v>1170</v>
          </cell>
          <cell r="F204">
            <v>35100</v>
          </cell>
          <cell r="H204">
            <v>0</v>
          </cell>
          <cell r="I204">
            <v>3.5</v>
          </cell>
          <cell r="J204">
            <v>105</v>
          </cell>
          <cell r="K204">
            <v>1170</v>
          </cell>
          <cell r="L204">
            <v>35100</v>
          </cell>
          <cell r="M204">
            <v>0</v>
          </cell>
          <cell r="N204">
            <v>0</v>
          </cell>
          <cell r="O204">
            <v>980</v>
          </cell>
          <cell r="P204">
            <v>29400</v>
          </cell>
        </row>
        <row r="205">
          <cell r="A205">
            <v>29</v>
          </cell>
          <cell r="B205" t="str">
            <v xml:space="preserve">    1/C 200 sq.mm </v>
          </cell>
          <cell r="C205">
            <v>9</v>
          </cell>
          <cell r="D205" t="str">
            <v>SET</v>
          </cell>
          <cell r="E205">
            <v>1550</v>
          </cell>
          <cell r="F205">
            <v>13950</v>
          </cell>
          <cell r="H205">
            <v>0</v>
          </cell>
          <cell r="I205">
            <v>4.5</v>
          </cell>
          <cell r="J205">
            <v>41</v>
          </cell>
          <cell r="K205">
            <v>1550</v>
          </cell>
          <cell r="L205">
            <v>13950</v>
          </cell>
          <cell r="M205">
            <v>0</v>
          </cell>
          <cell r="N205">
            <v>0</v>
          </cell>
          <cell r="O205">
            <v>1260</v>
          </cell>
          <cell r="P205">
            <v>11340</v>
          </cell>
        </row>
        <row r="206">
          <cell r="A206">
            <v>30</v>
          </cell>
          <cell r="B206" t="str">
            <v xml:space="preserve">    1/C 250 sq.mm </v>
          </cell>
          <cell r="C206">
            <v>40</v>
          </cell>
          <cell r="D206" t="str">
            <v>SET</v>
          </cell>
          <cell r="E206">
            <v>1585</v>
          </cell>
          <cell r="F206">
            <v>63400</v>
          </cell>
          <cell r="H206">
            <v>0</v>
          </cell>
          <cell r="I206">
            <v>4.5</v>
          </cell>
          <cell r="J206">
            <v>180</v>
          </cell>
          <cell r="K206">
            <v>1585</v>
          </cell>
          <cell r="L206">
            <v>63400</v>
          </cell>
          <cell r="M206">
            <v>0</v>
          </cell>
          <cell r="N206">
            <v>0</v>
          </cell>
          <cell r="O206">
            <v>1260</v>
          </cell>
          <cell r="P206">
            <v>50400</v>
          </cell>
        </row>
        <row r="207">
          <cell r="F207">
            <v>0</v>
          </cell>
          <cell r="H207">
            <v>0</v>
          </cell>
          <cell r="J207">
            <v>0</v>
          </cell>
          <cell r="K207">
            <v>0</v>
          </cell>
          <cell r="L207">
            <v>0</v>
          </cell>
          <cell r="M207">
            <v>0</v>
          </cell>
          <cell r="N207">
            <v>0</v>
          </cell>
          <cell r="O207">
            <v>0</v>
          </cell>
          <cell r="P207">
            <v>0</v>
          </cell>
        </row>
        <row r="208">
          <cell r="B208" t="str">
            <v xml:space="preserve"> RSG CONDUIT WITH COUPLING, THICK WALL</v>
          </cell>
          <cell r="F208">
            <v>0</v>
          </cell>
          <cell r="H208">
            <v>0</v>
          </cell>
          <cell r="J208">
            <v>0</v>
          </cell>
          <cell r="K208">
            <v>0</v>
          </cell>
          <cell r="L208">
            <v>0</v>
          </cell>
          <cell r="M208">
            <v>0</v>
          </cell>
          <cell r="N208">
            <v>0</v>
          </cell>
          <cell r="O208">
            <v>0</v>
          </cell>
          <cell r="P208">
            <v>0</v>
          </cell>
        </row>
        <row r="209">
          <cell r="B209" t="str">
            <v xml:space="preserve"> (ANSI C80.1 NPT THREADED)</v>
          </cell>
          <cell r="F209">
            <v>0</v>
          </cell>
          <cell r="H209">
            <v>0</v>
          </cell>
          <cell r="J209">
            <v>0</v>
          </cell>
          <cell r="K209">
            <v>0</v>
          </cell>
          <cell r="L209">
            <v>0</v>
          </cell>
          <cell r="M209">
            <v>0</v>
          </cell>
          <cell r="N209">
            <v>0</v>
          </cell>
          <cell r="O209">
            <v>0</v>
          </cell>
          <cell r="P209">
            <v>0</v>
          </cell>
        </row>
        <row r="210">
          <cell r="A210">
            <v>31</v>
          </cell>
          <cell r="B210" t="str">
            <v xml:space="preserve">     1"</v>
          </cell>
          <cell r="C210">
            <v>800</v>
          </cell>
          <cell r="D210" t="str">
            <v>M</v>
          </cell>
          <cell r="E210">
            <v>49</v>
          </cell>
          <cell r="F210">
            <v>39200</v>
          </cell>
          <cell r="H210">
            <v>0</v>
          </cell>
          <cell r="I210">
            <v>0.54</v>
          </cell>
          <cell r="J210">
            <v>432</v>
          </cell>
          <cell r="K210">
            <v>49</v>
          </cell>
          <cell r="L210">
            <v>39200</v>
          </cell>
          <cell r="M210">
            <v>0</v>
          </cell>
          <cell r="N210">
            <v>0</v>
          </cell>
          <cell r="O210">
            <v>151</v>
          </cell>
          <cell r="P210">
            <v>120800</v>
          </cell>
        </row>
        <row r="211">
          <cell r="A211">
            <v>32</v>
          </cell>
          <cell r="B211" t="str">
            <v xml:space="preserve">     2"</v>
          </cell>
          <cell r="C211">
            <v>1000</v>
          </cell>
          <cell r="D211" t="str">
            <v>M</v>
          </cell>
          <cell r="E211">
            <v>105</v>
          </cell>
          <cell r="F211">
            <v>105000</v>
          </cell>
          <cell r="H211">
            <v>0</v>
          </cell>
          <cell r="I211">
            <v>0.98</v>
          </cell>
          <cell r="J211">
            <v>980</v>
          </cell>
          <cell r="K211">
            <v>105</v>
          </cell>
          <cell r="L211">
            <v>105000</v>
          </cell>
          <cell r="M211">
            <v>0</v>
          </cell>
          <cell r="N211">
            <v>0</v>
          </cell>
          <cell r="O211">
            <v>274</v>
          </cell>
          <cell r="P211">
            <v>274000</v>
          </cell>
        </row>
        <row r="212">
          <cell r="A212">
            <v>33</v>
          </cell>
          <cell r="B212" t="str">
            <v xml:space="preserve">     4"</v>
          </cell>
          <cell r="C212">
            <v>350</v>
          </cell>
          <cell r="D212" t="str">
            <v>M</v>
          </cell>
          <cell r="E212">
            <v>343</v>
          </cell>
          <cell r="F212">
            <v>120050</v>
          </cell>
          <cell r="H212">
            <v>0</v>
          </cell>
          <cell r="I212">
            <v>1.85</v>
          </cell>
          <cell r="J212">
            <v>648</v>
          </cell>
          <cell r="K212">
            <v>343</v>
          </cell>
          <cell r="L212">
            <v>120050</v>
          </cell>
          <cell r="M212">
            <v>0</v>
          </cell>
          <cell r="N212">
            <v>0</v>
          </cell>
          <cell r="O212">
            <v>518</v>
          </cell>
          <cell r="P212">
            <v>181300</v>
          </cell>
        </row>
        <row r="213">
          <cell r="A213">
            <v>34</v>
          </cell>
          <cell r="B213" t="str">
            <v xml:space="preserve">     6"</v>
          </cell>
          <cell r="C213">
            <v>50</v>
          </cell>
          <cell r="D213" t="str">
            <v>M</v>
          </cell>
          <cell r="E213">
            <v>840</v>
          </cell>
          <cell r="F213">
            <v>42000</v>
          </cell>
          <cell r="H213">
            <v>0</v>
          </cell>
          <cell r="I213">
            <v>2.72</v>
          </cell>
          <cell r="J213">
            <v>136</v>
          </cell>
          <cell r="K213">
            <v>840</v>
          </cell>
          <cell r="L213">
            <v>42000</v>
          </cell>
          <cell r="M213">
            <v>0</v>
          </cell>
          <cell r="N213">
            <v>0</v>
          </cell>
          <cell r="O213">
            <v>762</v>
          </cell>
          <cell r="P213">
            <v>38100</v>
          </cell>
        </row>
        <row r="214">
          <cell r="E214" t="str">
            <v xml:space="preserve"> </v>
          </cell>
          <cell r="F214">
            <v>0</v>
          </cell>
          <cell r="H214">
            <v>0</v>
          </cell>
          <cell r="J214">
            <v>0</v>
          </cell>
          <cell r="K214">
            <v>0</v>
          </cell>
          <cell r="L214">
            <v>0</v>
          </cell>
          <cell r="M214">
            <v>0</v>
          </cell>
          <cell r="N214">
            <v>0</v>
          </cell>
          <cell r="O214">
            <v>0</v>
          </cell>
          <cell r="P214">
            <v>0</v>
          </cell>
        </row>
        <row r="215">
          <cell r="B215" t="str">
            <v xml:space="preserve"> FLEXIBLE CONDUIT, LIQUID-TIGHT, UA TYPE</v>
          </cell>
          <cell r="F215">
            <v>0</v>
          </cell>
          <cell r="H215">
            <v>0</v>
          </cell>
          <cell r="J215">
            <v>0</v>
          </cell>
          <cell r="K215">
            <v>0</v>
          </cell>
          <cell r="L215">
            <v>0</v>
          </cell>
          <cell r="M215">
            <v>0</v>
          </cell>
          <cell r="N215">
            <v>0</v>
          </cell>
          <cell r="O215">
            <v>0</v>
          </cell>
          <cell r="P215">
            <v>0</v>
          </cell>
        </row>
        <row r="216">
          <cell r="A216">
            <v>35</v>
          </cell>
          <cell r="B216" t="str">
            <v xml:space="preserve">     1", 0.6M LG., W/TWO CONNECTORS</v>
          </cell>
          <cell r="C216">
            <v>20</v>
          </cell>
          <cell r="D216" t="str">
            <v>M</v>
          </cell>
          <cell r="E216">
            <v>191</v>
          </cell>
          <cell r="F216">
            <v>3820</v>
          </cell>
          <cell r="H216">
            <v>0</v>
          </cell>
          <cell r="I216">
            <v>0.64</v>
          </cell>
          <cell r="J216">
            <v>13</v>
          </cell>
          <cell r="K216">
            <v>191</v>
          </cell>
          <cell r="L216">
            <v>3820</v>
          </cell>
          <cell r="M216">
            <v>0</v>
          </cell>
          <cell r="N216">
            <v>0</v>
          </cell>
          <cell r="O216">
            <v>179</v>
          </cell>
          <cell r="P216">
            <v>3580</v>
          </cell>
        </row>
        <row r="217">
          <cell r="A217">
            <v>36</v>
          </cell>
          <cell r="B217" t="str">
            <v xml:space="preserve">    2", 0.6M LG., W/TWO CONNECTORS</v>
          </cell>
          <cell r="C217">
            <v>25</v>
          </cell>
          <cell r="D217" t="str">
            <v>M</v>
          </cell>
          <cell r="E217">
            <v>446</v>
          </cell>
          <cell r="F217">
            <v>11150</v>
          </cell>
          <cell r="H217">
            <v>0</v>
          </cell>
          <cell r="I217">
            <v>1.1599999999999999</v>
          </cell>
          <cell r="J217">
            <v>29</v>
          </cell>
          <cell r="K217">
            <v>446</v>
          </cell>
          <cell r="L217">
            <v>11150</v>
          </cell>
          <cell r="M217">
            <v>0</v>
          </cell>
          <cell r="N217">
            <v>0</v>
          </cell>
          <cell r="O217">
            <v>325</v>
          </cell>
          <cell r="P217">
            <v>8125</v>
          </cell>
        </row>
        <row r="218">
          <cell r="A218">
            <v>37</v>
          </cell>
          <cell r="B218" t="str">
            <v xml:space="preserve">    4", 0.6M LG., W/TWO CONNECTORS</v>
          </cell>
          <cell r="C218">
            <v>20</v>
          </cell>
          <cell r="D218" t="str">
            <v>M</v>
          </cell>
          <cell r="E218">
            <v>1307</v>
          </cell>
          <cell r="F218">
            <v>26140</v>
          </cell>
          <cell r="H218">
            <v>0</v>
          </cell>
          <cell r="I218">
            <v>2.08</v>
          </cell>
          <cell r="J218">
            <v>42</v>
          </cell>
          <cell r="K218">
            <v>1307</v>
          </cell>
          <cell r="L218">
            <v>26140</v>
          </cell>
          <cell r="M218">
            <v>0</v>
          </cell>
          <cell r="N218">
            <v>0</v>
          </cell>
          <cell r="O218">
            <v>582</v>
          </cell>
          <cell r="P218">
            <v>11640</v>
          </cell>
        </row>
        <row r="219">
          <cell r="F219">
            <v>0</v>
          </cell>
          <cell r="H219">
            <v>0</v>
          </cell>
          <cell r="J219">
            <v>0</v>
          </cell>
          <cell r="K219">
            <v>0</v>
          </cell>
          <cell r="L219">
            <v>0</v>
          </cell>
          <cell r="M219">
            <v>0</v>
          </cell>
          <cell r="N219">
            <v>0</v>
          </cell>
          <cell r="O219">
            <v>0</v>
          </cell>
          <cell r="P219">
            <v>0</v>
          </cell>
        </row>
        <row r="220">
          <cell r="A220">
            <v>38</v>
          </cell>
          <cell r="B220" t="str">
            <v xml:space="preserve"> HOT DIPPED GALVANIZED CONDUIT FITTING</v>
          </cell>
          <cell r="C220">
            <v>1</v>
          </cell>
          <cell r="D220" t="str">
            <v>LOT</v>
          </cell>
          <cell r="E220">
            <v>612500</v>
          </cell>
          <cell r="F220">
            <v>612500</v>
          </cell>
          <cell r="H220">
            <v>0</v>
          </cell>
          <cell r="I220">
            <v>658.8</v>
          </cell>
          <cell r="J220">
            <v>659</v>
          </cell>
          <cell r="K220">
            <v>612500</v>
          </cell>
          <cell r="L220">
            <v>612500</v>
          </cell>
          <cell r="M220">
            <v>0</v>
          </cell>
          <cell r="N220">
            <v>0</v>
          </cell>
          <cell r="O220">
            <v>184464</v>
          </cell>
          <cell r="P220">
            <v>184464</v>
          </cell>
        </row>
        <row r="221">
          <cell r="B221" t="str">
            <v xml:space="preserve"> SEALING FITTING, UNION, CLAMP….</v>
          </cell>
          <cell r="F221">
            <v>0</v>
          </cell>
          <cell r="H221">
            <v>0</v>
          </cell>
          <cell r="J221">
            <v>0</v>
          </cell>
          <cell r="K221">
            <v>0</v>
          </cell>
          <cell r="L221">
            <v>0</v>
          </cell>
          <cell r="M221">
            <v>0</v>
          </cell>
          <cell r="N221">
            <v>0</v>
          </cell>
          <cell r="O221">
            <v>0</v>
          </cell>
          <cell r="P221">
            <v>0</v>
          </cell>
        </row>
        <row r="222">
          <cell r="F222">
            <v>0</v>
          </cell>
          <cell r="H222">
            <v>0</v>
          </cell>
          <cell r="J222">
            <v>0</v>
          </cell>
          <cell r="K222">
            <v>0</v>
          </cell>
          <cell r="L222">
            <v>0</v>
          </cell>
          <cell r="M222">
            <v>0</v>
          </cell>
          <cell r="N222">
            <v>0</v>
          </cell>
          <cell r="O222">
            <v>0</v>
          </cell>
          <cell r="P222">
            <v>0</v>
          </cell>
        </row>
        <row r="223">
          <cell r="A223">
            <v>39</v>
          </cell>
          <cell r="B223" t="str">
            <v xml:space="preserve"> HOT DIPPED GALVANIZED STEEL SUPPORT, FOR CONDUIT</v>
          </cell>
          <cell r="C223">
            <v>1100</v>
          </cell>
          <cell r="D223" t="str">
            <v>KG</v>
          </cell>
          <cell r="E223">
            <v>20</v>
          </cell>
          <cell r="F223">
            <v>22000</v>
          </cell>
          <cell r="H223">
            <v>0</v>
          </cell>
          <cell r="I223">
            <v>0.15</v>
          </cell>
          <cell r="J223">
            <v>165</v>
          </cell>
          <cell r="K223">
            <v>20</v>
          </cell>
          <cell r="L223">
            <v>22000</v>
          </cell>
          <cell r="M223">
            <v>0</v>
          </cell>
          <cell r="N223">
            <v>0</v>
          </cell>
          <cell r="O223">
            <v>42</v>
          </cell>
          <cell r="P223">
            <v>46200</v>
          </cell>
        </row>
        <row r="224">
          <cell r="F224">
            <v>0</v>
          </cell>
          <cell r="H224">
            <v>0</v>
          </cell>
          <cell r="J224">
            <v>0</v>
          </cell>
          <cell r="K224">
            <v>0</v>
          </cell>
          <cell r="L224">
            <v>0</v>
          </cell>
          <cell r="M224">
            <v>0</v>
          </cell>
          <cell r="N224">
            <v>0</v>
          </cell>
          <cell r="O224">
            <v>0</v>
          </cell>
          <cell r="P224">
            <v>0</v>
          </cell>
        </row>
        <row r="225">
          <cell r="A225">
            <v>40</v>
          </cell>
          <cell r="B225" t="str">
            <v xml:space="preserve"> PUSH BUTTON  STATION, "START-STOP" TYPE,</v>
          </cell>
          <cell r="C225">
            <v>20</v>
          </cell>
          <cell r="D225" t="str">
            <v>SET</v>
          </cell>
          <cell r="E225">
            <v>3600</v>
          </cell>
          <cell r="F225">
            <v>72000</v>
          </cell>
          <cell r="H225">
            <v>0</v>
          </cell>
          <cell r="I225">
            <v>6</v>
          </cell>
          <cell r="J225">
            <v>120</v>
          </cell>
          <cell r="K225">
            <v>3600</v>
          </cell>
          <cell r="L225">
            <v>72000</v>
          </cell>
          <cell r="M225">
            <v>0</v>
          </cell>
          <cell r="N225">
            <v>0</v>
          </cell>
          <cell r="O225">
            <v>1680</v>
          </cell>
          <cell r="P225">
            <v>33600</v>
          </cell>
        </row>
        <row r="226">
          <cell r="B226" t="str">
            <v xml:space="preserve"> FOR CLASS 1, DIV. 2 GROUP D, NEMA-4X</v>
          </cell>
          <cell r="F226">
            <v>0</v>
          </cell>
          <cell r="H226">
            <v>0</v>
          </cell>
          <cell r="J226">
            <v>0</v>
          </cell>
          <cell r="K226">
            <v>0</v>
          </cell>
          <cell r="L226">
            <v>0</v>
          </cell>
          <cell r="M226">
            <v>0</v>
          </cell>
          <cell r="N226">
            <v>0</v>
          </cell>
          <cell r="O226">
            <v>0</v>
          </cell>
          <cell r="P226">
            <v>0</v>
          </cell>
        </row>
        <row r="227">
          <cell r="F227">
            <v>0</v>
          </cell>
          <cell r="H227">
            <v>0</v>
          </cell>
          <cell r="J227">
            <v>0</v>
          </cell>
          <cell r="K227">
            <v>0</v>
          </cell>
          <cell r="L227">
            <v>0</v>
          </cell>
          <cell r="M227">
            <v>0</v>
          </cell>
          <cell r="N227">
            <v>0</v>
          </cell>
          <cell r="O227">
            <v>0</v>
          </cell>
          <cell r="P227">
            <v>0</v>
          </cell>
        </row>
        <row r="228">
          <cell r="A228">
            <v>41</v>
          </cell>
          <cell r="B228" t="str">
            <v xml:space="preserve"> PUSH BUTTON  STATION, "START-STOP" TYPE, WITH LAMP x 1PC</v>
          </cell>
          <cell r="C228">
            <v>12</v>
          </cell>
          <cell r="D228" t="str">
            <v>SET</v>
          </cell>
          <cell r="E228">
            <v>6800</v>
          </cell>
          <cell r="F228">
            <v>81600</v>
          </cell>
          <cell r="H228">
            <v>0</v>
          </cell>
          <cell r="I228">
            <v>7</v>
          </cell>
          <cell r="J228">
            <v>84</v>
          </cell>
          <cell r="K228">
            <v>6800</v>
          </cell>
          <cell r="L228">
            <v>81600</v>
          </cell>
          <cell r="M228">
            <v>0</v>
          </cell>
          <cell r="N228">
            <v>0</v>
          </cell>
          <cell r="O228">
            <v>1960</v>
          </cell>
          <cell r="P228">
            <v>23520</v>
          </cell>
        </row>
        <row r="229">
          <cell r="B229" t="str">
            <v xml:space="preserve"> FOR CLASS 1, DIV. 2 GROUP D, NEMA-4X</v>
          </cell>
          <cell r="F229">
            <v>0</v>
          </cell>
          <cell r="H229">
            <v>0</v>
          </cell>
          <cell r="J229">
            <v>0</v>
          </cell>
          <cell r="K229">
            <v>0</v>
          </cell>
          <cell r="L229">
            <v>0</v>
          </cell>
          <cell r="M229">
            <v>0</v>
          </cell>
          <cell r="N229">
            <v>0</v>
          </cell>
          <cell r="O229">
            <v>0</v>
          </cell>
          <cell r="P229">
            <v>0</v>
          </cell>
        </row>
        <row r="230">
          <cell r="F230">
            <v>0</v>
          </cell>
          <cell r="H230">
            <v>0</v>
          </cell>
          <cell r="J230">
            <v>0</v>
          </cell>
          <cell r="K230">
            <v>0</v>
          </cell>
          <cell r="L230">
            <v>0</v>
          </cell>
          <cell r="M230">
            <v>0</v>
          </cell>
          <cell r="N230">
            <v>0</v>
          </cell>
          <cell r="O230">
            <v>0</v>
          </cell>
          <cell r="P230">
            <v>0</v>
          </cell>
        </row>
        <row r="231">
          <cell r="A231">
            <v>42</v>
          </cell>
          <cell r="B231" t="str">
            <v xml:space="preserve"> PUSH BUTTON  STATION, "START-STOP" TYPE,</v>
          </cell>
          <cell r="C231">
            <v>20</v>
          </cell>
          <cell r="D231" t="str">
            <v>SET</v>
          </cell>
          <cell r="E231">
            <v>2800</v>
          </cell>
          <cell r="F231">
            <v>56000</v>
          </cell>
          <cell r="H231">
            <v>0</v>
          </cell>
          <cell r="I231">
            <v>5</v>
          </cell>
          <cell r="J231">
            <v>100</v>
          </cell>
          <cell r="K231">
            <v>2800</v>
          </cell>
          <cell r="L231">
            <v>56000</v>
          </cell>
          <cell r="M231">
            <v>0</v>
          </cell>
          <cell r="N231">
            <v>0</v>
          </cell>
          <cell r="O231">
            <v>1400</v>
          </cell>
          <cell r="P231">
            <v>28000</v>
          </cell>
        </row>
        <row r="232">
          <cell r="B232" t="str">
            <v xml:space="preserve"> WEATHER PROOF, NEMA-4X</v>
          </cell>
          <cell r="F232">
            <v>0</v>
          </cell>
          <cell r="H232">
            <v>0</v>
          </cell>
          <cell r="J232">
            <v>0</v>
          </cell>
          <cell r="K232">
            <v>0</v>
          </cell>
          <cell r="L232">
            <v>0</v>
          </cell>
          <cell r="M232">
            <v>0</v>
          </cell>
          <cell r="N232">
            <v>0</v>
          </cell>
          <cell r="O232">
            <v>0</v>
          </cell>
          <cell r="P232">
            <v>0</v>
          </cell>
        </row>
        <row r="233">
          <cell r="F233">
            <v>0</v>
          </cell>
          <cell r="H233">
            <v>0</v>
          </cell>
          <cell r="J233">
            <v>0</v>
          </cell>
          <cell r="K233">
            <v>0</v>
          </cell>
          <cell r="L233">
            <v>0</v>
          </cell>
          <cell r="M233">
            <v>0</v>
          </cell>
          <cell r="N233">
            <v>0</v>
          </cell>
          <cell r="O233">
            <v>0</v>
          </cell>
          <cell r="P233">
            <v>0</v>
          </cell>
        </row>
        <row r="234">
          <cell r="A234">
            <v>43</v>
          </cell>
          <cell r="B234" t="str">
            <v xml:space="preserve"> HOT DIPPED GALVANIZED STEEL SUPPORT, </v>
          </cell>
          <cell r="C234">
            <v>780</v>
          </cell>
          <cell r="D234" t="str">
            <v>KG</v>
          </cell>
          <cell r="E234">
            <v>20</v>
          </cell>
          <cell r="F234">
            <v>15600</v>
          </cell>
          <cell r="H234">
            <v>0</v>
          </cell>
          <cell r="I234">
            <v>0.15</v>
          </cell>
          <cell r="J234">
            <v>117</v>
          </cell>
          <cell r="K234">
            <v>20</v>
          </cell>
          <cell r="L234">
            <v>15600</v>
          </cell>
          <cell r="M234">
            <v>0</v>
          </cell>
          <cell r="N234">
            <v>0</v>
          </cell>
          <cell r="O234">
            <v>42</v>
          </cell>
          <cell r="P234">
            <v>32760</v>
          </cell>
        </row>
        <row r="235">
          <cell r="B235" t="str">
            <v xml:space="preserve"> 1.5M(H) X 52SET FOR PUSH BUTTON STATION</v>
          </cell>
          <cell r="F235">
            <v>0</v>
          </cell>
          <cell r="H235">
            <v>0</v>
          </cell>
          <cell r="J235">
            <v>0</v>
          </cell>
          <cell r="K235">
            <v>0</v>
          </cell>
          <cell r="L235">
            <v>0</v>
          </cell>
          <cell r="M235">
            <v>0</v>
          </cell>
          <cell r="N235">
            <v>0</v>
          </cell>
          <cell r="O235">
            <v>0</v>
          </cell>
          <cell r="P235">
            <v>0</v>
          </cell>
        </row>
        <row r="236">
          <cell r="F236">
            <v>0</v>
          </cell>
          <cell r="H236">
            <v>0</v>
          </cell>
          <cell r="J236">
            <v>0</v>
          </cell>
          <cell r="K236">
            <v>0</v>
          </cell>
          <cell r="L236">
            <v>0</v>
          </cell>
          <cell r="M236">
            <v>0</v>
          </cell>
          <cell r="N236">
            <v>0</v>
          </cell>
          <cell r="O236">
            <v>0</v>
          </cell>
          <cell r="P236">
            <v>0</v>
          </cell>
        </row>
        <row r="237">
          <cell r="A237">
            <v>44</v>
          </cell>
          <cell r="B237" t="str">
            <v>SMALL FOUNDATION FOR PUSH BUTTON STATION</v>
          </cell>
          <cell r="C237">
            <v>52</v>
          </cell>
          <cell r="D237" t="str">
            <v>SET</v>
          </cell>
          <cell r="E237">
            <v>1000</v>
          </cell>
          <cell r="F237">
            <v>52000</v>
          </cell>
          <cell r="H237">
            <v>0</v>
          </cell>
          <cell r="J237">
            <v>0</v>
          </cell>
          <cell r="K237">
            <v>1000</v>
          </cell>
          <cell r="L237">
            <v>52000</v>
          </cell>
          <cell r="M237">
            <v>0</v>
          </cell>
          <cell r="N237">
            <v>0</v>
          </cell>
          <cell r="O237">
            <v>0</v>
          </cell>
          <cell r="P237">
            <v>0</v>
          </cell>
        </row>
        <row r="238">
          <cell r="F238">
            <v>0</v>
          </cell>
          <cell r="H238">
            <v>0</v>
          </cell>
          <cell r="J238">
            <v>0</v>
          </cell>
          <cell r="K238">
            <v>0</v>
          </cell>
          <cell r="L238">
            <v>0</v>
          </cell>
          <cell r="M238">
            <v>0</v>
          </cell>
          <cell r="N238">
            <v>0</v>
          </cell>
          <cell r="O238">
            <v>0</v>
          </cell>
          <cell r="P238">
            <v>0</v>
          </cell>
        </row>
        <row r="239">
          <cell r="B239" t="str">
            <v xml:space="preserve"> CABLE TRAY, LADDER TYPE H.D. GALV. STEEL</v>
          </cell>
          <cell r="F239">
            <v>0</v>
          </cell>
          <cell r="H239">
            <v>0</v>
          </cell>
          <cell r="J239">
            <v>0</v>
          </cell>
          <cell r="K239">
            <v>0</v>
          </cell>
          <cell r="L239">
            <v>0</v>
          </cell>
          <cell r="M239">
            <v>0</v>
          </cell>
          <cell r="N239">
            <v>0</v>
          </cell>
          <cell r="O239">
            <v>0</v>
          </cell>
          <cell r="P239">
            <v>0</v>
          </cell>
        </row>
        <row r="240">
          <cell r="B240" t="str">
            <v xml:space="preserve"> W/ ANODIC TREATMENT &amp; EXPOSY COATING(50u)</v>
          </cell>
          <cell r="F240">
            <v>0</v>
          </cell>
          <cell r="H240">
            <v>0</v>
          </cell>
          <cell r="J240">
            <v>0</v>
          </cell>
          <cell r="K240">
            <v>0</v>
          </cell>
          <cell r="L240">
            <v>0</v>
          </cell>
          <cell r="M240">
            <v>0</v>
          </cell>
          <cell r="N240">
            <v>0</v>
          </cell>
          <cell r="O240">
            <v>0</v>
          </cell>
          <cell r="P240">
            <v>0</v>
          </cell>
        </row>
        <row r="241">
          <cell r="B241" t="str">
            <v xml:space="preserve"> STRAIGHT SECTION, </v>
          </cell>
          <cell r="F241">
            <v>0</v>
          </cell>
          <cell r="H241">
            <v>0</v>
          </cell>
          <cell r="J241">
            <v>0</v>
          </cell>
          <cell r="K241">
            <v>0</v>
          </cell>
          <cell r="L241">
            <v>0</v>
          </cell>
          <cell r="M241">
            <v>0</v>
          </cell>
          <cell r="N241">
            <v>0</v>
          </cell>
          <cell r="O241">
            <v>0</v>
          </cell>
          <cell r="P241">
            <v>0</v>
          </cell>
        </row>
        <row r="242">
          <cell r="A242">
            <v>45</v>
          </cell>
          <cell r="B242" t="str">
            <v xml:space="preserve"> 300 mm  WIDE x 100 mm H</v>
          </cell>
          <cell r="C242">
            <v>230</v>
          </cell>
          <cell r="D242" t="str">
            <v>M</v>
          </cell>
          <cell r="E242">
            <v>328</v>
          </cell>
          <cell r="F242">
            <v>75440</v>
          </cell>
          <cell r="H242">
            <v>0</v>
          </cell>
          <cell r="I242">
            <v>0.74</v>
          </cell>
          <cell r="J242">
            <v>170</v>
          </cell>
          <cell r="K242">
            <v>328</v>
          </cell>
          <cell r="L242">
            <v>75440</v>
          </cell>
          <cell r="M242">
            <v>0</v>
          </cell>
          <cell r="N242">
            <v>0</v>
          </cell>
          <cell r="O242">
            <v>207</v>
          </cell>
          <cell r="P242">
            <v>47610</v>
          </cell>
        </row>
        <row r="243">
          <cell r="A243">
            <v>46</v>
          </cell>
          <cell r="B243" t="str">
            <v xml:space="preserve"> 600 mm WIDE x 100 mm HIGH</v>
          </cell>
          <cell r="C243">
            <v>400</v>
          </cell>
          <cell r="D243" t="str">
            <v>M</v>
          </cell>
          <cell r="E243">
            <v>380</v>
          </cell>
          <cell r="F243">
            <v>152000</v>
          </cell>
          <cell r="H243">
            <v>0</v>
          </cell>
          <cell r="I243">
            <v>0.84</v>
          </cell>
          <cell r="J243">
            <v>336</v>
          </cell>
          <cell r="K243">
            <v>380</v>
          </cell>
          <cell r="L243">
            <v>152000</v>
          </cell>
          <cell r="M243">
            <v>0</v>
          </cell>
          <cell r="N243">
            <v>0</v>
          </cell>
          <cell r="O243">
            <v>235</v>
          </cell>
          <cell r="P243">
            <v>94000</v>
          </cell>
        </row>
        <row r="244">
          <cell r="A244">
            <v>47</v>
          </cell>
          <cell r="B244" t="str">
            <v xml:space="preserve"> 1000 mm WIDE x 100 mm HIGH</v>
          </cell>
          <cell r="C244">
            <v>160</v>
          </cell>
          <cell r="D244" t="str">
            <v>M</v>
          </cell>
          <cell r="E244">
            <v>450</v>
          </cell>
          <cell r="F244">
            <v>72000</v>
          </cell>
          <cell r="H244">
            <v>0</v>
          </cell>
          <cell r="I244">
            <v>1</v>
          </cell>
          <cell r="J244">
            <v>160</v>
          </cell>
          <cell r="K244">
            <v>450</v>
          </cell>
          <cell r="L244">
            <v>72000</v>
          </cell>
          <cell r="M244">
            <v>0</v>
          </cell>
          <cell r="N244">
            <v>0</v>
          </cell>
          <cell r="O244">
            <v>280</v>
          </cell>
          <cell r="P244">
            <v>44800</v>
          </cell>
        </row>
        <row r="245">
          <cell r="F245">
            <v>0</v>
          </cell>
          <cell r="H245">
            <v>0</v>
          </cell>
          <cell r="J245">
            <v>0</v>
          </cell>
          <cell r="K245">
            <v>0</v>
          </cell>
          <cell r="L245">
            <v>0</v>
          </cell>
          <cell r="M245">
            <v>0</v>
          </cell>
          <cell r="N245">
            <v>0</v>
          </cell>
          <cell r="O245">
            <v>0</v>
          </cell>
          <cell r="P245">
            <v>0</v>
          </cell>
        </row>
        <row r="246">
          <cell r="A246">
            <v>48</v>
          </cell>
          <cell r="B246" t="str">
            <v xml:space="preserve"> CABLE TRAY COVER, H.D. GALV. STEEL</v>
          </cell>
          <cell r="C246">
            <v>150</v>
          </cell>
          <cell r="D246" t="str">
            <v>M</v>
          </cell>
          <cell r="E246">
            <v>328</v>
          </cell>
          <cell r="F246">
            <v>49200</v>
          </cell>
          <cell r="H246">
            <v>0</v>
          </cell>
          <cell r="I246">
            <v>0.6</v>
          </cell>
          <cell r="J246">
            <v>90</v>
          </cell>
          <cell r="K246">
            <v>328</v>
          </cell>
          <cell r="L246">
            <v>49200</v>
          </cell>
          <cell r="M246">
            <v>0</v>
          </cell>
          <cell r="N246">
            <v>0</v>
          </cell>
          <cell r="O246">
            <v>168</v>
          </cell>
          <cell r="P246">
            <v>25200</v>
          </cell>
        </row>
        <row r="247">
          <cell r="B247" t="str">
            <v xml:space="preserve"> W/ ANODIC TREATMENT &amp; EXPOSY COATING(50u)</v>
          </cell>
          <cell r="F247">
            <v>0</v>
          </cell>
          <cell r="H247">
            <v>0</v>
          </cell>
          <cell r="J247">
            <v>0</v>
          </cell>
          <cell r="K247">
            <v>0</v>
          </cell>
          <cell r="L247">
            <v>0</v>
          </cell>
          <cell r="M247">
            <v>0</v>
          </cell>
          <cell r="N247">
            <v>0</v>
          </cell>
          <cell r="O247">
            <v>0</v>
          </cell>
          <cell r="P247">
            <v>0</v>
          </cell>
        </row>
        <row r="248">
          <cell r="B248" t="str">
            <v xml:space="preserve"> STRAIGHT SECTION, 600 mm WIDE</v>
          </cell>
          <cell r="F248">
            <v>0</v>
          </cell>
          <cell r="H248">
            <v>0</v>
          </cell>
          <cell r="J248">
            <v>0</v>
          </cell>
          <cell r="K248">
            <v>0</v>
          </cell>
          <cell r="L248">
            <v>0</v>
          </cell>
          <cell r="M248">
            <v>0</v>
          </cell>
          <cell r="N248">
            <v>0</v>
          </cell>
          <cell r="O248">
            <v>0</v>
          </cell>
          <cell r="P248">
            <v>0</v>
          </cell>
        </row>
        <row r="249">
          <cell r="F249">
            <v>0</v>
          </cell>
          <cell r="H249">
            <v>0</v>
          </cell>
          <cell r="J249">
            <v>0</v>
          </cell>
          <cell r="K249">
            <v>0</v>
          </cell>
          <cell r="L249">
            <v>0</v>
          </cell>
          <cell r="M249">
            <v>0</v>
          </cell>
          <cell r="N249">
            <v>0</v>
          </cell>
          <cell r="O249">
            <v>0</v>
          </cell>
          <cell r="P249">
            <v>0</v>
          </cell>
        </row>
        <row r="250">
          <cell r="A250">
            <v>49</v>
          </cell>
          <cell r="B250" t="str">
            <v xml:space="preserve"> CABLE TRAY FITTINGS &amp; ACCESSORIES</v>
          </cell>
          <cell r="C250">
            <v>1</v>
          </cell>
          <cell r="D250" t="str">
            <v>LOT</v>
          </cell>
          <cell r="E250">
            <v>174320</v>
          </cell>
          <cell r="F250">
            <v>174320</v>
          </cell>
          <cell r="H250">
            <v>0</v>
          </cell>
          <cell r="I250">
            <v>113.39999999999999</v>
          </cell>
          <cell r="J250">
            <v>113</v>
          </cell>
          <cell r="K250">
            <v>174320</v>
          </cell>
          <cell r="L250">
            <v>174320</v>
          </cell>
          <cell r="M250">
            <v>0</v>
          </cell>
          <cell r="N250">
            <v>0</v>
          </cell>
          <cell r="O250">
            <v>31752</v>
          </cell>
          <cell r="P250">
            <v>31752</v>
          </cell>
        </row>
        <row r="251">
          <cell r="F251">
            <v>0</v>
          </cell>
          <cell r="H251">
            <v>0</v>
          </cell>
          <cell r="J251">
            <v>0</v>
          </cell>
          <cell r="K251">
            <v>0</v>
          </cell>
          <cell r="L251">
            <v>0</v>
          </cell>
          <cell r="M251">
            <v>0</v>
          </cell>
          <cell r="N251">
            <v>0</v>
          </cell>
          <cell r="O251">
            <v>0</v>
          </cell>
          <cell r="P251">
            <v>0</v>
          </cell>
        </row>
        <row r="252">
          <cell r="A252">
            <v>50</v>
          </cell>
          <cell r="B252" t="str">
            <v xml:space="preserve"> CABLE TRAY SUPPORT(IN TRENCH), HOT DIPPED GALVAN.</v>
          </cell>
          <cell r="C252">
            <v>3950</v>
          </cell>
          <cell r="D252" t="str">
            <v>KG</v>
          </cell>
          <cell r="E252">
            <v>20</v>
          </cell>
          <cell r="F252">
            <v>79000</v>
          </cell>
          <cell r="H252">
            <v>0</v>
          </cell>
          <cell r="I252">
            <v>0.15</v>
          </cell>
          <cell r="J252">
            <v>593</v>
          </cell>
          <cell r="K252">
            <v>20</v>
          </cell>
          <cell r="L252">
            <v>79000</v>
          </cell>
          <cell r="M252">
            <v>0</v>
          </cell>
          <cell r="N252">
            <v>0</v>
          </cell>
          <cell r="O252">
            <v>42</v>
          </cell>
          <cell r="P252">
            <v>165900</v>
          </cell>
        </row>
        <row r="253">
          <cell r="F253">
            <v>0</v>
          </cell>
          <cell r="H253">
            <v>0</v>
          </cell>
          <cell r="J253">
            <v>0</v>
          </cell>
          <cell r="K253">
            <v>0</v>
          </cell>
          <cell r="L253">
            <v>0</v>
          </cell>
          <cell r="M253">
            <v>0</v>
          </cell>
          <cell r="N253">
            <v>0</v>
          </cell>
          <cell r="O253">
            <v>0</v>
          </cell>
          <cell r="P253">
            <v>0</v>
          </cell>
        </row>
        <row r="254">
          <cell r="A254">
            <v>51</v>
          </cell>
          <cell r="B254" t="str">
            <v>POOLING BOX, OUTDOOR TYPE</v>
          </cell>
          <cell r="C254">
            <v>6</v>
          </cell>
          <cell r="D254" t="str">
            <v>SET</v>
          </cell>
          <cell r="E254">
            <v>80000</v>
          </cell>
          <cell r="F254">
            <v>480000</v>
          </cell>
          <cell r="H254">
            <v>0</v>
          </cell>
          <cell r="I254">
            <v>50</v>
          </cell>
          <cell r="J254">
            <v>300</v>
          </cell>
          <cell r="K254">
            <v>80000</v>
          </cell>
          <cell r="L254">
            <v>480000</v>
          </cell>
          <cell r="M254">
            <v>0</v>
          </cell>
          <cell r="N254">
            <v>0</v>
          </cell>
          <cell r="O254">
            <v>14000</v>
          </cell>
          <cell r="P254">
            <v>84000</v>
          </cell>
        </row>
        <row r="255">
          <cell r="B255" t="str">
            <v>HOT DIPPED GALVANIZED STEEL, W/ PAINTING</v>
          </cell>
          <cell r="F255">
            <v>0</v>
          </cell>
          <cell r="H255">
            <v>0</v>
          </cell>
          <cell r="J255">
            <v>0</v>
          </cell>
          <cell r="K255">
            <v>0</v>
          </cell>
          <cell r="L255">
            <v>0</v>
          </cell>
          <cell r="M255">
            <v>0</v>
          </cell>
          <cell r="N255">
            <v>0</v>
          </cell>
          <cell r="O255">
            <v>0</v>
          </cell>
          <cell r="P255">
            <v>0</v>
          </cell>
        </row>
        <row r="256">
          <cell r="B256" t="str">
            <v xml:space="preserve"> 3000(L)x1600(D)x2200(H)MM., W/ DOORS</v>
          </cell>
          <cell r="F256">
            <v>0</v>
          </cell>
          <cell r="H256">
            <v>0</v>
          </cell>
          <cell r="J256">
            <v>0</v>
          </cell>
          <cell r="K256">
            <v>0</v>
          </cell>
          <cell r="L256">
            <v>0</v>
          </cell>
          <cell r="M256">
            <v>0</v>
          </cell>
          <cell r="N256">
            <v>0</v>
          </cell>
          <cell r="O256">
            <v>0</v>
          </cell>
          <cell r="P256">
            <v>0</v>
          </cell>
        </row>
        <row r="257">
          <cell r="F257">
            <v>0</v>
          </cell>
          <cell r="H257">
            <v>0</v>
          </cell>
          <cell r="J257">
            <v>0</v>
          </cell>
          <cell r="K257">
            <v>0</v>
          </cell>
          <cell r="L257">
            <v>0</v>
          </cell>
          <cell r="M257">
            <v>0</v>
          </cell>
          <cell r="N257">
            <v>0</v>
          </cell>
          <cell r="O257">
            <v>0</v>
          </cell>
          <cell r="P257">
            <v>0</v>
          </cell>
        </row>
        <row r="258">
          <cell r="A258">
            <v>52</v>
          </cell>
          <cell r="B258" t="str">
            <v xml:space="preserve">JUNCTION BOX, INDOOR TYPE, </v>
          </cell>
          <cell r="C258">
            <v>3</v>
          </cell>
          <cell r="D258" t="str">
            <v>SET</v>
          </cell>
          <cell r="E258">
            <v>16000</v>
          </cell>
          <cell r="F258">
            <v>48000</v>
          </cell>
          <cell r="H258">
            <v>0</v>
          </cell>
          <cell r="I258">
            <v>15</v>
          </cell>
          <cell r="J258">
            <v>45</v>
          </cell>
          <cell r="K258">
            <v>16000</v>
          </cell>
          <cell r="L258">
            <v>48000</v>
          </cell>
          <cell r="M258">
            <v>0</v>
          </cell>
          <cell r="N258">
            <v>0</v>
          </cell>
          <cell r="O258">
            <v>4200</v>
          </cell>
          <cell r="P258">
            <v>12600</v>
          </cell>
        </row>
        <row r="259">
          <cell r="B259" t="str">
            <v>W/ TB.(FOR 2.0MM. WIRE) X 200P</v>
          </cell>
          <cell r="F259">
            <v>0</v>
          </cell>
          <cell r="H259">
            <v>0</v>
          </cell>
          <cell r="J259">
            <v>0</v>
          </cell>
          <cell r="K259">
            <v>0</v>
          </cell>
          <cell r="L259">
            <v>0</v>
          </cell>
          <cell r="M259">
            <v>0</v>
          </cell>
          <cell r="N259">
            <v>0</v>
          </cell>
          <cell r="O259">
            <v>0</v>
          </cell>
          <cell r="P259">
            <v>0</v>
          </cell>
        </row>
        <row r="260">
          <cell r="F260">
            <v>0</v>
          </cell>
          <cell r="H260">
            <v>0</v>
          </cell>
          <cell r="J260">
            <v>0</v>
          </cell>
          <cell r="K260">
            <v>0</v>
          </cell>
          <cell r="L260">
            <v>0</v>
          </cell>
          <cell r="M260">
            <v>0</v>
          </cell>
          <cell r="N260">
            <v>0</v>
          </cell>
          <cell r="O260">
            <v>0</v>
          </cell>
          <cell r="P260">
            <v>0</v>
          </cell>
        </row>
        <row r="261">
          <cell r="A261">
            <v>53</v>
          </cell>
          <cell r="B261" t="str">
            <v xml:space="preserve"> MISCELLANEOUS MATERIALS</v>
          </cell>
          <cell r="C261">
            <v>1</v>
          </cell>
          <cell r="D261" t="str">
            <v>LOT</v>
          </cell>
          <cell r="E261">
            <v>677772</v>
          </cell>
          <cell r="F261">
            <v>677772</v>
          </cell>
          <cell r="H261">
            <v>0</v>
          </cell>
          <cell r="I261">
            <v>963.71999999999991</v>
          </cell>
          <cell r="J261">
            <v>964</v>
          </cell>
          <cell r="K261">
            <v>677772</v>
          </cell>
          <cell r="L261">
            <v>677772</v>
          </cell>
          <cell r="M261">
            <v>0</v>
          </cell>
          <cell r="N261">
            <v>0</v>
          </cell>
          <cell r="O261">
            <v>269842</v>
          </cell>
          <cell r="P261">
            <v>269842</v>
          </cell>
        </row>
        <row r="262">
          <cell r="F262">
            <v>0</v>
          </cell>
          <cell r="H262">
            <v>0</v>
          </cell>
          <cell r="J262">
            <v>0</v>
          </cell>
          <cell r="K262">
            <v>0</v>
          </cell>
          <cell r="L262">
            <v>0</v>
          </cell>
          <cell r="M262">
            <v>0</v>
          </cell>
          <cell r="N262">
            <v>0</v>
          </cell>
          <cell r="O262">
            <v>0</v>
          </cell>
          <cell r="P262">
            <v>0</v>
          </cell>
        </row>
        <row r="263">
          <cell r="B263" t="str">
            <v>SUB-TOTAL : (B)</v>
          </cell>
          <cell r="F263">
            <v>23270172</v>
          </cell>
          <cell r="H263">
            <v>0</v>
          </cell>
          <cell r="J263">
            <v>33088</v>
          </cell>
          <cell r="K263">
            <v>0</v>
          </cell>
          <cell r="L263">
            <v>23270172</v>
          </cell>
          <cell r="M263">
            <v>0</v>
          </cell>
          <cell r="N263">
            <v>0</v>
          </cell>
          <cell r="O263">
            <v>0</v>
          </cell>
          <cell r="P263">
            <v>9262383</v>
          </cell>
        </row>
        <row r="264">
          <cell r="F264">
            <v>0</v>
          </cell>
          <cell r="H264">
            <v>0</v>
          </cell>
          <cell r="J264">
            <v>0</v>
          </cell>
          <cell r="K264">
            <v>0</v>
          </cell>
          <cell r="L264">
            <v>0</v>
          </cell>
          <cell r="M264">
            <v>0</v>
          </cell>
          <cell r="N264">
            <v>0</v>
          </cell>
          <cell r="O264">
            <v>0</v>
          </cell>
          <cell r="P264">
            <v>0</v>
          </cell>
        </row>
        <row r="265">
          <cell r="F265">
            <v>0</v>
          </cell>
          <cell r="H265">
            <v>0</v>
          </cell>
          <cell r="J265">
            <v>0</v>
          </cell>
          <cell r="K265">
            <v>0</v>
          </cell>
          <cell r="L265">
            <v>0</v>
          </cell>
          <cell r="M265">
            <v>0</v>
          </cell>
          <cell r="N265">
            <v>0</v>
          </cell>
          <cell r="O265">
            <v>0</v>
          </cell>
          <cell r="P265">
            <v>0</v>
          </cell>
        </row>
        <row r="266">
          <cell r="F266">
            <v>0</v>
          </cell>
          <cell r="H266">
            <v>0</v>
          </cell>
          <cell r="J266">
            <v>0</v>
          </cell>
          <cell r="K266">
            <v>0</v>
          </cell>
          <cell r="L266">
            <v>0</v>
          </cell>
          <cell r="M266">
            <v>0</v>
          </cell>
          <cell r="N266">
            <v>0</v>
          </cell>
          <cell r="O266">
            <v>0</v>
          </cell>
          <cell r="P266">
            <v>0</v>
          </cell>
        </row>
        <row r="267">
          <cell r="A267" t="str">
            <v xml:space="preserve">  C.</v>
          </cell>
          <cell r="B267" t="str">
            <v xml:space="preserve"> LIGHTING SYSTEM(所有燈具皆包括燈管或燈泡)</v>
          </cell>
          <cell r="F267">
            <v>0</v>
          </cell>
          <cell r="H267">
            <v>0</v>
          </cell>
          <cell r="J267">
            <v>0</v>
          </cell>
          <cell r="K267">
            <v>0</v>
          </cell>
          <cell r="L267">
            <v>0</v>
          </cell>
          <cell r="M267">
            <v>0</v>
          </cell>
          <cell r="N267">
            <v>0</v>
          </cell>
          <cell r="O267">
            <v>0</v>
          </cell>
          <cell r="P267">
            <v>0</v>
          </cell>
        </row>
        <row r="268">
          <cell r="A268">
            <v>1</v>
          </cell>
          <cell r="B268" t="str">
            <v xml:space="preserve"> LIGHTING PANEL FOR CLASS 1 DIV.2  GROUP D</v>
          </cell>
          <cell r="C268">
            <v>1</v>
          </cell>
          <cell r="D268" t="str">
            <v>SET</v>
          </cell>
          <cell r="E268">
            <v>144000</v>
          </cell>
          <cell r="F268">
            <v>144000</v>
          </cell>
          <cell r="H268">
            <v>0</v>
          </cell>
          <cell r="I268">
            <v>10</v>
          </cell>
          <cell r="J268">
            <v>10</v>
          </cell>
          <cell r="K268">
            <v>144000</v>
          </cell>
          <cell r="L268">
            <v>144000</v>
          </cell>
          <cell r="M268">
            <v>0</v>
          </cell>
          <cell r="N268">
            <v>0</v>
          </cell>
          <cell r="O268">
            <v>2800</v>
          </cell>
          <cell r="P268">
            <v>2800</v>
          </cell>
        </row>
        <row r="269">
          <cell r="B269" t="str">
            <v xml:space="preserve"> , 3 PHASE 3 WIRE 240V, MAIN 3P30A,BRANCH 2P 20A 6CKT</v>
          </cell>
          <cell r="F269">
            <v>0</v>
          </cell>
          <cell r="H269">
            <v>0</v>
          </cell>
          <cell r="J269">
            <v>0</v>
          </cell>
          <cell r="K269">
            <v>0</v>
          </cell>
          <cell r="L269">
            <v>0</v>
          </cell>
          <cell r="M269">
            <v>0</v>
          </cell>
          <cell r="N269">
            <v>0</v>
          </cell>
          <cell r="O269">
            <v>0</v>
          </cell>
          <cell r="P269">
            <v>0</v>
          </cell>
        </row>
        <row r="270">
          <cell r="A270">
            <v>2</v>
          </cell>
          <cell r="B270" t="str">
            <v xml:space="preserve">LTG. PNL FOR WEATHER-PROOF, 3PHASE 3 WIRE 240V </v>
          </cell>
          <cell r="C270">
            <v>1</v>
          </cell>
          <cell r="D270" t="str">
            <v>SET</v>
          </cell>
          <cell r="E270">
            <v>13000</v>
          </cell>
          <cell r="F270">
            <v>13000</v>
          </cell>
          <cell r="H270">
            <v>0</v>
          </cell>
          <cell r="I270">
            <v>10</v>
          </cell>
          <cell r="J270">
            <v>10</v>
          </cell>
          <cell r="K270">
            <v>13000</v>
          </cell>
          <cell r="L270">
            <v>13000</v>
          </cell>
          <cell r="M270">
            <v>0</v>
          </cell>
          <cell r="N270">
            <v>0</v>
          </cell>
          <cell r="O270">
            <v>2800</v>
          </cell>
          <cell r="P270">
            <v>2800</v>
          </cell>
        </row>
        <row r="271">
          <cell r="B271" t="str">
            <v>MAIN 3P30A,BRANCH 2P 20A 8 CKT</v>
          </cell>
          <cell r="F271">
            <v>0</v>
          </cell>
          <cell r="H271">
            <v>0</v>
          </cell>
          <cell r="J271">
            <v>0</v>
          </cell>
          <cell r="K271">
            <v>0</v>
          </cell>
          <cell r="L271">
            <v>0</v>
          </cell>
          <cell r="M271">
            <v>0</v>
          </cell>
          <cell r="N271">
            <v>0</v>
          </cell>
          <cell r="O271">
            <v>0</v>
          </cell>
          <cell r="P271">
            <v>0</v>
          </cell>
        </row>
        <row r="272">
          <cell r="A272">
            <v>3</v>
          </cell>
          <cell r="B272" t="str">
            <v>LTG. PNL. FOR CLASS 1, DIV.2 GROUP D , 3PHASE 3WIRE</v>
          </cell>
          <cell r="C272">
            <v>1</v>
          </cell>
          <cell r="D272" t="str">
            <v>SET</v>
          </cell>
          <cell r="E272">
            <v>157500</v>
          </cell>
          <cell r="F272">
            <v>157500</v>
          </cell>
          <cell r="H272">
            <v>0</v>
          </cell>
          <cell r="I272">
            <v>10</v>
          </cell>
          <cell r="J272">
            <v>10</v>
          </cell>
          <cell r="K272">
            <v>157500</v>
          </cell>
          <cell r="L272">
            <v>157500</v>
          </cell>
          <cell r="M272">
            <v>0</v>
          </cell>
          <cell r="N272">
            <v>0</v>
          </cell>
          <cell r="O272">
            <v>2800</v>
          </cell>
          <cell r="P272">
            <v>2800</v>
          </cell>
        </row>
        <row r="273">
          <cell r="B273" t="str">
            <v>240V, MAIN 3P50A,BRANCH 2P 20A 10CKT</v>
          </cell>
          <cell r="F273">
            <v>0</v>
          </cell>
          <cell r="H273">
            <v>0</v>
          </cell>
          <cell r="J273">
            <v>0</v>
          </cell>
          <cell r="K273">
            <v>0</v>
          </cell>
          <cell r="L273">
            <v>0</v>
          </cell>
          <cell r="M273">
            <v>0</v>
          </cell>
          <cell r="N273">
            <v>0</v>
          </cell>
          <cell r="O273">
            <v>0</v>
          </cell>
          <cell r="P273">
            <v>0</v>
          </cell>
        </row>
        <row r="274">
          <cell r="A274">
            <v>4</v>
          </cell>
          <cell r="B274" t="str">
            <v>LTG. PNL. FOR WEATHER-PROOF , 3PHASE 3WIRE</v>
          </cell>
          <cell r="C274">
            <v>1</v>
          </cell>
          <cell r="D274" t="str">
            <v>SET</v>
          </cell>
          <cell r="E274">
            <v>11000</v>
          </cell>
          <cell r="F274">
            <v>11000</v>
          </cell>
          <cell r="H274">
            <v>0</v>
          </cell>
          <cell r="I274">
            <v>8</v>
          </cell>
          <cell r="J274">
            <v>8</v>
          </cell>
          <cell r="K274">
            <v>11000</v>
          </cell>
          <cell r="L274">
            <v>11000</v>
          </cell>
          <cell r="M274">
            <v>0</v>
          </cell>
          <cell r="N274">
            <v>0</v>
          </cell>
          <cell r="O274">
            <v>2240</v>
          </cell>
          <cell r="P274">
            <v>2240</v>
          </cell>
        </row>
        <row r="275">
          <cell r="B275" t="str">
            <v>240V, MAIN 3P30A,BRANCH2P 20A 6CKT</v>
          </cell>
          <cell r="F275">
            <v>0</v>
          </cell>
          <cell r="H275">
            <v>0</v>
          </cell>
          <cell r="J275">
            <v>0</v>
          </cell>
          <cell r="K275">
            <v>0</v>
          </cell>
          <cell r="L275">
            <v>0</v>
          </cell>
          <cell r="M275">
            <v>0</v>
          </cell>
          <cell r="N275">
            <v>0</v>
          </cell>
          <cell r="O275">
            <v>0</v>
          </cell>
          <cell r="P275">
            <v>0</v>
          </cell>
        </row>
        <row r="276">
          <cell r="A276">
            <v>5</v>
          </cell>
          <cell r="B276" t="str">
            <v>LTG. PNL. FOR CLASS 1, DIV.2 GROUP D 3 PHASE 3 WIRE</v>
          </cell>
          <cell r="C276">
            <v>1</v>
          </cell>
          <cell r="D276" t="str">
            <v>SET</v>
          </cell>
          <cell r="E276">
            <v>164700</v>
          </cell>
          <cell r="F276">
            <v>164700</v>
          </cell>
          <cell r="H276">
            <v>0</v>
          </cell>
          <cell r="I276">
            <v>8</v>
          </cell>
          <cell r="J276">
            <v>8</v>
          </cell>
          <cell r="K276">
            <v>164700</v>
          </cell>
          <cell r="L276">
            <v>164700</v>
          </cell>
          <cell r="M276">
            <v>0</v>
          </cell>
          <cell r="N276">
            <v>0</v>
          </cell>
          <cell r="O276">
            <v>2240</v>
          </cell>
          <cell r="P276">
            <v>2240</v>
          </cell>
        </row>
        <row r="277">
          <cell r="B277" t="str">
            <v>240V 2P50A 12CKT</v>
          </cell>
          <cell r="F277">
            <v>0</v>
          </cell>
          <cell r="H277">
            <v>0</v>
          </cell>
          <cell r="J277">
            <v>0</v>
          </cell>
          <cell r="K277">
            <v>0</v>
          </cell>
          <cell r="L277">
            <v>0</v>
          </cell>
          <cell r="M277">
            <v>0</v>
          </cell>
          <cell r="N277">
            <v>0</v>
          </cell>
          <cell r="O277">
            <v>0</v>
          </cell>
          <cell r="P277">
            <v>0</v>
          </cell>
        </row>
        <row r="278">
          <cell r="A278">
            <v>6</v>
          </cell>
          <cell r="B278" t="str">
            <v>LTG. PNL. FOR GENERAL PURPOSE 3 PHASE 3 WIRE</v>
          </cell>
          <cell r="C278">
            <v>2</v>
          </cell>
          <cell r="D278" t="str">
            <v>SET</v>
          </cell>
          <cell r="E278">
            <v>12500</v>
          </cell>
          <cell r="F278">
            <v>25000</v>
          </cell>
          <cell r="H278">
            <v>0</v>
          </cell>
          <cell r="I278">
            <v>8</v>
          </cell>
          <cell r="J278">
            <v>16</v>
          </cell>
          <cell r="K278">
            <v>12500</v>
          </cell>
          <cell r="L278">
            <v>25000</v>
          </cell>
          <cell r="M278">
            <v>0</v>
          </cell>
          <cell r="N278">
            <v>0</v>
          </cell>
          <cell r="O278">
            <v>2240</v>
          </cell>
          <cell r="P278">
            <v>4480</v>
          </cell>
        </row>
        <row r="279">
          <cell r="B279" t="str">
            <v>240V MAIN 3P50A,BRANCH 3P20A 6CKT</v>
          </cell>
          <cell r="F279">
            <v>0</v>
          </cell>
          <cell r="H279">
            <v>0</v>
          </cell>
          <cell r="J279">
            <v>0</v>
          </cell>
          <cell r="K279">
            <v>0</v>
          </cell>
          <cell r="L279">
            <v>0</v>
          </cell>
          <cell r="M279">
            <v>0</v>
          </cell>
          <cell r="N279">
            <v>0</v>
          </cell>
          <cell r="O279">
            <v>0</v>
          </cell>
          <cell r="P279">
            <v>0</v>
          </cell>
        </row>
        <row r="280">
          <cell r="A280">
            <v>7</v>
          </cell>
          <cell r="B280" t="str">
            <v>LTG. PNL. FOR GENERAL PURPOSE 3 PHASE 3 WIRE</v>
          </cell>
          <cell r="C280">
            <v>1</v>
          </cell>
          <cell r="D280" t="str">
            <v>SET</v>
          </cell>
          <cell r="E280">
            <v>14500</v>
          </cell>
          <cell r="F280">
            <v>14500</v>
          </cell>
          <cell r="H280">
            <v>0</v>
          </cell>
          <cell r="I280">
            <v>8</v>
          </cell>
          <cell r="J280">
            <v>8</v>
          </cell>
          <cell r="K280">
            <v>14500</v>
          </cell>
          <cell r="L280">
            <v>14500</v>
          </cell>
          <cell r="M280">
            <v>0</v>
          </cell>
          <cell r="N280">
            <v>0</v>
          </cell>
          <cell r="O280">
            <v>2240</v>
          </cell>
          <cell r="P280">
            <v>2240</v>
          </cell>
        </row>
        <row r="281">
          <cell r="B281" t="str">
            <v>240V MAIN 3P70A,BRANCH 3P20A 8CKT</v>
          </cell>
          <cell r="F281">
            <v>0</v>
          </cell>
          <cell r="H281">
            <v>0</v>
          </cell>
          <cell r="J281">
            <v>0</v>
          </cell>
          <cell r="K281">
            <v>0</v>
          </cell>
          <cell r="L281">
            <v>0</v>
          </cell>
          <cell r="M281">
            <v>0</v>
          </cell>
          <cell r="N281">
            <v>0</v>
          </cell>
          <cell r="O281">
            <v>0</v>
          </cell>
          <cell r="P281">
            <v>0</v>
          </cell>
        </row>
        <row r="282">
          <cell r="A282">
            <v>8</v>
          </cell>
          <cell r="B282" t="str">
            <v>CIRCUIT BREAKER AND ENCLOSURE FOR CLASS 1 DIV.2</v>
          </cell>
          <cell r="C282">
            <v>5</v>
          </cell>
          <cell r="D282" t="str">
            <v>SET</v>
          </cell>
          <cell r="E282">
            <v>37800</v>
          </cell>
          <cell r="F282">
            <v>189000</v>
          </cell>
          <cell r="H282">
            <v>0</v>
          </cell>
          <cell r="I282">
            <v>4</v>
          </cell>
          <cell r="J282">
            <v>20</v>
          </cell>
          <cell r="K282">
            <v>37800</v>
          </cell>
          <cell r="L282">
            <v>189000</v>
          </cell>
          <cell r="M282">
            <v>0</v>
          </cell>
          <cell r="N282">
            <v>0</v>
          </cell>
          <cell r="O282">
            <v>1120</v>
          </cell>
          <cell r="P282">
            <v>5600</v>
          </cell>
        </row>
        <row r="283">
          <cell r="B283" t="str">
            <v>GROUP D, 3-POLE 20AMP</v>
          </cell>
          <cell r="F283">
            <v>0</v>
          </cell>
          <cell r="H283">
            <v>0</v>
          </cell>
          <cell r="J283">
            <v>0</v>
          </cell>
          <cell r="K283">
            <v>0</v>
          </cell>
          <cell r="L283">
            <v>0</v>
          </cell>
          <cell r="M283">
            <v>0</v>
          </cell>
          <cell r="N283">
            <v>0</v>
          </cell>
          <cell r="O283">
            <v>0</v>
          </cell>
          <cell r="P283">
            <v>0</v>
          </cell>
        </row>
        <row r="284">
          <cell r="A284">
            <v>9</v>
          </cell>
          <cell r="B284" t="str">
            <v xml:space="preserve">CIRCUIT BREAKER AND ENCLOSURE FOR CLASS 1 DIV.2 </v>
          </cell>
          <cell r="C284">
            <v>1</v>
          </cell>
          <cell r="D284" t="str">
            <v>SET</v>
          </cell>
          <cell r="E284">
            <v>37800</v>
          </cell>
          <cell r="F284">
            <v>37800</v>
          </cell>
          <cell r="H284">
            <v>0</v>
          </cell>
          <cell r="I284">
            <v>4</v>
          </cell>
          <cell r="J284">
            <v>4</v>
          </cell>
          <cell r="K284">
            <v>37800</v>
          </cell>
          <cell r="L284">
            <v>37800</v>
          </cell>
          <cell r="M284">
            <v>0</v>
          </cell>
          <cell r="N284">
            <v>0</v>
          </cell>
          <cell r="O284">
            <v>1120</v>
          </cell>
          <cell r="P284">
            <v>1120</v>
          </cell>
        </row>
        <row r="285">
          <cell r="B285" t="str">
            <v>GROUP D 3-POLE 30AMP</v>
          </cell>
          <cell r="F285">
            <v>0</v>
          </cell>
          <cell r="H285">
            <v>0</v>
          </cell>
          <cell r="J285">
            <v>0</v>
          </cell>
          <cell r="K285">
            <v>0</v>
          </cell>
          <cell r="L285">
            <v>0</v>
          </cell>
          <cell r="M285">
            <v>0</v>
          </cell>
          <cell r="N285">
            <v>0</v>
          </cell>
          <cell r="O285">
            <v>0</v>
          </cell>
          <cell r="P285">
            <v>0</v>
          </cell>
        </row>
        <row r="286">
          <cell r="A286">
            <v>10</v>
          </cell>
          <cell r="B286" t="str">
            <v xml:space="preserve">DRY TYPE TRANSFORMER WITH ENCLOSURE </v>
          </cell>
          <cell r="C286">
            <v>4</v>
          </cell>
          <cell r="D286" t="str">
            <v>SET</v>
          </cell>
          <cell r="E286">
            <v>25000</v>
          </cell>
          <cell r="F286">
            <v>100000</v>
          </cell>
          <cell r="H286">
            <v>0</v>
          </cell>
          <cell r="I286">
            <v>12</v>
          </cell>
          <cell r="J286">
            <v>48</v>
          </cell>
          <cell r="K286">
            <v>25000</v>
          </cell>
          <cell r="L286">
            <v>100000</v>
          </cell>
          <cell r="M286">
            <v>0</v>
          </cell>
          <cell r="N286">
            <v>0</v>
          </cell>
          <cell r="O286">
            <v>3360</v>
          </cell>
          <cell r="P286">
            <v>13440</v>
          </cell>
        </row>
        <row r="287">
          <cell r="B287" t="str">
            <v>3PH 480/240V 15KVA</v>
          </cell>
          <cell r="F287">
            <v>0</v>
          </cell>
          <cell r="H287">
            <v>0</v>
          </cell>
          <cell r="J287">
            <v>0</v>
          </cell>
          <cell r="K287">
            <v>0</v>
          </cell>
          <cell r="L287">
            <v>0</v>
          </cell>
          <cell r="M287">
            <v>0</v>
          </cell>
          <cell r="N287">
            <v>0</v>
          </cell>
          <cell r="O287">
            <v>0</v>
          </cell>
          <cell r="P287">
            <v>0</v>
          </cell>
        </row>
        <row r="288">
          <cell r="A288">
            <v>11</v>
          </cell>
          <cell r="B288" t="str">
            <v xml:space="preserve">DRY TYPE TRANSFORMER WITH ENCLOSURE  </v>
          </cell>
          <cell r="C288">
            <v>1</v>
          </cell>
          <cell r="D288" t="str">
            <v>SET</v>
          </cell>
          <cell r="E288">
            <v>33000</v>
          </cell>
          <cell r="F288">
            <v>33000</v>
          </cell>
          <cell r="H288">
            <v>0</v>
          </cell>
          <cell r="I288">
            <v>16</v>
          </cell>
          <cell r="J288">
            <v>16</v>
          </cell>
          <cell r="K288">
            <v>33000</v>
          </cell>
          <cell r="L288">
            <v>33000</v>
          </cell>
          <cell r="M288">
            <v>0</v>
          </cell>
          <cell r="N288">
            <v>0</v>
          </cell>
          <cell r="O288">
            <v>4480</v>
          </cell>
          <cell r="P288">
            <v>4480</v>
          </cell>
        </row>
        <row r="289">
          <cell r="B289" t="str">
            <v xml:space="preserve"> 3PH 480/240V 25KVA</v>
          </cell>
          <cell r="F289">
            <v>0</v>
          </cell>
          <cell r="H289">
            <v>0</v>
          </cell>
          <cell r="J289">
            <v>0</v>
          </cell>
          <cell r="K289">
            <v>0</v>
          </cell>
          <cell r="L289">
            <v>0</v>
          </cell>
          <cell r="M289">
            <v>0</v>
          </cell>
          <cell r="N289">
            <v>0</v>
          </cell>
          <cell r="O289">
            <v>0</v>
          </cell>
          <cell r="P289">
            <v>0</v>
          </cell>
        </row>
        <row r="290">
          <cell r="A290">
            <v>12</v>
          </cell>
          <cell r="B290" t="str">
            <v xml:space="preserve">DRY TYPE TRANSFORMER WITH ENCLOSURE  </v>
          </cell>
          <cell r="C290">
            <v>1</v>
          </cell>
          <cell r="D290" t="str">
            <v>SET</v>
          </cell>
          <cell r="E290">
            <v>18000</v>
          </cell>
          <cell r="F290">
            <v>18000</v>
          </cell>
          <cell r="H290">
            <v>0</v>
          </cell>
          <cell r="I290">
            <v>6</v>
          </cell>
          <cell r="J290">
            <v>6</v>
          </cell>
          <cell r="K290">
            <v>18000</v>
          </cell>
          <cell r="L290">
            <v>18000</v>
          </cell>
          <cell r="M290">
            <v>0</v>
          </cell>
          <cell r="N290">
            <v>0</v>
          </cell>
          <cell r="O290">
            <v>1680</v>
          </cell>
          <cell r="P290">
            <v>1680</v>
          </cell>
        </row>
        <row r="291">
          <cell r="B291" t="str">
            <v xml:space="preserve"> 3PH 480/240-120V 5KVA</v>
          </cell>
          <cell r="F291">
            <v>0</v>
          </cell>
          <cell r="H291">
            <v>0</v>
          </cell>
          <cell r="J291">
            <v>0</v>
          </cell>
          <cell r="K291">
            <v>0</v>
          </cell>
          <cell r="L291">
            <v>0</v>
          </cell>
          <cell r="M291">
            <v>0</v>
          </cell>
          <cell r="N291">
            <v>0</v>
          </cell>
          <cell r="O291">
            <v>0</v>
          </cell>
          <cell r="P291">
            <v>0</v>
          </cell>
        </row>
        <row r="292">
          <cell r="A292">
            <v>13</v>
          </cell>
          <cell r="B292" t="str">
            <v xml:space="preserve"> MER. VAP. LTG. FIX. VAPOR-TIGHT PENDANT</v>
          </cell>
          <cell r="C292">
            <v>21</v>
          </cell>
          <cell r="D292" t="str">
            <v>SET</v>
          </cell>
          <cell r="E292">
            <v>9500</v>
          </cell>
          <cell r="F292">
            <v>199500</v>
          </cell>
          <cell r="H292">
            <v>0</v>
          </cell>
          <cell r="I292">
            <v>7</v>
          </cell>
          <cell r="J292">
            <v>147</v>
          </cell>
          <cell r="K292">
            <v>9500</v>
          </cell>
          <cell r="L292">
            <v>199500</v>
          </cell>
          <cell r="M292">
            <v>0</v>
          </cell>
          <cell r="N292">
            <v>0</v>
          </cell>
          <cell r="O292">
            <v>1960</v>
          </cell>
          <cell r="P292">
            <v>41160</v>
          </cell>
        </row>
        <row r="293">
          <cell r="B293" t="str">
            <v xml:space="preserve"> MTG,. INTEGRAL CONST. WATT. BALLAST C/W </v>
          </cell>
          <cell r="F293">
            <v>0</v>
          </cell>
          <cell r="H293">
            <v>0</v>
          </cell>
          <cell r="J293">
            <v>0</v>
          </cell>
          <cell r="K293">
            <v>0</v>
          </cell>
          <cell r="L293">
            <v>0</v>
          </cell>
          <cell r="M293">
            <v>0</v>
          </cell>
          <cell r="N293">
            <v>0</v>
          </cell>
          <cell r="O293">
            <v>0</v>
          </cell>
          <cell r="P293">
            <v>0</v>
          </cell>
        </row>
        <row r="294">
          <cell r="B294" t="str">
            <v xml:space="preserve"> GUARD AND DOME REFL. 3/4" HUB 400W 240V</v>
          </cell>
          <cell r="F294">
            <v>0</v>
          </cell>
          <cell r="H294">
            <v>0</v>
          </cell>
          <cell r="J294">
            <v>0</v>
          </cell>
          <cell r="K294">
            <v>0</v>
          </cell>
          <cell r="L294">
            <v>0</v>
          </cell>
          <cell r="M294">
            <v>0</v>
          </cell>
          <cell r="N294">
            <v>0</v>
          </cell>
          <cell r="O294">
            <v>0</v>
          </cell>
          <cell r="P294">
            <v>0</v>
          </cell>
        </row>
        <row r="295">
          <cell r="B295" t="str">
            <v>CLASS 1, DIV.2 GROPU D</v>
          </cell>
          <cell r="F295">
            <v>0</v>
          </cell>
          <cell r="H295">
            <v>0</v>
          </cell>
          <cell r="J295">
            <v>0</v>
          </cell>
          <cell r="K295">
            <v>0</v>
          </cell>
          <cell r="L295">
            <v>0</v>
          </cell>
          <cell r="M295">
            <v>0</v>
          </cell>
          <cell r="N295">
            <v>0</v>
          </cell>
          <cell r="O295">
            <v>0</v>
          </cell>
          <cell r="P295">
            <v>0</v>
          </cell>
        </row>
        <row r="296">
          <cell r="A296">
            <v>14</v>
          </cell>
          <cell r="B296" t="str">
            <v xml:space="preserve">MER. VAP. LTG. FIX. VAPOR-TIGHT STANCHION MTG. </v>
          </cell>
          <cell r="C296">
            <v>122</v>
          </cell>
          <cell r="D296" t="str">
            <v>SET</v>
          </cell>
          <cell r="E296">
            <v>6000</v>
          </cell>
          <cell r="F296">
            <v>732000</v>
          </cell>
          <cell r="H296">
            <v>0</v>
          </cell>
          <cell r="I296">
            <v>8</v>
          </cell>
          <cell r="J296">
            <v>976</v>
          </cell>
          <cell r="K296">
            <v>6000</v>
          </cell>
          <cell r="L296">
            <v>732000</v>
          </cell>
          <cell r="M296">
            <v>0</v>
          </cell>
          <cell r="N296">
            <v>0</v>
          </cell>
          <cell r="O296">
            <v>2240</v>
          </cell>
          <cell r="P296">
            <v>273280</v>
          </cell>
        </row>
        <row r="297">
          <cell r="B297" t="str">
            <v>INTEGRAL CONST. WATT. BALLAST C/W GLOBE GUARD &amp;</v>
          </cell>
          <cell r="F297">
            <v>0</v>
          </cell>
          <cell r="H297">
            <v>0</v>
          </cell>
          <cell r="J297">
            <v>0</v>
          </cell>
          <cell r="K297">
            <v>0</v>
          </cell>
          <cell r="L297">
            <v>0</v>
          </cell>
          <cell r="M297">
            <v>0</v>
          </cell>
          <cell r="N297">
            <v>0</v>
          </cell>
          <cell r="O297">
            <v>0</v>
          </cell>
          <cell r="P297">
            <v>0</v>
          </cell>
        </row>
        <row r="298">
          <cell r="B298" t="str">
            <v xml:space="preserve">DOME REFL. 1-1/2 IN HUB 175W 240V CLASS 1, DIV 2 </v>
          </cell>
          <cell r="F298">
            <v>0</v>
          </cell>
          <cell r="H298">
            <v>0</v>
          </cell>
          <cell r="J298">
            <v>0</v>
          </cell>
          <cell r="K298">
            <v>0</v>
          </cell>
          <cell r="L298">
            <v>0</v>
          </cell>
          <cell r="M298">
            <v>0</v>
          </cell>
          <cell r="N298">
            <v>0</v>
          </cell>
          <cell r="O298">
            <v>0</v>
          </cell>
          <cell r="P298">
            <v>0</v>
          </cell>
        </row>
        <row r="299">
          <cell r="B299" t="str">
            <v>GROUP D</v>
          </cell>
          <cell r="F299">
            <v>0</v>
          </cell>
          <cell r="H299">
            <v>0</v>
          </cell>
          <cell r="J299">
            <v>0</v>
          </cell>
          <cell r="K299">
            <v>0</v>
          </cell>
          <cell r="L299">
            <v>0</v>
          </cell>
          <cell r="M299">
            <v>0</v>
          </cell>
          <cell r="N299">
            <v>0</v>
          </cell>
          <cell r="O299">
            <v>0</v>
          </cell>
          <cell r="P299">
            <v>0</v>
          </cell>
        </row>
        <row r="300">
          <cell r="A300">
            <v>15</v>
          </cell>
          <cell r="B300" t="str">
            <v>MER. VAP. LTG. FIX. VAPOR-TIGHT PENDANT MTG.</v>
          </cell>
          <cell r="C300">
            <v>52</v>
          </cell>
          <cell r="D300" t="str">
            <v>SET</v>
          </cell>
          <cell r="E300">
            <v>5600</v>
          </cell>
          <cell r="F300">
            <v>291200</v>
          </cell>
          <cell r="H300">
            <v>0</v>
          </cell>
          <cell r="I300">
            <v>7</v>
          </cell>
          <cell r="J300">
            <v>364</v>
          </cell>
          <cell r="K300">
            <v>5600</v>
          </cell>
          <cell r="L300">
            <v>291200</v>
          </cell>
          <cell r="M300">
            <v>0</v>
          </cell>
          <cell r="N300">
            <v>0</v>
          </cell>
          <cell r="O300">
            <v>1960</v>
          </cell>
          <cell r="P300">
            <v>101920</v>
          </cell>
        </row>
        <row r="301">
          <cell r="B301" t="str">
            <v xml:space="preserve">INTEGRAL CONST. WATT. BALLAST C/W GUARD AND </v>
          </cell>
          <cell r="F301">
            <v>0</v>
          </cell>
          <cell r="H301">
            <v>0</v>
          </cell>
          <cell r="J301">
            <v>0</v>
          </cell>
          <cell r="K301">
            <v>0</v>
          </cell>
          <cell r="L301">
            <v>0</v>
          </cell>
          <cell r="M301">
            <v>0</v>
          </cell>
          <cell r="N301">
            <v>0</v>
          </cell>
          <cell r="O301">
            <v>0</v>
          </cell>
          <cell r="P301">
            <v>0</v>
          </cell>
        </row>
        <row r="302">
          <cell r="B302" t="str">
            <v>DOME REFL. 3/4" HUB 175W 240V CLASS 1 DIV.2 GROUP D</v>
          </cell>
          <cell r="F302">
            <v>0</v>
          </cell>
          <cell r="H302">
            <v>0</v>
          </cell>
          <cell r="J302">
            <v>0</v>
          </cell>
          <cell r="K302">
            <v>0</v>
          </cell>
          <cell r="L302">
            <v>0</v>
          </cell>
          <cell r="M302">
            <v>0</v>
          </cell>
          <cell r="N302">
            <v>0</v>
          </cell>
          <cell r="O302">
            <v>0</v>
          </cell>
          <cell r="P302">
            <v>0</v>
          </cell>
        </row>
        <row r="303">
          <cell r="A303">
            <v>16</v>
          </cell>
          <cell r="B303" t="str">
            <v xml:space="preserve"> FLOOD FLOODING MER. VAP. 250W WEATHER-PROOF</v>
          </cell>
          <cell r="C303">
            <v>45</v>
          </cell>
          <cell r="D303" t="str">
            <v>SET</v>
          </cell>
          <cell r="E303">
            <v>1900</v>
          </cell>
          <cell r="F303">
            <v>85500</v>
          </cell>
          <cell r="H303">
            <v>0</v>
          </cell>
          <cell r="I303">
            <v>7</v>
          </cell>
          <cell r="J303">
            <v>315</v>
          </cell>
          <cell r="K303">
            <v>1900</v>
          </cell>
          <cell r="L303">
            <v>85500</v>
          </cell>
          <cell r="M303">
            <v>0</v>
          </cell>
          <cell r="N303">
            <v>0</v>
          </cell>
          <cell r="O303">
            <v>1960</v>
          </cell>
          <cell r="P303">
            <v>88200</v>
          </cell>
        </row>
        <row r="304">
          <cell r="A304">
            <v>17</v>
          </cell>
          <cell r="B304" t="str">
            <v xml:space="preserve">MER. VAP. STREET LTG FIX. 250W 240V </v>
          </cell>
          <cell r="C304">
            <v>209</v>
          </cell>
          <cell r="D304" t="str">
            <v>SET</v>
          </cell>
          <cell r="E304">
            <v>1650</v>
          </cell>
          <cell r="F304">
            <v>344850</v>
          </cell>
          <cell r="H304">
            <v>0</v>
          </cell>
          <cell r="I304">
            <v>2</v>
          </cell>
          <cell r="J304">
            <v>418</v>
          </cell>
          <cell r="K304">
            <v>1650</v>
          </cell>
          <cell r="L304">
            <v>344850</v>
          </cell>
          <cell r="M304">
            <v>0</v>
          </cell>
          <cell r="N304">
            <v>0</v>
          </cell>
          <cell r="O304">
            <v>560</v>
          </cell>
          <cell r="P304">
            <v>117040</v>
          </cell>
        </row>
        <row r="305">
          <cell r="A305">
            <v>18</v>
          </cell>
          <cell r="B305" t="str">
            <v>STREET LIGHT PLOE 7M SINGLE ARM WITH FOUNDATION</v>
          </cell>
          <cell r="C305">
            <v>95</v>
          </cell>
          <cell r="D305" t="str">
            <v>SET</v>
          </cell>
          <cell r="E305">
            <v>11600</v>
          </cell>
          <cell r="F305">
            <v>1102000</v>
          </cell>
          <cell r="H305">
            <v>0</v>
          </cell>
          <cell r="I305">
            <v>9</v>
          </cell>
          <cell r="J305">
            <v>855</v>
          </cell>
          <cell r="K305">
            <v>11600</v>
          </cell>
          <cell r="L305">
            <v>1102000</v>
          </cell>
          <cell r="M305">
            <v>0</v>
          </cell>
          <cell r="N305">
            <v>0</v>
          </cell>
          <cell r="O305">
            <v>2520</v>
          </cell>
          <cell r="P305">
            <v>239400</v>
          </cell>
        </row>
        <row r="306">
          <cell r="A306">
            <v>19</v>
          </cell>
          <cell r="B306" t="str">
            <v>STREET LIGHT PLOE 7M TWINS ARMS WITH FOUNDATION</v>
          </cell>
          <cell r="C306">
            <v>57</v>
          </cell>
          <cell r="D306" t="str">
            <v>SET</v>
          </cell>
          <cell r="E306">
            <v>13300</v>
          </cell>
          <cell r="F306">
            <v>758100</v>
          </cell>
          <cell r="H306">
            <v>0</v>
          </cell>
          <cell r="I306">
            <v>10</v>
          </cell>
          <cell r="J306">
            <v>570</v>
          </cell>
          <cell r="K306">
            <v>13300</v>
          </cell>
          <cell r="L306">
            <v>758100</v>
          </cell>
          <cell r="M306">
            <v>0</v>
          </cell>
          <cell r="N306">
            <v>0</v>
          </cell>
          <cell r="O306">
            <v>2800</v>
          </cell>
          <cell r="P306">
            <v>159600</v>
          </cell>
        </row>
        <row r="307">
          <cell r="A307">
            <v>20</v>
          </cell>
          <cell r="B307" t="str">
            <v xml:space="preserve"> PHOTOELECTRIC CONTROL UNIT, 240V 15A, </v>
          </cell>
          <cell r="C307">
            <v>1</v>
          </cell>
          <cell r="D307" t="str">
            <v>PCS</v>
          </cell>
          <cell r="E307">
            <v>6000</v>
          </cell>
          <cell r="F307">
            <v>6000</v>
          </cell>
          <cell r="H307">
            <v>0</v>
          </cell>
          <cell r="I307">
            <v>4</v>
          </cell>
          <cell r="J307">
            <v>4</v>
          </cell>
          <cell r="K307">
            <v>6000</v>
          </cell>
          <cell r="L307">
            <v>6000</v>
          </cell>
          <cell r="M307">
            <v>0</v>
          </cell>
          <cell r="N307">
            <v>0</v>
          </cell>
          <cell r="O307">
            <v>1120</v>
          </cell>
          <cell r="P307">
            <v>1120</v>
          </cell>
        </row>
        <row r="308">
          <cell r="A308">
            <v>21</v>
          </cell>
          <cell r="B308" t="str">
            <v>FLUORESCENT LTG. FIX. WITH BATTERY 2x40W 240V</v>
          </cell>
          <cell r="C308">
            <v>46</v>
          </cell>
          <cell r="D308" t="str">
            <v>SET</v>
          </cell>
          <cell r="E308">
            <v>27000</v>
          </cell>
          <cell r="F308">
            <v>1242000</v>
          </cell>
          <cell r="H308">
            <v>0</v>
          </cell>
          <cell r="I308">
            <v>6</v>
          </cell>
          <cell r="J308">
            <v>276</v>
          </cell>
          <cell r="K308">
            <v>27000</v>
          </cell>
          <cell r="L308">
            <v>1242000</v>
          </cell>
          <cell r="M308">
            <v>0</v>
          </cell>
          <cell r="N308">
            <v>0</v>
          </cell>
          <cell r="O308">
            <v>1680</v>
          </cell>
          <cell r="P308">
            <v>77280</v>
          </cell>
        </row>
        <row r="309">
          <cell r="B309" t="str">
            <v>FOR CLASS 1, DIV.2 GROUP D</v>
          </cell>
          <cell r="F309">
            <v>0</v>
          </cell>
          <cell r="H309">
            <v>0</v>
          </cell>
          <cell r="J309">
            <v>0</v>
          </cell>
          <cell r="K309">
            <v>0</v>
          </cell>
          <cell r="L309">
            <v>0</v>
          </cell>
          <cell r="M309">
            <v>0</v>
          </cell>
          <cell r="N309">
            <v>0</v>
          </cell>
          <cell r="O309">
            <v>0</v>
          </cell>
          <cell r="P309">
            <v>0</v>
          </cell>
        </row>
        <row r="310">
          <cell r="A310">
            <v>22</v>
          </cell>
          <cell r="B310" t="str">
            <v xml:space="preserve"> OBSTRUCTION RED BEACON 120/240V, 3W FEED,</v>
          </cell>
          <cell r="C310">
            <v>2</v>
          </cell>
          <cell r="D310" t="str">
            <v>SET</v>
          </cell>
          <cell r="E310">
            <v>48600</v>
          </cell>
          <cell r="F310">
            <v>97200</v>
          </cell>
          <cell r="H310">
            <v>0</v>
          </cell>
          <cell r="I310">
            <v>40</v>
          </cell>
          <cell r="J310">
            <v>80</v>
          </cell>
          <cell r="K310">
            <v>48600</v>
          </cell>
          <cell r="L310">
            <v>97200</v>
          </cell>
          <cell r="M310">
            <v>0</v>
          </cell>
          <cell r="N310">
            <v>0</v>
          </cell>
          <cell r="O310">
            <v>11200</v>
          </cell>
          <cell r="P310">
            <v>22400</v>
          </cell>
        </row>
        <row r="311">
          <cell r="B311" t="str">
            <v xml:space="preserve"> 620W x 2 FOR CLASS 1, DIV.2 GROUP D</v>
          </cell>
          <cell r="F311">
            <v>0</v>
          </cell>
          <cell r="H311">
            <v>0</v>
          </cell>
          <cell r="J311">
            <v>0</v>
          </cell>
          <cell r="K311">
            <v>0</v>
          </cell>
          <cell r="L311">
            <v>0</v>
          </cell>
          <cell r="M311">
            <v>0</v>
          </cell>
          <cell r="N311">
            <v>0</v>
          </cell>
          <cell r="O311">
            <v>0</v>
          </cell>
          <cell r="P311">
            <v>0</v>
          </cell>
        </row>
        <row r="312">
          <cell r="A312">
            <v>23</v>
          </cell>
          <cell r="B312" t="str">
            <v xml:space="preserve"> OBSTRUCTION MARKER LIGHT, SINGLE FIXTURE</v>
          </cell>
          <cell r="C312">
            <v>3</v>
          </cell>
          <cell r="D312" t="str">
            <v>SET</v>
          </cell>
          <cell r="E312">
            <v>23000</v>
          </cell>
          <cell r="F312">
            <v>69000</v>
          </cell>
          <cell r="H312">
            <v>0</v>
          </cell>
          <cell r="I312">
            <v>15</v>
          </cell>
          <cell r="J312">
            <v>45</v>
          </cell>
          <cell r="K312">
            <v>23000</v>
          </cell>
          <cell r="L312">
            <v>69000</v>
          </cell>
          <cell r="M312">
            <v>0</v>
          </cell>
          <cell r="N312">
            <v>0</v>
          </cell>
          <cell r="O312">
            <v>4200</v>
          </cell>
          <cell r="P312">
            <v>12600</v>
          </cell>
        </row>
        <row r="313">
          <cell r="B313" t="str">
            <v xml:space="preserve"> C/W INSIDE LAMP,120V 116W,FOR CLASS 1, DIV. 2 </v>
          </cell>
          <cell r="F313">
            <v>0</v>
          </cell>
          <cell r="H313">
            <v>0</v>
          </cell>
          <cell r="J313">
            <v>0</v>
          </cell>
          <cell r="K313">
            <v>0</v>
          </cell>
          <cell r="L313">
            <v>0</v>
          </cell>
          <cell r="M313">
            <v>0</v>
          </cell>
          <cell r="N313">
            <v>0</v>
          </cell>
          <cell r="O313">
            <v>0</v>
          </cell>
          <cell r="P313">
            <v>0</v>
          </cell>
        </row>
        <row r="314">
          <cell r="B314" t="str">
            <v>GROUP D</v>
          </cell>
          <cell r="F314">
            <v>0</v>
          </cell>
          <cell r="H314">
            <v>0</v>
          </cell>
          <cell r="J314">
            <v>0</v>
          </cell>
          <cell r="K314">
            <v>0</v>
          </cell>
          <cell r="L314">
            <v>0</v>
          </cell>
          <cell r="M314">
            <v>0</v>
          </cell>
          <cell r="N314">
            <v>0</v>
          </cell>
          <cell r="O314">
            <v>0</v>
          </cell>
          <cell r="P314">
            <v>0</v>
          </cell>
        </row>
        <row r="315">
          <cell r="A315">
            <v>24</v>
          </cell>
          <cell r="B315" t="str">
            <v xml:space="preserve"> FLASHER UNIT, CAST AL. HOUSING 3 CKT</v>
          </cell>
          <cell r="C315">
            <v>1</v>
          </cell>
          <cell r="D315" t="str">
            <v>SET</v>
          </cell>
          <cell r="E315">
            <v>28800</v>
          </cell>
          <cell r="F315">
            <v>28800</v>
          </cell>
          <cell r="H315">
            <v>0</v>
          </cell>
          <cell r="I315">
            <v>4</v>
          </cell>
          <cell r="J315">
            <v>4</v>
          </cell>
          <cell r="K315">
            <v>28800</v>
          </cell>
          <cell r="L315">
            <v>28800</v>
          </cell>
          <cell r="M315">
            <v>0</v>
          </cell>
          <cell r="N315">
            <v>0</v>
          </cell>
          <cell r="O315">
            <v>1120</v>
          </cell>
          <cell r="P315">
            <v>1120</v>
          </cell>
        </row>
        <row r="316">
          <cell r="B316" t="str">
            <v xml:space="preserve"> SIMULTANEOUS FLASH, 115/240V 3 WIRE, 25A</v>
          </cell>
          <cell r="F316">
            <v>0</v>
          </cell>
          <cell r="H316">
            <v>0</v>
          </cell>
          <cell r="J316">
            <v>0</v>
          </cell>
          <cell r="K316">
            <v>0</v>
          </cell>
          <cell r="L316">
            <v>0</v>
          </cell>
          <cell r="M316">
            <v>0</v>
          </cell>
          <cell r="N316">
            <v>0</v>
          </cell>
          <cell r="O316">
            <v>0</v>
          </cell>
          <cell r="P316">
            <v>0</v>
          </cell>
        </row>
        <row r="317">
          <cell r="B317" t="str">
            <v>FOR CLASS 1, DIV.2 GROUP D</v>
          </cell>
          <cell r="F317">
            <v>0</v>
          </cell>
          <cell r="H317">
            <v>0</v>
          </cell>
          <cell r="J317">
            <v>0</v>
          </cell>
          <cell r="K317">
            <v>0</v>
          </cell>
          <cell r="L317">
            <v>0</v>
          </cell>
          <cell r="M317">
            <v>0</v>
          </cell>
          <cell r="N317">
            <v>0</v>
          </cell>
          <cell r="O317">
            <v>0</v>
          </cell>
          <cell r="P317">
            <v>0</v>
          </cell>
        </row>
        <row r="318">
          <cell r="A318">
            <v>25</v>
          </cell>
          <cell r="B318" t="str">
            <v xml:space="preserve"> PHOTOELECTRIC CONTROL UNIT, 120V 15A, </v>
          </cell>
          <cell r="C318">
            <v>1</v>
          </cell>
          <cell r="D318" t="str">
            <v>SET</v>
          </cell>
          <cell r="E318">
            <v>28800</v>
          </cell>
          <cell r="F318">
            <v>28800</v>
          </cell>
          <cell r="H318">
            <v>0</v>
          </cell>
          <cell r="I318">
            <v>6</v>
          </cell>
          <cell r="J318">
            <v>6</v>
          </cell>
          <cell r="K318">
            <v>28800</v>
          </cell>
          <cell r="L318">
            <v>28800</v>
          </cell>
          <cell r="M318">
            <v>0</v>
          </cell>
          <cell r="N318">
            <v>0</v>
          </cell>
          <cell r="O318">
            <v>1680</v>
          </cell>
          <cell r="P318">
            <v>1680</v>
          </cell>
        </row>
        <row r="319">
          <cell r="B319" t="str">
            <v>FOR CLASS 1, DIV.2 GROUP D</v>
          </cell>
          <cell r="F319">
            <v>0</v>
          </cell>
          <cell r="H319">
            <v>0</v>
          </cell>
          <cell r="J319">
            <v>0</v>
          </cell>
          <cell r="K319">
            <v>0</v>
          </cell>
          <cell r="L319">
            <v>0</v>
          </cell>
          <cell r="M319">
            <v>0</v>
          </cell>
          <cell r="N319">
            <v>0</v>
          </cell>
          <cell r="O319">
            <v>0</v>
          </cell>
          <cell r="P319">
            <v>0</v>
          </cell>
        </row>
        <row r="320">
          <cell r="A320">
            <v>26</v>
          </cell>
          <cell r="B320" t="str">
            <v xml:space="preserve"> AIRCRAFT WARNING LIGHTING POWER PANEL,</v>
          </cell>
          <cell r="C320">
            <v>1</v>
          </cell>
          <cell r="D320" t="str">
            <v>SET</v>
          </cell>
          <cell r="E320">
            <v>60000</v>
          </cell>
          <cell r="F320">
            <v>60000</v>
          </cell>
          <cell r="H320">
            <v>0</v>
          </cell>
          <cell r="I320">
            <v>4</v>
          </cell>
          <cell r="J320">
            <v>4</v>
          </cell>
          <cell r="K320">
            <v>60000</v>
          </cell>
          <cell r="L320">
            <v>60000</v>
          </cell>
          <cell r="M320">
            <v>0</v>
          </cell>
          <cell r="N320">
            <v>0</v>
          </cell>
          <cell r="O320">
            <v>1120</v>
          </cell>
          <cell r="P320">
            <v>1120</v>
          </cell>
        </row>
        <row r="321">
          <cell r="B321" t="str">
            <v xml:space="preserve"> OUTDOOR TYPE, 400L x 200W x 200H, 1PH 3W</v>
          </cell>
          <cell r="F321">
            <v>0</v>
          </cell>
          <cell r="H321">
            <v>0</v>
          </cell>
          <cell r="J321">
            <v>0</v>
          </cell>
          <cell r="K321">
            <v>0</v>
          </cell>
          <cell r="L321">
            <v>0</v>
          </cell>
          <cell r="M321">
            <v>0</v>
          </cell>
          <cell r="N321">
            <v>0</v>
          </cell>
          <cell r="O321">
            <v>0</v>
          </cell>
          <cell r="P321">
            <v>0</v>
          </cell>
        </row>
        <row r="322">
          <cell r="B322" t="str">
            <v xml:space="preserve"> 240V 30AT IC 10KA, STAINLESS STEEL</v>
          </cell>
          <cell r="F322">
            <v>0</v>
          </cell>
          <cell r="H322">
            <v>0</v>
          </cell>
          <cell r="J322">
            <v>0</v>
          </cell>
          <cell r="K322">
            <v>0</v>
          </cell>
          <cell r="L322">
            <v>0</v>
          </cell>
          <cell r="M322">
            <v>0</v>
          </cell>
          <cell r="N322">
            <v>0</v>
          </cell>
          <cell r="O322">
            <v>0</v>
          </cell>
          <cell r="P322">
            <v>0</v>
          </cell>
        </row>
        <row r="323">
          <cell r="B323" t="str">
            <v>FOR CLASS 1, DIV.2 GROUP D</v>
          </cell>
          <cell r="F323">
            <v>0</v>
          </cell>
          <cell r="H323">
            <v>0</v>
          </cell>
          <cell r="J323">
            <v>0</v>
          </cell>
          <cell r="K323">
            <v>0</v>
          </cell>
          <cell r="L323">
            <v>0</v>
          </cell>
          <cell r="M323">
            <v>0</v>
          </cell>
          <cell r="N323">
            <v>0</v>
          </cell>
          <cell r="O323">
            <v>0</v>
          </cell>
          <cell r="P323">
            <v>0</v>
          </cell>
        </row>
        <row r="324">
          <cell r="A324">
            <v>27</v>
          </cell>
          <cell r="B324" t="str">
            <v>RECEPTACLE, EXPLOSION-PROOF 20A-3P-2W</v>
          </cell>
          <cell r="C324">
            <v>8</v>
          </cell>
          <cell r="D324" t="str">
            <v>SET</v>
          </cell>
          <cell r="E324">
            <v>5400</v>
          </cell>
          <cell r="F324">
            <v>43200</v>
          </cell>
          <cell r="H324">
            <v>0</v>
          </cell>
          <cell r="I324">
            <v>4</v>
          </cell>
          <cell r="J324">
            <v>32</v>
          </cell>
          <cell r="K324">
            <v>5400</v>
          </cell>
          <cell r="L324">
            <v>43200</v>
          </cell>
          <cell r="M324">
            <v>0</v>
          </cell>
          <cell r="N324">
            <v>0</v>
          </cell>
          <cell r="O324">
            <v>1120</v>
          </cell>
          <cell r="P324">
            <v>8960</v>
          </cell>
        </row>
        <row r="325">
          <cell r="B325" t="str">
            <v>240V, CLASS 1 DIV.2 GROUP D</v>
          </cell>
          <cell r="F325">
            <v>0</v>
          </cell>
          <cell r="H325">
            <v>0</v>
          </cell>
          <cell r="J325">
            <v>0</v>
          </cell>
          <cell r="K325">
            <v>0</v>
          </cell>
          <cell r="L325">
            <v>0</v>
          </cell>
          <cell r="M325">
            <v>0</v>
          </cell>
          <cell r="N325">
            <v>0</v>
          </cell>
          <cell r="O325">
            <v>0</v>
          </cell>
          <cell r="P325">
            <v>0</v>
          </cell>
        </row>
        <row r="326">
          <cell r="A326">
            <v>28</v>
          </cell>
          <cell r="B326" t="str">
            <v>PLUG 20A-3P-2W EXPLOSION-PROOF</v>
          </cell>
          <cell r="C326">
            <v>4</v>
          </cell>
          <cell r="D326" t="str">
            <v>SET</v>
          </cell>
          <cell r="E326">
            <v>1400</v>
          </cell>
          <cell r="F326">
            <v>5600</v>
          </cell>
          <cell r="H326">
            <v>0</v>
          </cell>
          <cell r="J326">
            <v>0</v>
          </cell>
          <cell r="K326">
            <v>1400</v>
          </cell>
          <cell r="L326">
            <v>5600</v>
          </cell>
          <cell r="M326">
            <v>0</v>
          </cell>
          <cell r="N326">
            <v>0</v>
          </cell>
          <cell r="O326">
            <v>0</v>
          </cell>
          <cell r="P326">
            <v>0</v>
          </cell>
        </row>
        <row r="327">
          <cell r="A327">
            <v>29</v>
          </cell>
          <cell r="B327" t="str">
            <v>FIX. WIRE 1/C STRD. COPPER 600V 200 DEGREE 2.0sq.mm</v>
          </cell>
          <cell r="C327">
            <v>4440</v>
          </cell>
          <cell r="D327" t="str">
            <v>M</v>
          </cell>
          <cell r="E327">
            <v>33</v>
          </cell>
          <cell r="F327">
            <v>146520</v>
          </cell>
          <cell r="H327">
            <v>0</v>
          </cell>
          <cell r="I327">
            <v>0.05</v>
          </cell>
          <cell r="J327">
            <v>222</v>
          </cell>
          <cell r="K327">
            <v>33</v>
          </cell>
          <cell r="L327">
            <v>146520</v>
          </cell>
          <cell r="M327">
            <v>0</v>
          </cell>
          <cell r="N327">
            <v>0</v>
          </cell>
          <cell r="O327">
            <v>14</v>
          </cell>
          <cell r="P327">
            <v>62160</v>
          </cell>
        </row>
        <row r="328">
          <cell r="A328">
            <v>30</v>
          </cell>
          <cell r="B328" t="str">
            <v>R.S.G CONDUIT W/COUPLING,  3/4"</v>
          </cell>
          <cell r="C328">
            <v>2180</v>
          </cell>
          <cell r="D328" t="str">
            <v>M</v>
          </cell>
          <cell r="E328">
            <v>32</v>
          </cell>
          <cell r="F328">
            <v>69760</v>
          </cell>
          <cell r="H328">
            <v>0</v>
          </cell>
          <cell r="I328">
            <v>0.47</v>
          </cell>
          <cell r="J328">
            <v>1025</v>
          </cell>
          <cell r="K328">
            <v>32</v>
          </cell>
          <cell r="L328">
            <v>69760</v>
          </cell>
          <cell r="M328">
            <v>0</v>
          </cell>
          <cell r="N328">
            <v>0</v>
          </cell>
          <cell r="O328">
            <v>132</v>
          </cell>
          <cell r="P328">
            <v>287760</v>
          </cell>
        </row>
        <row r="329">
          <cell r="A329">
            <v>31</v>
          </cell>
          <cell r="B329" t="str">
            <v>R.S.G CONDUIT W/COUPLING 1"</v>
          </cell>
          <cell r="C329">
            <v>100</v>
          </cell>
          <cell r="D329" t="str">
            <v>M</v>
          </cell>
          <cell r="E329">
            <v>49</v>
          </cell>
          <cell r="F329">
            <v>4900</v>
          </cell>
          <cell r="H329">
            <v>0</v>
          </cell>
          <cell r="I329">
            <v>0.54</v>
          </cell>
          <cell r="J329">
            <v>54</v>
          </cell>
          <cell r="K329">
            <v>49</v>
          </cell>
          <cell r="L329">
            <v>4900</v>
          </cell>
          <cell r="M329">
            <v>0</v>
          </cell>
          <cell r="N329">
            <v>0</v>
          </cell>
          <cell r="O329">
            <v>151</v>
          </cell>
          <cell r="P329">
            <v>15100</v>
          </cell>
        </row>
        <row r="330">
          <cell r="A330">
            <v>32</v>
          </cell>
          <cell r="B330" t="str">
            <v>R.S.G CONDUIT W/COUPLING 1-1/2"</v>
          </cell>
          <cell r="C330">
            <v>600</v>
          </cell>
          <cell r="D330" t="str">
            <v>M</v>
          </cell>
          <cell r="E330">
            <v>78</v>
          </cell>
          <cell r="F330">
            <v>46800</v>
          </cell>
          <cell r="H330">
            <v>0</v>
          </cell>
          <cell r="I330">
            <v>0.76</v>
          </cell>
          <cell r="J330">
            <v>456</v>
          </cell>
          <cell r="K330">
            <v>78</v>
          </cell>
          <cell r="L330">
            <v>46800</v>
          </cell>
          <cell r="M330">
            <v>0</v>
          </cell>
          <cell r="N330">
            <v>0</v>
          </cell>
          <cell r="O330">
            <v>213</v>
          </cell>
          <cell r="P330">
            <v>127800</v>
          </cell>
        </row>
        <row r="331">
          <cell r="A331">
            <v>33</v>
          </cell>
          <cell r="B331" t="str">
            <v>PVC CONDUIT 1-1/2"</v>
          </cell>
          <cell r="C331">
            <v>350</v>
          </cell>
          <cell r="D331" t="str">
            <v>M</v>
          </cell>
          <cell r="E331">
            <v>26</v>
          </cell>
          <cell r="F331">
            <v>9100</v>
          </cell>
          <cell r="H331">
            <v>0</v>
          </cell>
          <cell r="I331">
            <v>0.26</v>
          </cell>
          <cell r="J331">
            <v>91</v>
          </cell>
          <cell r="K331">
            <v>26</v>
          </cell>
          <cell r="L331">
            <v>9100</v>
          </cell>
          <cell r="M331">
            <v>0</v>
          </cell>
          <cell r="N331">
            <v>0</v>
          </cell>
          <cell r="O331">
            <v>73</v>
          </cell>
          <cell r="P331">
            <v>25550</v>
          </cell>
        </row>
        <row r="332">
          <cell r="A332">
            <v>34</v>
          </cell>
          <cell r="B332" t="str">
            <v>PVC CONDUIT ,  2"</v>
          </cell>
          <cell r="C332">
            <v>10615</v>
          </cell>
          <cell r="D332" t="str">
            <v>M</v>
          </cell>
          <cell r="E332">
            <v>38</v>
          </cell>
          <cell r="F332">
            <v>403370</v>
          </cell>
          <cell r="H332">
            <v>0</v>
          </cell>
          <cell r="I332">
            <v>0.3</v>
          </cell>
          <cell r="J332">
            <v>3185</v>
          </cell>
          <cell r="K332">
            <v>38</v>
          </cell>
          <cell r="L332">
            <v>403370</v>
          </cell>
          <cell r="M332">
            <v>0</v>
          </cell>
          <cell r="N332">
            <v>0</v>
          </cell>
          <cell r="O332">
            <v>84</v>
          </cell>
          <cell r="P332">
            <v>891660</v>
          </cell>
        </row>
        <row r="333">
          <cell r="A333">
            <v>35</v>
          </cell>
          <cell r="B333" t="str">
            <v>CONDUIT FITTINGS &amp; ACCESSORIES</v>
          </cell>
          <cell r="C333">
            <v>1</v>
          </cell>
          <cell r="D333" t="str">
            <v>LOT</v>
          </cell>
          <cell r="E333">
            <v>242920</v>
          </cell>
          <cell r="F333">
            <v>242920</v>
          </cell>
          <cell r="H333">
            <v>0</v>
          </cell>
          <cell r="I333">
            <v>460.5</v>
          </cell>
          <cell r="J333">
            <v>461</v>
          </cell>
          <cell r="K333">
            <v>242920</v>
          </cell>
          <cell r="L333">
            <v>242920</v>
          </cell>
          <cell r="M333">
            <v>0</v>
          </cell>
          <cell r="N333">
            <v>0</v>
          </cell>
          <cell r="O333">
            <v>128940</v>
          </cell>
          <cell r="P333">
            <v>128940</v>
          </cell>
        </row>
        <row r="334">
          <cell r="A334">
            <v>36</v>
          </cell>
          <cell r="B334" t="str">
            <v>600V PVC WIRE 3.5 sq.mm</v>
          </cell>
          <cell r="C334">
            <v>3500</v>
          </cell>
          <cell r="D334" t="str">
            <v>M</v>
          </cell>
          <cell r="E334">
            <v>3</v>
          </cell>
          <cell r="F334">
            <v>10500</v>
          </cell>
          <cell r="H334">
            <v>0</v>
          </cell>
          <cell r="I334">
            <v>4.1000000000000002E-2</v>
          </cell>
          <cell r="J334">
            <v>144</v>
          </cell>
          <cell r="K334">
            <v>3</v>
          </cell>
          <cell r="L334">
            <v>10500</v>
          </cell>
          <cell r="M334">
            <v>0</v>
          </cell>
          <cell r="N334">
            <v>0</v>
          </cell>
          <cell r="O334">
            <v>11</v>
          </cell>
          <cell r="P334">
            <v>38500</v>
          </cell>
        </row>
        <row r="335">
          <cell r="A335">
            <v>37</v>
          </cell>
          <cell r="B335" t="str">
            <v>600V PVC WIRE 5.5sq.mm</v>
          </cell>
          <cell r="C335">
            <v>3240</v>
          </cell>
          <cell r="D335" t="str">
            <v>M</v>
          </cell>
          <cell r="E335">
            <v>4</v>
          </cell>
          <cell r="F335">
            <v>12960</v>
          </cell>
          <cell r="H335">
            <v>0</v>
          </cell>
          <cell r="I335">
            <v>5.1999999999999998E-2</v>
          </cell>
          <cell r="J335">
            <v>168</v>
          </cell>
          <cell r="K335">
            <v>4</v>
          </cell>
          <cell r="L335">
            <v>12960</v>
          </cell>
          <cell r="M335">
            <v>0</v>
          </cell>
          <cell r="N335">
            <v>0</v>
          </cell>
          <cell r="O335">
            <v>15</v>
          </cell>
          <cell r="P335">
            <v>48600</v>
          </cell>
        </row>
        <row r="336">
          <cell r="A336">
            <v>38</v>
          </cell>
          <cell r="B336" t="str">
            <v>600V XLPE 5/C-38sq.mm</v>
          </cell>
          <cell r="C336">
            <v>10615</v>
          </cell>
          <cell r="D336" t="str">
            <v>M</v>
          </cell>
          <cell r="E336">
            <v>200</v>
          </cell>
          <cell r="F336">
            <v>2123000</v>
          </cell>
          <cell r="H336">
            <v>0</v>
          </cell>
          <cell r="I336">
            <v>0.31</v>
          </cell>
          <cell r="J336">
            <v>3291</v>
          </cell>
          <cell r="K336">
            <v>200</v>
          </cell>
          <cell r="L336">
            <v>2123000</v>
          </cell>
          <cell r="M336">
            <v>0</v>
          </cell>
          <cell r="N336">
            <v>0</v>
          </cell>
          <cell r="O336">
            <v>87</v>
          </cell>
          <cell r="P336">
            <v>923505</v>
          </cell>
        </row>
        <row r="337">
          <cell r="A337">
            <v>39</v>
          </cell>
          <cell r="B337" t="str">
            <v>600V XLPE 4/C 14 sq.mm</v>
          </cell>
          <cell r="C337">
            <v>500</v>
          </cell>
          <cell r="D337" t="str">
            <v>M</v>
          </cell>
          <cell r="E337">
            <v>61</v>
          </cell>
          <cell r="F337">
            <v>30500</v>
          </cell>
          <cell r="H337">
            <v>0</v>
          </cell>
          <cell r="I337">
            <v>0.17799999999999999</v>
          </cell>
          <cell r="J337">
            <v>89</v>
          </cell>
          <cell r="K337">
            <v>61</v>
          </cell>
          <cell r="L337">
            <v>30500</v>
          </cell>
          <cell r="M337">
            <v>0</v>
          </cell>
          <cell r="N337">
            <v>0</v>
          </cell>
          <cell r="O337">
            <v>50</v>
          </cell>
          <cell r="P337">
            <v>25000</v>
          </cell>
        </row>
        <row r="338">
          <cell r="A338">
            <v>40</v>
          </cell>
          <cell r="B338" t="str">
            <v>HOT DIPPED GALVALNIZED STEEL U-CHANNEL 41x41x2.0t</v>
          </cell>
          <cell r="C338">
            <v>350</v>
          </cell>
          <cell r="D338" t="str">
            <v>M</v>
          </cell>
          <cell r="E338">
            <v>82</v>
          </cell>
          <cell r="F338">
            <v>28700</v>
          </cell>
          <cell r="H338">
            <v>0</v>
          </cell>
          <cell r="I338">
            <v>0.40699999999999997</v>
          </cell>
          <cell r="J338">
            <v>142</v>
          </cell>
          <cell r="K338">
            <v>82</v>
          </cell>
          <cell r="L338">
            <v>28700</v>
          </cell>
          <cell r="M338">
            <v>0</v>
          </cell>
          <cell r="N338">
            <v>0</v>
          </cell>
          <cell r="O338">
            <v>114</v>
          </cell>
          <cell r="P338">
            <v>39900</v>
          </cell>
        </row>
        <row r="339">
          <cell r="A339">
            <v>41</v>
          </cell>
          <cell r="B339" t="str">
            <v>EXCAVATION</v>
          </cell>
          <cell r="C339">
            <v>1910</v>
          </cell>
          <cell r="D339" t="str">
            <v>M3</v>
          </cell>
          <cell r="E339" t="str">
            <v>M+L</v>
          </cell>
          <cell r="F339" t="str">
            <v>M+L</v>
          </cell>
          <cell r="H339">
            <v>0</v>
          </cell>
          <cell r="J339">
            <v>0</v>
          </cell>
          <cell r="K339" t="str">
            <v>M+L</v>
          </cell>
          <cell r="L339" t="str">
            <v>M+L</v>
          </cell>
          <cell r="M339">
            <v>0</v>
          </cell>
          <cell r="N339">
            <v>0</v>
          </cell>
          <cell r="O339">
            <v>60</v>
          </cell>
          <cell r="P339">
            <v>114600</v>
          </cell>
        </row>
        <row r="340">
          <cell r="A340">
            <v>42</v>
          </cell>
          <cell r="B340" t="str">
            <v>BACKFILL</v>
          </cell>
          <cell r="C340">
            <v>1910</v>
          </cell>
          <cell r="D340" t="str">
            <v>M3</v>
          </cell>
          <cell r="E340" t="str">
            <v>M+L</v>
          </cell>
          <cell r="F340" t="str">
            <v>M+L</v>
          </cell>
          <cell r="H340">
            <v>0</v>
          </cell>
          <cell r="J340">
            <v>0</v>
          </cell>
          <cell r="K340" t="str">
            <v>M+L</v>
          </cell>
          <cell r="L340" t="str">
            <v>M+L</v>
          </cell>
          <cell r="M340">
            <v>0</v>
          </cell>
          <cell r="N340">
            <v>0</v>
          </cell>
          <cell r="O340">
            <v>100</v>
          </cell>
          <cell r="P340">
            <v>191000</v>
          </cell>
        </row>
        <row r="341">
          <cell r="A341">
            <v>43</v>
          </cell>
          <cell r="B341" t="str">
            <v>MISCELLANEOUS MATERIALS</v>
          </cell>
          <cell r="C341">
            <v>1</v>
          </cell>
          <cell r="D341" t="str">
            <v>LOT</v>
          </cell>
          <cell r="E341">
            <v>456514</v>
          </cell>
          <cell r="F341">
            <v>456514</v>
          </cell>
          <cell r="H341">
            <v>0</v>
          </cell>
          <cell r="I341">
            <v>679.40000000000009</v>
          </cell>
          <cell r="J341">
            <v>679</v>
          </cell>
          <cell r="K341">
            <v>456514</v>
          </cell>
          <cell r="L341">
            <v>456514</v>
          </cell>
          <cell r="M341">
            <v>0</v>
          </cell>
          <cell r="N341">
            <v>0</v>
          </cell>
          <cell r="O341">
            <v>190232</v>
          </cell>
          <cell r="P341">
            <v>190232</v>
          </cell>
        </row>
        <row r="342">
          <cell r="B342" t="str">
            <v>SUB-TOTAL : (C)</v>
          </cell>
          <cell r="F342">
            <v>9586794</v>
          </cell>
          <cell r="H342">
            <v>0</v>
          </cell>
          <cell r="J342">
            <v>14267</v>
          </cell>
          <cell r="K342">
            <v>0</v>
          </cell>
          <cell r="L342">
            <v>9586794</v>
          </cell>
          <cell r="M342">
            <v>0</v>
          </cell>
          <cell r="N342">
            <v>0</v>
          </cell>
          <cell r="O342">
            <v>0</v>
          </cell>
          <cell r="P342">
            <v>4303107</v>
          </cell>
        </row>
        <row r="343">
          <cell r="H343">
            <v>0</v>
          </cell>
          <cell r="J343">
            <v>0</v>
          </cell>
          <cell r="K343">
            <v>0</v>
          </cell>
          <cell r="L343">
            <v>0</v>
          </cell>
          <cell r="M343">
            <v>0</v>
          </cell>
          <cell r="N343">
            <v>0</v>
          </cell>
          <cell r="O343">
            <v>0</v>
          </cell>
        </row>
        <row r="344">
          <cell r="F344">
            <v>0</v>
          </cell>
          <cell r="H344">
            <v>0</v>
          </cell>
          <cell r="J344">
            <v>0</v>
          </cell>
          <cell r="K344">
            <v>0</v>
          </cell>
          <cell r="L344">
            <v>0</v>
          </cell>
          <cell r="M344">
            <v>0</v>
          </cell>
          <cell r="N344">
            <v>0</v>
          </cell>
          <cell r="O344">
            <v>0</v>
          </cell>
          <cell r="P344">
            <v>0</v>
          </cell>
        </row>
        <row r="345">
          <cell r="A345" t="str">
            <v xml:space="preserve">  D.</v>
          </cell>
          <cell r="B345" t="str">
            <v>GROUNDING  SYSTEM</v>
          </cell>
          <cell r="F345">
            <v>0</v>
          </cell>
          <cell r="H345">
            <v>0</v>
          </cell>
          <cell r="J345">
            <v>0</v>
          </cell>
          <cell r="K345">
            <v>0</v>
          </cell>
          <cell r="L345">
            <v>0</v>
          </cell>
          <cell r="M345">
            <v>0</v>
          </cell>
          <cell r="N345">
            <v>0</v>
          </cell>
          <cell r="O345">
            <v>0</v>
          </cell>
          <cell r="P345">
            <v>0</v>
          </cell>
        </row>
        <row r="346">
          <cell r="A346">
            <v>1</v>
          </cell>
          <cell r="B346" t="str">
            <v xml:space="preserve"> GROUND WIRE, BARE CONDUCTOR 60 sq.mm</v>
          </cell>
          <cell r="C346">
            <v>8000</v>
          </cell>
          <cell r="D346" t="str">
            <v>M</v>
          </cell>
          <cell r="E346">
            <v>47</v>
          </cell>
          <cell r="F346">
            <v>376000</v>
          </cell>
          <cell r="H346">
            <v>0</v>
          </cell>
          <cell r="I346">
            <v>0.14099999999999999</v>
          </cell>
          <cell r="J346">
            <v>1128</v>
          </cell>
          <cell r="K346">
            <v>47</v>
          </cell>
          <cell r="L346">
            <v>376000</v>
          </cell>
          <cell r="M346">
            <v>0</v>
          </cell>
          <cell r="N346">
            <v>0</v>
          </cell>
          <cell r="O346">
            <v>39</v>
          </cell>
          <cell r="P346">
            <v>312000</v>
          </cell>
        </row>
        <row r="347">
          <cell r="A347">
            <v>2</v>
          </cell>
          <cell r="B347" t="str">
            <v xml:space="preserve"> DITTO, BUT38 sq.mm</v>
          </cell>
          <cell r="C347">
            <v>620</v>
          </cell>
          <cell r="D347" t="str">
            <v>M</v>
          </cell>
          <cell r="E347">
            <v>32</v>
          </cell>
          <cell r="F347">
            <v>19840</v>
          </cell>
          <cell r="H347">
            <v>0</v>
          </cell>
          <cell r="I347">
            <v>0.11700000000000001</v>
          </cell>
          <cell r="J347">
            <v>73</v>
          </cell>
          <cell r="K347">
            <v>32</v>
          </cell>
          <cell r="L347">
            <v>19840</v>
          </cell>
          <cell r="M347">
            <v>0</v>
          </cell>
          <cell r="N347">
            <v>0</v>
          </cell>
          <cell r="O347">
            <v>33</v>
          </cell>
          <cell r="P347">
            <v>20460</v>
          </cell>
        </row>
        <row r="348">
          <cell r="A348">
            <v>3</v>
          </cell>
          <cell r="B348" t="str">
            <v xml:space="preserve"> GROUND ROD, 3/4" x 10 FT</v>
          </cell>
          <cell r="C348">
            <v>208</v>
          </cell>
          <cell r="D348" t="str">
            <v>PCS</v>
          </cell>
          <cell r="E348">
            <v>350</v>
          </cell>
          <cell r="F348">
            <v>72800</v>
          </cell>
          <cell r="H348">
            <v>0</v>
          </cell>
          <cell r="I348">
            <v>5</v>
          </cell>
          <cell r="J348">
            <v>1040</v>
          </cell>
          <cell r="K348">
            <v>350</v>
          </cell>
          <cell r="L348">
            <v>72800</v>
          </cell>
          <cell r="M348">
            <v>0</v>
          </cell>
          <cell r="N348">
            <v>0</v>
          </cell>
          <cell r="O348">
            <v>1400</v>
          </cell>
          <cell r="P348">
            <v>291200</v>
          </cell>
        </row>
        <row r="349">
          <cell r="A349">
            <v>4</v>
          </cell>
          <cell r="B349" t="str">
            <v xml:space="preserve"> CADWELD GROUND POWDER CARTRIDGE SIZE 45</v>
          </cell>
          <cell r="C349">
            <v>170</v>
          </cell>
          <cell r="D349" t="str">
            <v>PCS</v>
          </cell>
          <cell r="E349">
            <v>45</v>
          </cell>
          <cell r="F349">
            <v>7650</v>
          </cell>
          <cell r="H349">
            <v>0</v>
          </cell>
          <cell r="I349">
            <v>0.5</v>
          </cell>
          <cell r="J349">
            <v>85</v>
          </cell>
          <cell r="K349">
            <v>45</v>
          </cell>
          <cell r="L349">
            <v>7650</v>
          </cell>
          <cell r="M349">
            <v>0</v>
          </cell>
          <cell r="N349">
            <v>0</v>
          </cell>
          <cell r="O349">
            <v>140</v>
          </cell>
          <cell r="P349">
            <v>23800</v>
          </cell>
        </row>
        <row r="350">
          <cell r="A350">
            <v>5</v>
          </cell>
          <cell r="B350" t="str">
            <v xml:space="preserve"> CADWELD GROUND POWDER CARTRIDGE SIZE 90</v>
          </cell>
          <cell r="C350">
            <v>93</v>
          </cell>
          <cell r="D350" t="str">
            <v>PCS</v>
          </cell>
          <cell r="E350">
            <v>90</v>
          </cell>
          <cell r="F350">
            <v>8370</v>
          </cell>
          <cell r="H350">
            <v>0</v>
          </cell>
          <cell r="I350">
            <v>0.5</v>
          </cell>
          <cell r="J350">
            <v>47</v>
          </cell>
          <cell r="K350">
            <v>90</v>
          </cell>
          <cell r="L350">
            <v>8370</v>
          </cell>
          <cell r="M350">
            <v>0</v>
          </cell>
          <cell r="N350">
            <v>0</v>
          </cell>
          <cell r="O350">
            <v>140</v>
          </cell>
          <cell r="P350">
            <v>13020</v>
          </cell>
        </row>
        <row r="351">
          <cell r="A351">
            <v>6</v>
          </cell>
          <cell r="B351" t="str">
            <v xml:space="preserve"> CADWELD GROUND POWDER CARTRIDGE SIZE 115</v>
          </cell>
          <cell r="C351">
            <v>159</v>
          </cell>
          <cell r="D351" t="str">
            <v>PCS</v>
          </cell>
          <cell r="E351">
            <v>115</v>
          </cell>
          <cell r="F351">
            <v>18285</v>
          </cell>
          <cell r="H351">
            <v>0</v>
          </cell>
          <cell r="I351">
            <v>0.5</v>
          </cell>
          <cell r="J351">
            <v>80</v>
          </cell>
          <cell r="K351">
            <v>115</v>
          </cell>
          <cell r="L351">
            <v>18285</v>
          </cell>
          <cell r="M351">
            <v>0</v>
          </cell>
          <cell r="N351">
            <v>0</v>
          </cell>
          <cell r="O351">
            <v>140</v>
          </cell>
          <cell r="P351">
            <v>22260</v>
          </cell>
        </row>
        <row r="352">
          <cell r="A352">
            <v>7</v>
          </cell>
          <cell r="B352" t="str">
            <v xml:space="preserve"> CADWELD MOLD, FOR CABLE TO GROUND ROD</v>
          </cell>
          <cell r="C352">
            <v>10</v>
          </cell>
          <cell r="D352" t="str">
            <v>PCS</v>
          </cell>
          <cell r="E352">
            <v>1250</v>
          </cell>
          <cell r="F352">
            <v>12500</v>
          </cell>
          <cell r="H352">
            <v>0</v>
          </cell>
          <cell r="J352">
            <v>0</v>
          </cell>
          <cell r="K352">
            <v>1250</v>
          </cell>
          <cell r="L352">
            <v>12500</v>
          </cell>
          <cell r="M352">
            <v>0</v>
          </cell>
          <cell r="N352">
            <v>0</v>
          </cell>
          <cell r="O352">
            <v>0</v>
          </cell>
          <cell r="P352">
            <v>0</v>
          </cell>
        </row>
        <row r="353">
          <cell r="B353" t="str">
            <v xml:space="preserve"> CADWELD GTC-182G</v>
          </cell>
          <cell r="F353">
            <v>0</v>
          </cell>
          <cell r="H353">
            <v>0</v>
          </cell>
          <cell r="J353">
            <v>0</v>
          </cell>
          <cell r="K353">
            <v>0</v>
          </cell>
          <cell r="L353">
            <v>0</v>
          </cell>
          <cell r="M353">
            <v>0</v>
          </cell>
          <cell r="N353">
            <v>0</v>
          </cell>
          <cell r="O353">
            <v>0</v>
          </cell>
          <cell r="P353">
            <v>0</v>
          </cell>
        </row>
        <row r="354">
          <cell r="A354">
            <v>8</v>
          </cell>
          <cell r="B354" t="str">
            <v xml:space="preserve"> CADWELD MOLD, FOR CABLE TO CABLE</v>
          </cell>
          <cell r="C354">
            <v>5</v>
          </cell>
          <cell r="D354" t="str">
            <v>PCS</v>
          </cell>
          <cell r="E354">
            <v>1250</v>
          </cell>
          <cell r="F354">
            <v>6250</v>
          </cell>
          <cell r="H354">
            <v>0</v>
          </cell>
          <cell r="J354">
            <v>0</v>
          </cell>
          <cell r="K354">
            <v>1250</v>
          </cell>
          <cell r="L354">
            <v>6250</v>
          </cell>
          <cell r="M354">
            <v>0</v>
          </cell>
          <cell r="N354">
            <v>0</v>
          </cell>
          <cell r="O354">
            <v>0</v>
          </cell>
          <cell r="P354">
            <v>0</v>
          </cell>
        </row>
        <row r="355">
          <cell r="B355" t="str">
            <v xml:space="preserve"> CADWELD TAC-2G2G</v>
          </cell>
          <cell r="F355">
            <v>0</v>
          </cell>
          <cell r="H355">
            <v>0</v>
          </cell>
          <cell r="J355">
            <v>0</v>
          </cell>
          <cell r="K355">
            <v>0</v>
          </cell>
          <cell r="L355">
            <v>0</v>
          </cell>
          <cell r="M355">
            <v>0</v>
          </cell>
          <cell r="N355">
            <v>0</v>
          </cell>
          <cell r="O355">
            <v>0</v>
          </cell>
          <cell r="P355">
            <v>0</v>
          </cell>
        </row>
        <row r="356">
          <cell r="A356">
            <v>9</v>
          </cell>
          <cell r="B356" t="str">
            <v xml:space="preserve"> DITTO, BUT CADWELD TAC-2G1V</v>
          </cell>
          <cell r="C356">
            <v>10</v>
          </cell>
          <cell r="D356" t="str">
            <v>PCS</v>
          </cell>
          <cell r="E356">
            <v>1250</v>
          </cell>
          <cell r="F356">
            <v>12500</v>
          </cell>
          <cell r="H356">
            <v>0</v>
          </cell>
          <cell r="J356">
            <v>0</v>
          </cell>
          <cell r="K356">
            <v>1250</v>
          </cell>
          <cell r="L356">
            <v>12500</v>
          </cell>
          <cell r="M356">
            <v>0</v>
          </cell>
          <cell r="N356">
            <v>0</v>
          </cell>
          <cell r="O356">
            <v>0</v>
          </cell>
          <cell r="P356">
            <v>0</v>
          </cell>
        </row>
        <row r="357">
          <cell r="A357">
            <v>10</v>
          </cell>
          <cell r="B357" t="str">
            <v xml:space="preserve"> GROUND CONNECTOR FOR CABLE TO ROD OR PIPE</v>
          </cell>
          <cell r="C357">
            <v>50</v>
          </cell>
          <cell r="D357" t="str">
            <v>PCS</v>
          </cell>
          <cell r="E357">
            <v>650</v>
          </cell>
          <cell r="F357">
            <v>32500</v>
          </cell>
          <cell r="H357">
            <v>0</v>
          </cell>
          <cell r="I357">
            <v>1</v>
          </cell>
          <cell r="J357">
            <v>50</v>
          </cell>
          <cell r="K357">
            <v>650</v>
          </cell>
          <cell r="L357">
            <v>32500</v>
          </cell>
          <cell r="M357">
            <v>0</v>
          </cell>
          <cell r="N357">
            <v>0</v>
          </cell>
          <cell r="O357">
            <v>280</v>
          </cell>
          <cell r="P357">
            <v>14000</v>
          </cell>
        </row>
        <row r="358">
          <cell r="B358" t="str">
            <v xml:space="preserve"> BURNDY GK-6429</v>
          </cell>
          <cell r="F358">
            <v>0</v>
          </cell>
          <cell r="H358">
            <v>0</v>
          </cell>
          <cell r="J358">
            <v>0</v>
          </cell>
          <cell r="K358">
            <v>0</v>
          </cell>
          <cell r="L358">
            <v>0</v>
          </cell>
          <cell r="M358">
            <v>0</v>
          </cell>
          <cell r="N358">
            <v>0</v>
          </cell>
          <cell r="O358">
            <v>0</v>
          </cell>
          <cell r="P358">
            <v>0</v>
          </cell>
        </row>
        <row r="359">
          <cell r="A359">
            <v>11</v>
          </cell>
          <cell r="B359" t="str">
            <v xml:space="preserve"> GROUND TERMINAL BOX, 450MMx300MMx150MMx1.6t WITH</v>
          </cell>
          <cell r="C359">
            <v>25</v>
          </cell>
          <cell r="D359" t="str">
            <v>SET</v>
          </cell>
          <cell r="E359">
            <v>3500</v>
          </cell>
          <cell r="F359">
            <v>87500</v>
          </cell>
          <cell r="H359">
            <v>0</v>
          </cell>
          <cell r="I359">
            <v>6</v>
          </cell>
          <cell r="J359">
            <v>150</v>
          </cell>
          <cell r="K359">
            <v>3500</v>
          </cell>
          <cell r="L359">
            <v>87500</v>
          </cell>
          <cell r="M359">
            <v>0</v>
          </cell>
          <cell r="N359">
            <v>0</v>
          </cell>
          <cell r="O359">
            <v>1680</v>
          </cell>
          <cell r="P359">
            <v>42000</v>
          </cell>
        </row>
        <row r="360">
          <cell r="B360" t="str">
            <v>GROUNDING BUS 300Mx50MMx6t</v>
          </cell>
          <cell r="F360">
            <v>0</v>
          </cell>
          <cell r="H360">
            <v>0</v>
          </cell>
          <cell r="J360">
            <v>0</v>
          </cell>
          <cell r="K360">
            <v>0</v>
          </cell>
          <cell r="L360">
            <v>0</v>
          </cell>
          <cell r="M360">
            <v>0</v>
          </cell>
          <cell r="N360">
            <v>0</v>
          </cell>
          <cell r="O360">
            <v>0</v>
          </cell>
          <cell r="P360">
            <v>0</v>
          </cell>
        </row>
        <row r="361">
          <cell r="A361">
            <v>12</v>
          </cell>
          <cell r="B361" t="str">
            <v xml:space="preserve"> CABLE LUG, COPPER FOR 60 sq.mm</v>
          </cell>
          <cell r="C361">
            <v>92</v>
          </cell>
          <cell r="D361" t="str">
            <v>PCS</v>
          </cell>
          <cell r="E361">
            <v>60</v>
          </cell>
          <cell r="F361">
            <v>5520</v>
          </cell>
          <cell r="H361">
            <v>0</v>
          </cell>
          <cell r="I361">
            <v>0.5</v>
          </cell>
          <cell r="J361">
            <v>46</v>
          </cell>
          <cell r="K361">
            <v>60</v>
          </cell>
          <cell r="L361">
            <v>5520</v>
          </cell>
          <cell r="M361">
            <v>0</v>
          </cell>
          <cell r="N361">
            <v>0</v>
          </cell>
          <cell r="O361">
            <v>140</v>
          </cell>
          <cell r="P361">
            <v>12880</v>
          </cell>
        </row>
        <row r="362">
          <cell r="A362">
            <v>13</v>
          </cell>
          <cell r="B362" t="str">
            <v xml:space="preserve"> DITTO, BUT FOR 38 sq.mm</v>
          </cell>
          <cell r="C362">
            <v>169</v>
          </cell>
          <cell r="D362" t="str">
            <v>PCS</v>
          </cell>
          <cell r="E362">
            <v>38</v>
          </cell>
          <cell r="F362">
            <v>6422</v>
          </cell>
          <cell r="H362">
            <v>0</v>
          </cell>
          <cell r="I362">
            <v>0.5</v>
          </cell>
          <cell r="J362">
            <v>85</v>
          </cell>
          <cell r="K362">
            <v>38</v>
          </cell>
          <cell r="L362">
            <v>6422</v>
          </cell>
          <cell r="M362">
            <v>0</v>
          </cell>
          <cell r="N362">
            <v>0</v>
          </cell>
          <cell r="O362">
            <v>140</v>
          </cell>
          <cell r="P362">
            <v>23660</v>
          </cell>
        </row>
        <row r="363">
          <cell r="A363">
            <v>14</v>
          </cell>
          <cell r="B363" t="str">
            <v xml:space="preserve"> CONCRETE PIPE WITH COVER 12" DIA. 2 FT LG</v>
          </cell>
          <cell r="C363">
            <v>50</v>
          </cell>
          <cell r="D363" t="str">
            <v>PCS</v>
          </cell>
          <cell r="E363">
            <v>2800</v>
          </cell>
          <cell r="F363">
            <v>140000</v>
          </cell>
          <cell r="H363">
            <v>0</v>
          </cell>
          <cell r="I363">
            <v>3</v>
          </cell>
          <cell r="J363">
            <v>150</v>
          </cell>
          <cell r="K363">
            <v>2800</v>
          </cell>
          <cell r="L363">
            <v>140000</v>
          </cell>
          <cell r="M363">
            <v>0</v>
          </cell>
          <cell r="N363">
            <v>0</v>
          </cell>
          <cell r="O363">
            <v>840</v>
          </cell>
          <cell r="P363">
            <v>42000</v>
          </cell>
        </row>
        <row r="364">
          <cell r="A364">
            <v>15</v>
          </cell>
          <cell r="B364" t="str">
            <v xml:space="preserve"> STEEL PLATE, SS41, 1829x6401x6t</v>
          </cell>
          <cell r="C364">
            <v>1</v>
          </cell>
          <cell r="D364" t="str">
            <v>PCS</v>
          </cell>
          <cell r="E364">
            <v>10000</v>
          </cell>
          <cell r="F364">
            <v>10000</v>
          </cell>
          <cell r="H364">
            <v>0</v>
          </cell>
          <cell r="I364">
            <v>20</v>
          </cell>
          <cell r="J364">
            <v>20</v>
          </cell>
          <cell r="K364">
            <v>10000</v>
          </cell>
          <cell r="L364">
            <v>10000</v>
          </cell>
          <cell r="M364">
            <v>0</v>
          </cell>
          <cell r="N364">
            <v>0</v>
          </cell>
          <cell r="O364">
            <v>5600</v>
          </cell>
          <cell r="P364">
            <v>5600</v>
          </cell>
        </row>
        <row r="365">
          <cell r="A365">
            <v>16</v>
          </cell>
          <cell r="B365" t="str">
            <v xml:space="preserve"> CONDUIT CLAMP, ONE-HOLE 3/4"</v>
          </cell>
          <cell r="C365">
            <v>265</v>
          </cell>
          <cell r="D365" t="str">
            <v>PCS</v>
          </cell>
          <cell r="E365">
            <v>4</v>
          </cell>
          <cell r="F365">
            <v>1060</v>
          </cell>
          <cell r="H365">
            <v>0</v>
          </cell>
          <cell r="I365">
            <v>0.5</v>
          </cell>
          <cell r="J365">
            <v>133</v>
          </cell>
          <cell r="K365">
            <v>4</v>
          </cell>
          <cell r="L365">
            <v>1060</v>
          </cell>
          <cell r="M365">
            <v>0</v>
          </cell>
          <cell r="N365">
            <v>0</v>
          </cell>
          <cell r="O365">
            <v>140</v>
          </cell>
          <cell r="P365">
            <v>37100</v>
          </cell>
        </row>
        <row r="366">
          <cell r="A366">
            <v>17</v>
          </cell>
          <cell r="B366" t="str">
            <v xml:space="preserve"> PVC CONDUIT, SCHEDULE B, CNS1302  3/4"</v>
          </cell>
          <cell r="C366">
            <v>265</v>
          </cell>
          <cell r="D366" t="str">
            <v>M</v>
          </cell>
          <cell r="E366">
            <v>12</v>
          </cell>
          <cell r="F366">
            <v>3180</v>
          </cell>
          <cell r="H366">
            <v>0</v>
          </cell>
          <cell r="I366">
            <v>0.28000000000000003</v>
          </cell>
          <cell r="J366">
            <v>74</v>
          </cell>
          <cell r="K366">
            <v>12</v>
          </cell>
          <cell r="L366">
            <v>3180</v>
          </cell>
          <cell r="M366">
            <v>0</v>
          </cell>
          <cell r="N366">
            <v>0</v>
          </cell>
          <cell r="O366">
            <v>78</v>
          </cell>
          <cell r="P366">
            <v>20670</v>
          </cell>
        </row>
        <row r="367">
          <cell r="A367">
            <v>18</v>
          </cell>
          <cell r="B367" t="str">
            <v xml:space="preserve"> EXCAVATION</v>
          </cell>
          <cell r="C367">
            <v>1550</v>
          </cell>
          <cell r="D367" t="str">
            <v>M3</v>
          </cell>
          <cell r="E367" t="str">
            <v>M+L</v>
          </cell>
          <cell r="F367" t="str">
            <v>M+L</v>
          </cell>
          <cell r="H367">
            <v>0</v>
          </cell>
          <cell r="J367">
            <v>0</v>
          </cell>
          <cell r="K367" t="str">
            <v>M+L</v>
          </cell>
          <cell r="L367" t="str">
            <v>M+L</v>
          </cell>
          <cell r="M367">
            <v>0</v>
          </cell>
          <cell r="N367">
            <v>0</v>
          </cell>
          <cell r="O367">
            <v>72</v>
          </cell>
          <cell r="P367">
            <v>111600</v>
          </cell>
        </row>
        <row r="368">
          <cell r="A368">
            <v>19</v>
          </cell>
          <cell r="B368" t="str">
            <v xml:space="preserve"> BACKFILL</v>
          </cell>
          <cell r="C368">
            <v>1550</v>
          </cell>
          <cell r="D368" t="str">
            <v>M3</v>
          </cell>
          <cell r="E368" t="str">
            <v>M+L</v>
          </cell>
          <cell r="F368" t="str">
            <v>M+L</v>
          </cell>
          <cell r="H368">
            <v>0</v>
          </cell>
          <cell r="J368">
            <v>0</v>
          </cell>
          <cell r="K368" t="str">
            <v>M+L</v>
          </cell>
          <cell r="L368" t="str">
            <v>M+L</v>
          </cell>
          <cell r="M368">
            <v>0</v>
          </cell>
          <cell r="N368">
            <v>0</v>
          </cell>
          <cell r="O368">
            <v>120</v>
          </cell>
          <cell r="P368">
            <v>186000</v>
          </cell>
        </row>
        <row r="369">
          <cell r="A369">
            <v>20</v>
          </cell>
          <cell r="B369" t="str">
            <v xml:space="preserve"> MISCELLANEOUS MATERIALS</v>
          </cell>
          <cell r="C369">
            <v>1</v>
          </cell>
          <cell r="D369" t="str">
            <v>LOT</v>
          </cell>
          <cell r="E369">
            <v>82037.700000000012</v>
          </cell>
          <cell r="F369">
            <v>82038</v>
          </cell>
          <cell r="H369">
            <v>0</v>
          </cell>
          <cell r="I369">
            <v>316.10000000000002</v>
          </cell>
          <cell r="J369">
            <v>316</v>
          </cell>
          <cell r="K369">
            <v>82038</v>
          </cell>
          <cell r="L369">
            <v>82038</v>
          </cell>
          <cell r="M369">
            <v>0</v>
          </cell>
          <cell r="N369">
            <v>0</v>
          </cell>
          <cell r="O369">
            <v>88508</v>
          </cell>
          <cell r="P369">
            <v>88508</v>
          </cell>
        </row>
        <row r="370">
          <cell r="B370" t="str">
            <v>SUB-TOTAL : (D)</v>
          </cell>
          <cell r="F370">
            <v>902415</v>
          </cell>
          <cell r="H370">
            <v>0</v>
          </cell>
          <cell r="J370">
            <v>3477</v>
          </cell>
          <cell r="K370">
            <v>0</v>
          </cell>
          <cell r="L370">
            <v>902415</v>
          </cell>
          <cell r="M370">
            <v>0</v>
          </cell>
          <cell r="N370">
            <v>0</v>
          </cell>
          <cell r="O370">
            <v>0</v>
          </cell>
          <cell r="P370">
            <v>1266758</v>
          </cell>
        </row>
        <row r="371">
          <cell r="F371">
            <v>0</v>
          </cell>
          <cell r="H371">
            <v>0</v>
          </cell>
          <cell r="J371">
            <v>0</v>
          </cell>
          <cell r="K371">
            <v>0</v>
          </cell>
          <cell r="L371">
            <v>0</v>
          </cell>
          <cell r="M371">
            <v>0</v>
          </cell>
          <cell r="N371">
            <v>0</v>
          </cell>
          <cell r="O371">
            <v>0</v>
          </cell>
          <cell r="P371">
            <v>0</v>
          </cell>
        </row>
        <row r="372">
          <cell r="F372">
            <v>0</v>
          </cell>
          <cell r="H372">
            <v>0</v>
          </cell>
          <cell r="J372">
            <v>0</v>
          </cell>
          <cell r="K372">
            <v>0</v>
          </cell>
          <cell r="L372">
            <v>0</v>
          </cell>
          <cell r="M372">
            <v>0</v>
          </cell>
          <cell r="N372">
            <v>0</v>
          </cell>
          <cell r="O372">
            <v>0</v>
          </cell>
          <cell r="P372">
            <v>0</v>
          </cell>
        </row>
        <row r="373">
          <cell r="D373" t="str">
            <v xml:space="preserve"> </v>
          </cell>
          <cell r="F373">
            <v>0</v>
          </cell>
          <cell r="H373">
            <v>0</v>
          </cell>
          <cell r="J373">
            <v>0</v>
          </cell>
          <cell r="K373">
            <v>0</v>
          </cell>
          <cell r="L373">
            <v>0</v>
          </cell>
          <cell r="M373">
            <v>0</v>
          </cell>
          <cell r="N373">
            <v>0</v>
          </cell>
          <cell r="O373">
            <v>0</v>
          </cell>
          <cell r="P373">
            <v>0</v>
          </cell>
        </row>
        <row r="374">
          <cell r="A374" t="str">
            <v>E.</v>
          </cell>
          <cell r="B374" t="str">
            <v>TELEPHONE SYSTEM(全廠區建築物間之管線)</v>
          </cell>
          <cell r="F374">
            <v>0</v>
          </cell>
          <cell r="H374">
            <v>0</v>
          </cell>
          <cell r="J374">
            <v>0</v>
          </cell>
          <cell r="K374">
            <v>0</v>
          </cell>
          <cell r="L374">
            <v>0</v>
          </cell>
          <cell r="M374">
            <v>0</v>
          </cell>
          <cell r="N374">
            <v>0</v>
          </cell>
          <cell r="O374">
            <v>0</v>
          </cell>
          <cell r="P374">
            <v>0</v>
          </cell>
        </row>
        <row r="375">
          <cell r="A375">
            <v>1</v>
          </cell>
          <cell r="B375" t="str">
            <v>PABX , W/100 EXTENSION , 10 TRUNK LINE</v>
          </cell>
          <cell r="C375">
            <v>1</v>
          </cell>
          <cell r="D375" t="str">
            <v>SET</v>
          </cell>
          <cell r="E375">
            <v>380000</v>
          </cell>
          <cell r="F375">
            <v>380000</v>
          </cell>
          <cell r="H375">
            <v>0</v>
          </cell>
          <cell r="I375">
            <v>40</v>
          </cell>
          <cell r="J375">
            <v>40</v>
          </cell>
          <cell r="K375">
            <v>380000</v>
          </cell>
          <cell r="L375">
            <v>380000</v>
          </cell>
          <cell r="M375">
            <v>0</v>
          </cell>
          <cell r="N375">
            <v>0</v>
          </cell>
          <cell r="O375">
            <v>11200</v>
          </cell>
          <cell r="P375">
            <v>11200</v>
          </cell>
        </row>
        <row r="376">
          <cell r="A376">
            <v>2</v>
          </cell>
          <cell r="B376" t="str">
            <v xml:space="preserve"> TELEPHONE CABLE, SOLID COPPER PVBC INSU. 5 PAIRS</v>
          </cell>
          <cell r="C376">
            <v>1300</v>
          </cell>
          <cell r="D376" t="str">
            <v>M</v>
          </cell>
          <cell r="E376">
            <v>14</v>
          </cell>
          <cell r="F376">
            <v>18200</v>
          </cell>
          <cell r="H376">
            <v>0</v>
          </cell>
          <cell r="I376">
            <v>8.5999999999999993E-2</v>
          </cell>
          <cell r="J376">
            <v>112</v>
          </cell>
          <cell r="K376">
            <v>14</v>
          </cell>
          <cell r="L376">
            <v>18200</v>
          </cell>
          <cell r="M376">
            <v>0</v>
          </cell>
          <cell r="N376">
            <v>0</v>
          </cell>
          <cell r="O376">
            <v>24</v>
          </cell>
          <cell r="P376">
            <v>31200</v>
          </cell>
        </row>
        <row r="377">
          <cell r="A377">
            <v>3</v>
          </cell>
          <cell r="B377" t="str">
            <v xml:space="preserve"> DITTO, BUT 10 PAIRS</v>
          </cell>
          <cell r="C377">
            <v>250</v>
          </cell>
          <cell r="D377" t="str">
            <v>M</v>
          </cell>
          <cell r="E377">
            <v>30</v>
          </cell>
          <cell r="F377">
            <v>7500</v>
          </cell>
          <cell r="H377">
            <v>0</v>
          </cell>
          <cell r="I377">
            <v>0.122</v>
          </cell>
          <cell r="J377">
            <v>31</v>
          </cell>
          <cell r="K377">
            <v>30</v>
          </cell>
          <cell r="L377">
            <v>7500</v>
          </cell>
          <cell r="M377">
            <v>0</v>
          </cell>
          <cell r="N377">
            <v>0</v>
          </cell>
          <cell r="O377">
            <v>34</v>
          </cell>
          <cell r="P377">
            <v>8500</v>
          </cell>
        </row>
        <row r="378">
          <cell r="A378">
            <v>4</v>
          </cell>
          <cell r="B378" t="str">
            <v xml:space="preserve"> DITTO, BUT 30 PAIRS</v>
          </cell>
          <cell r="C378">
            <v>300</v>
          </cell>
          <cell r="D378" t="str">
            <v>M</v>
          </cell>
          <cell r="E378">
            <v>80</v>
          </cell>
          <cell r="F378">
            <v>24000</v>
          </cell>
          <cell r="H378">
            <v>0</v>
          </cell>
          <cell r="I378">
            <v>0.20599999999999999</v>
          </cell>
          <cell r="J378">
            <v>62</v>
          </cell>
          <cell r="K378">
            <v>80</v>
          </cell>
          <cell r="L378">
            <v>24000</v>
          </cell>
          <cell r="M378">
            <v>0</v>
          </cell>
          <cell r="N378">
            <v>0</v>
          </cell>
          <cell r="O378">
            <v>58</v>
          </cell>
          <cell r="P378">
            <v>17400</v>
          </cell>
        </row>
        <row r="379">
          <cell r="A379">
            <v>4</v>
          </cell>
          <cell r="B379" t="str">
            <v xml:space="preserve"> DITTO, BUT 50 PAIRS</v>
          </cell>
          <cell r="C379">
            <v>400</v>
          </cell>
          <cell r="D379" t="str">
            <v>M</v>
          </cell>
          <cell r="E379">
            <v>133</v>
          </cell>
          <cell r="F379">
            <v>53200</v>
          </cell>
          <cell r="H379">
            <v>0</v>
          </cell>
          <cell r="I379">
            <v>0.25600000000000001</v>
          </cell>
          <cell r="J379">
            <v>102</v>
          </cell>
          <cell r="K379">
            <v>133</v>
          </cell>
          <cell r="L379">
            <v>53200</v>
          </cell>
          <cell r="M379">
            <v>0</v>
          </cell>
          <cell r="N379">
            <v>0</v>
          </cell>
          <cell r="O379">
            <v>72</v>
          </cell>
          <cell r="P379">
            <v>28800</v>
          </cell>
        </row>
        <row r="380">
          <cell r="A380">
            <v>5</v>
          </cell>
          <cell r="B380" t="str">
            <v xml:space="preserve"> MISCELLANEOUS MATERIALS</v>
          </cell>
          <cell r="C380">
            <v>1</v>
          </cell>
          <cell r="D380" t="str">
            <v>LOT</v>
          </cell>
          <cell r="E380">
            <v>10290</v>
          </cell>
          <cell r="F380">
            <v>10290</v>
          </cell>
          <cell r="H380">
            <v>0</v>
          </cell>
          <cell r="I380">
            <v>105</v>
          </cell>
          <cell r="J380">
            <v>105</v>
          </cell>
          <cell r="K380">
            <v>10290</v>
          </cell>
          <cell r="L380">
            <v>10290</v>
          </cell>
          <cell r="M380">
            <v>0</v>
          </cell>
          <cell r="N380">
            <v>0</v>
          </cell>
          <cell r="O380">
            <v>29400</v>
          </cell>
          <cell r="P380">
            <v>29400</v>
          </cell>
        </row>
        <row r="381">
          <cell r="B381" t="str">
            <v>SUB-TOTAL : (E)</v>
          </cell>
          <cell r="F381">
            <v>493190</v>
          </cell>
          <cell r="H381">
            <v>0</v>
          </cell>
          <cell r="J381">
            <v>452</v>
          </cell>
          <cell r="K381">
            <v>0</v>
          </cell>
          <cell r="L381">
            <v>493190</v>
          </cell>
          <cell r="M381">
            <v>0</v>
          </cell>
          <cell r="N381">
            <v>0</v>
          </cell>
          <cell r="O381">
            <v>0</v>
          </cell>
          <cell r="P381">
            <v>126500</v>
          </cell>
        </row>
        <row r="382">
          <cell r="F382">
            <v>0</v>
          </cell>
          <cell r="H382">
            <v>0</v>
          </cell>
          <cell r="J382">
            <v>0</v>
          </cell>
          <cell r="K382">
            <v>0</v>
          </cell>
          <cell r="L382">
            <v>0</v>
          </cell>
          <cell r="M382">
            <v>0</v>
          </cell>
          <cell r="N382">
            <v>0</v>
          </cell>
          <cell r="O382">
            <v>0</v>
          </cell>
          <cell r="P382">
            <v>0</v>
          </cell>
        </row>
        <row r="383">
          <cell r="F383">
            <v>0</v>
          </cell>
          <cell r="H383">
            <v>0</v>
          </cell>
          <cell r="J383">
            <v>0</v>
          </cell>
          <cell r="K383">
            <v>0</v>
          </cell>
          <cell r="L383">
            <v>0</v>
          </cell>
          <cell r="M383">
            <v>0</v>
          </cell>
          <cell r="N383">
            <v>0</v>
          </cell>
          <cell r="O383">
            <v>0</v>
          </cell>
          <cell r="P383">
            <v>0</v>
          </cell>
        </row>
        <row r="384">
          <cell r="A384" t="str">
            <v>F.</v>
          </cell>
          <cell r="B384" t="str">
            <v>PAGE/INTERCOMMUNICATION SYSTEM</v>
          </cell>
          <cell r="D384" t="str">
            <v xml:space="preserve"> </v>
          </cell>
          <cell r="F384">
            <v>0</v>
          </cell>
          <cell r="H384">
            <v>0</v>
          </cell>
          <cell r="J384">
            <v>0</v>
          </cell>
          <cell r="K384">
            <v>0</v>
          </cell>
          <cell r="L384">
            <v>0</v>
          </cell>
          <cell r="M384">
            <v>0</v>
          </cell>
          <cell r="N384">
            <v>0</v>
          </cell>
          <cell r="O384">
            <v>0</v>
          </cell>
          <cell r="P384">
            <v>0</v>
          </cell>
        </row>
        <row r="385">
          <cell r="A385">
            <v>1</v>
          </cell>
          <cell r="B385" t="str">
            <v xml:space="preserve"> PAGE/PARTY STATION, SINGLE PARTY LINE</v>
          </cell>
          <cell r="C385">
            <v>10</v>
          </cell>
          <cell r="D385" t="str">
            <v>SET</v>
          </cell>
          <cell r="E385">
            <v>19700</v>
          </cell>
          <cell r="F385">
            <v>197000</v>
          </cell>
          <cell r="H385">
            <v>0</v>
          </cell>
          <cell r="I385">
            <v>12</v>
          </cell>
          <cell r="J385">
            <v>120</v>
          </cell>
          <cell r="K385">
            <v>19700</v>
          </cell>
          <cell r="L385">
            <v>197000</v>
          </cell>
          <cell r="M385">
            <v>0</v>
          </cell>
          <cell r="N385">
            <v>0</v>
          </cell>
          <cell r="O385">
            <v>3360</v>
          </cell>
          <cell r="P385">
            <v>33600</v>
          </cell>
        </row>
        <row r="386">
          <cell r="B386" t="str">
            <v xml:space="preserve"> CL.1, DIV.2 , G-T #730-104 OR EQUAL</v>
          </cell>
          <cell r="F386">
            <v>0</v>
          </cell>
          <cell r="H386">
            <v>0</v>
          </cell>
          <cell r="J386">
            <v>0</v>
          </cell>
          <cell r="K386">
            <v>0</v>
          </cell>
          <cell r="L386">
            <v>0</v>
          </cell>
          <cell r="M386">
            <v>0</v>
          </cell>
          <cell r="N386">
            <v>0</v>
          </cell>
          <cell r="O386">
            <v>0</v>
          </cell>
          <cell r="P386">
            <v>0</v>
          </cell>
        </row>
        <row r="387">
          <cell r="A387">
            <v>2</v>
          </cell>
          <cell r="B387" t="str">
            <v>DITTO, BUT INDOOR TYPE, G-T #700-102</v>
          </cell>
          <cell r="C387">
            <v>4</v>
          </cell>
          <cell r="D387" t="str">
            <v>SET</v>
          </cell>
          <cell r="E387">
            <v>17800</v>
          </cell>
          <cell r="F387">
            <v>71200</v>
          </cell>
          <cell r="H387">
            <v>0</v>
          </cell>
          <cell r="I387">
            <v>10</v>
          </cell>
          <cell r="J387">
            <v>40</v>
          </cell>
          <cell r="K387">
            <v>17800</v>
          </cell>
          <cell r="L387">
            <v>71200</v>
          </cell>
          <cell r="M387">
            <v>0</v>
          </cell>
          <cell r="N387">
            <v>0</v>
          </cell>
          <cell r="O387">
            <v>2800</v>
          </cell>
          <cell r="P387">
            <v>11200</v>
          </cell>
        </row>
        <row r="388">
          <cell r="A388">
            <v>3</v>
          </cell>
          <cell r="B388" t="str">
            <v>DITTO, BUT DESK MOUNT. TYPE, G-T #726-102</v>
          </cell>
          <cell r="C388">
            <v>1</v>
          </cell>
          <cell r="D388" t="str">
            <v>SET</v>
          </cell>
          <cell r="E388">
            <v>23000</v>
          </cell>
          <cell r="F388">
            <v>23000</v>
          </cell>
          <cell r="H388">
            <v>0</v>
          </cell>
          <cell r="I388">
            <v>12</v>
          </cell>
          <cell r="J388">
            <v>12</v>
          </cell>
          <cell r="K388">
            <v>23000</v>
          </cell>
          <cell r="L388">
            <v>23000</v>
          </cell>
          <cell r="M388">
            <v>0</v>
          </cell>
          <cell r="N388">
            <v>0</v>
          </cell>
          <cell r="O388">
            <v>3360</v>
          </cell>
          <cell r="P388">
            <v>3360</v>
          </cell>
        </row>
        <row r="389">
          <cell r="A389">
            <v>4</v>
          </cell>
          <cell r="B389" t="str">
            <v xml:space="preserve"> HOT DIPPED GALVANIZED STEEL SUPPORT, C100</v>
          </cell>
          <cell r="C389">
            <v>10</v>
          </cell>
          <cell r="D389" t="str">
            <v>SET</v>
          </cell>
          <cell r="E389">
            <v>1500</v>
          </cell>
          <cell r="F389">
            <v>15000</v>
          </cell>
          <cell r="H389">
            <v>0</v>
          </cell>
          <cell r="I389">
            <v>4</v>
          </cell>
          <cell r="J389">
            <v>40</v>
          </cell>
          <cell r="K389">
            <v>1500</v>
          </cell>
          <cell r="L389">
            <v>15000</v>
          </cell>
          <cell r="M389">
            <v>0</v>
          </cell>
          <cell r="N389">
            <v>0</v>
          </cell>
          <cell r="O389">
            <v>1120</v>
          </cell>
          <cell r="P389">
            <v>11200</v>
          </cell>
        </row>
        <row r="390">
          <cell r="B390" t="str">
            <v>3M LG., W/ SMALL FOUNDATION</v>
          </cell>
          <cell r="F390">
            <v>0</v>
          </cell>
          <cell r="H390">
            <v>0</v>
          </cell>
          <cell r="J390">
            <v>0</v>
          </cell>
          <cell r="K390">
            <v>0</v>
          </cell>
          <cell r="L390">
            <v>0</v>
          </cell>
          <cell r="M390">
            <v>0</v>
          </cell>
          <cell r="N390">
            <v>0</v>
          </cell>
          <cell r="O390">
            <v>0</v>
          </cell>
          <cell r="P390">
            <v>0</v>
          </cell>
        </row>
        <row r="391">
          <cell r="A391">
            <v>5</v>
          </cell>
          <cell r="B391" t="str">
            <v xml:space="preserve"> DRIVER, W/MOLDED LEXAN FOR DIV. 2 G-T </v>
          </cell>
          <cell r="C391">
            <v>16</v>
          </cell>
          <cell r="D391" t="str">
            <v>SET</v>
          </cell>
          <cell r="E391">
            <v>3300</v>
          </cell>
          <cell r="F391">
            <v>52800</v>
          </cell>
          <cell r="H391">
            <v>0</v>
          </cell>
          <cell r="I391">
            <v>3</v>
          </cell>
          <cell r="J391">
            <v>48</v>
          </cell>
          <cell r="K391">
            <v>3300</v>
          </cell>
          <cell r="L391">
            <v>52800</v>
          </cell>
          <cell r="M391">
            <v>0</v>
          </cell>
          <cell r="N391">
            <v>0</v>
          </cell>
          <cell r="O391">
            <v>840</v>
          </cell>
          <cell r="P391">
            <v>13440</v>
          </cell>
        </row>
        <row r="392">
          <cell r="B392" t="str">
            <v xml:space="preserve"> 13314-001</v>
          </cell>
          <cell r="F392">
            <v>0</v>
          </cell>
          <cell r="H392">
            <v>0</v>
          </cell>
          <cell r="J392">
            <v>0</v>
          </cell>
          <cell r="K392">
            <v>0</v>
          </cell>
          <cell r="L392">
            <v>0</v>
          </cell>
          <cell r="M392">
            <v>0</v>
          </cell>
          <cell r="N392">
            <v>0</v>
          </cell>
          <cell r="O392">
            <v>0</v>
          </cell>
          <cell r="P392">
            <v>0</v>
          </cell>
        </row>
        <row r="393">
          <cell r="A393">
            <v>6</v>
          </cell>
          <cell r="B393" t="str">
            <v xml:space="preserve"> HORN SPEAKER W/ EPOXY G-T 13304-002</v>
          </cell>
          <cell r="C393">
            <v>16</v>
          </cell>
          <cell r="D393" t="str">
            <v>SET</v>
          </cell>
          <cell r="E393">
            <v>6000</v>
          </cell>
          <cell r="F393">
            <v>96000</v>
          </cell>
          <cell r="H393">
            <v>0</v>
          </cell>
          <cell r="I393">
            <v>5</v>
          </cell>
          <cell r="J393">
            <v>80</v>
          </cell>
          <cell r="K393">
            <v>6000</v>
          </cell>
          <cell r="L393">
            <v>96000</v>
          </cell>
          <cell r="M393">
            <v>0</v>
          </cell>
          <cell r="N393">
            <v>0</v>
          </cell>
          <cell r="O393">
            <v>1400</v>
          </cell>
          <cell r="P393">
            <v>22400</v>
          </cell>
        </row>
        <row r="394">
          <cell r="B394" t="str">
            <v xml:space="preserve"> MOUNTING ASSEMBLY, G-T 411A1SPL</v>
          </cell>
          <cell r="F394">
            <v>0</v>
          </cell>
          <cell r="H394">
            <v>0</v>
          </cell>
          <cell r="J394">
            <v>0</v>
          </cell>
          <cell r="K394">
            <v>0</v>
          </cell>
          <cell r="L394">
            <v>0</v>
          </cell>
          <cell r="M394">
            <v>0</v>
          </cell>
          <cell r="N394">
            <v>0</v>
          </cell>
          <cell r="O394">
            <v>0</v>
          </cell>
          <cell r="P394">
            <v>0</v>
          </cell>
        </row>
        <row r="395">
          <cell r="A395">
            <v>7</v>
          </cell>
          <cell r="B395" t="str">
            <v xml:space="preserve"> LINE BALANCE UNIT G-T 305-001 OR EQUAL</v>
          </cell>
          <cell r="C395">
            <v>1</v>
          </cell>
          <cell r="D395" t="str">
            <v>SET</v>
          </cell>
          <cell r="E395">
            <v>2600</v>
          </cell>
          <cell r="F395">
            <v>2600</v>
          </cell>
          <cell r="H395">
            <v>0</v>
          </cell>
          <cell r="I395">
            <v>4</v>
          </cell>
          <cell r="J395">
            <v>4</v>
          </cell>
          <cell r="K395">
            <v>2600</v>
          </cell>
          <cell r="L395">
            <v>2600</v>
          </cell>
          <cell r="M395">
            <v>0</v>
          </cell>
          <cell r="N395">
            <v>0</v>
          </cell>
          <cell r="O395">
            <v>1120</v>
          </cell>
          <cell r="P395">
            <v>1120</v>
          </cell>
        </row>
        <row r="396">
          <cell r="A396">
            <v>8</v>
          </cell>
          <cell r="B396" t="str">
            <v xml:space="preserve"> CABLE, OVERALL &amp; INDIVIDUAL SHIELDED, 300V 8P-#14AWG</v>
          </cell>
          <cell r="C396">
            <v>2700</v>
          </cell>
          <cell r="D396" t="str">
            <v>M</v>
          </cell>
          <cell r="E396">
            <v>137</v>
          </cell>
          <cell r="F396">
            <v>369900</v>
          </cell>
          <cell r="H396">
            <v>0</v>
          </cell>
          <cell r="I396">
            <v>0.17799999999999999</v>
          </cell>
          <cell r="J396">
            <v>481</v>
          </cell>
          <cell r="K396">
            <v>137</v>
          </cell>
          <cell r="L396">
            <v>369900</v>
          </cell>
          <cell r="M396">
            <v>0</v>
          </cell>
          <cell r="N396">
            <v>0</v>
          </cell>
          <cell r="O396">
            <v>50</v>
          </cell>
          <cell r="P396">
            <v>135000</v>
          </cell>
        </row>
        <row r="397">
          <cell r="A397">
            <v>9</v>
          </cell>
          <cell r="B397" t="str">
            <v>XLPE CABLE 3C-3.5SQ.MM</v>
          </cell>
          <cell r="C397">
            <v>2800</v>
          </cell>
          <cell r="D397" t="str">
            <v>M</v>
          </cell>
          <cell r="E397">
            <v>15</v>
          </cell>
          <cell r="F397">
            <v>42000</v>
          </cell>
          <cell r="H397">
            <v>0</v>
          </cell>
          <cell r="I397">
            <v>7.9000000000000001E-2</v>
          </cell>
          <cell r="J397">
            <v>221</v>
          </cell>
          <cell r="K397">
            <v>15</v>
          </cell>
          <cell r="L397">
            <v>42000</v>
          </cell>
          <cell r="M397">
            <v>0</v>
          </cell>
          <cell r="N397">
            <v>0</v>
          </cell>
          <cell r="O397">
            <v>22</v>
          </cell>
          <cell r="P397">
            <v>61600</v>
          </cell>
        </row>
        <row r="398">
          <cell r="A398">
            <v>10</v>
          </cell>
          <cell r="B398" t="str">
            <v xml:space="preserve"> SPEAKER CABLE, TWISTED PAIR #18 AWG</v>
          </cell>
          <cell r="C398">
            <v>50</v>
          </cell>
          <cell r="D398" t="str">
            <v>M</v>
          </cell>
          <cell r="E398">
            <v>12</v>
          </cell>
          <cell r="F398">
            <v>600</v>
          </cell>
          <cell r="H398">
            <v>0</v>
          </cell>
          <cell r="I398">
            <v>6.2E-2</v>
          </cell>
          <cell r="J398">
            <v>3</v>
          </cell>
          <cell r="K398">
            <v>12</v>
          </cell>
          <cell r="L398">
            <v>600</v>
          </cell>
          <cell r="M398">
            <v>0</v>
          </cell>
          <cell r="N398">
            <v>0</v>
          </cell>
          <cell r="O398">
            <v>17</v>
          </cell>
          <cell r="P398">
            <v>850</v>
          </cell>
        </row>
        <row r="399">
          <cell r="A399">
            <v>11</v>
          </cell>
          <cell r="B399" t="str">
            <v>RSG CONDUIT, 2"</v>
          </cell>
          <cell r="C399">
            <v>100</v>
          </cell>
          <cell r="D399" t="str">
            <v>M</v>
          </cell>
          <cell r="E399">
            <v>105</v>
          </cell>
          <cell r="F399">
            <v>10500</v>
          </cell>
          <cell r="H399">
            <v>0</v>
          </cell>
          <cell r="I399">
            <v>0.98</v>
          </cell>
          <cell r="J399">
            <v>98</v>
          </cell>
          <cell r="K399">
            <v>105</v>
          </cell>
          <cell r="L399">
            <v>10500</v>
          </cell>
          <cell r="M399">
            <v>0</v>
          </cell>
          <cell r="N399">
            <v>0</v>
          </cell>
          <cell r="O399">
            <v>274</v>
          </cell>
          <cell r="P399">
            <v>27400</v>
          </cell>
        </row>
        <row r="400">
          <cell r="A400">
            <v>12</v>
          </cell>
          <cell r="B400" t="str">
            <v>DITTO BUT 3/4"</v>
          </cell>
          <cell r="C400">
            <v>50</v>
          </cell>
          <cell r="D400" t="str">
            <v>M</v>
          </cell>
          <cell r="E400">
            <v>32</v>
          </cell>
          <cell r="F400">
            <v>1600</v>
          </cell>
          <cell r="H400">
            <v>0</v>
          </cell>
          <cell r="I400">
            <v>0.47</v>
          </cell>
          <cell r="J400">
            <v>24</v>
          </cell>
          <cell r="K400">
            <v>32</v>
          </cell>
          <cell r="L400">
            <v>1600</v>
          </cell>
          <cell r="M400">
            <v>0</v>
          </cell>
          <cell r="N400">
            <v>0</v>
          </cell>
          <cell r="O400">
            <v>132</v>
          </cell>
          <cell r="P400">
            <v>6600</v>
          </cell>
        </row>
        <row r="401">
          <cell r="A401">
            <v>13</v>
          </cell>
          <cell r="B401" t="str">
            <v xml:space="preserve"> FLEXIBLE CONDUIT, 3/4", 1M LG, W/ TWO CONNECTOR</v>
          </cell>
          <cell r="C401">
            <v>16</v>
          </cell>
          <cell r="D401" t="str">
            <v>M</v>
          </cell>
          <cell r="E401">
            <v>81</v>
          </cell>
          <cell r="F401">
            <v>1296</v>
          </cell>
          <cell r="H401">
            <v>0</v>
          </cell>
          <cell r="I401">
            <v>0.56000000000000005</v>
          </cell>
          <cell r="J401">
            <v>9</v>
          </cell>
          <cell r="K401">
            <v>81</v>
          </cell>
          <cell r="L401">
            <v>1296</v>
          </cell>
          <cell r="M401">
            <v>0</v>
          </cell>
          <cell r="N401">
            <v>0</v>
          </cell>
          <cell r="O401">
            <v>157</v>
          </cell>
          <cell r="P401">
            <v>2512</v>
          </cell>
        </row>
        <row r="402">
          <cell r="A402">
            <v>14</v>
          </cell>
          <cell r="B402" t="str">
            <v xml:space="preserve"> HOT DIPPED GALVANIZED CONDUIT FITTING, UNION,</v>
          </cell>
          <cell r="C402">
            <v>1</v>
          </cell>
          <cell r="D402" t="str">
            <v>LOT</v>
          </cell>
          <cell r="E402">
            <v>36300</v>
          </cell>
          <cell r="F402">
            <v>36300</v>
          </cell>
          <cell r="H402">
            <v>0</v>
          </cell>
          <cell r="I402">
            <v>61</v>
          </cell>
          <cell r="J402">
            <v>61</v>
          </cell>
          <cell r="K402">
            <v>36300</v>
          </cell>
          <cell r="L402">
            <v>36300</v>
          </cell>
          <cell r="M402">
            <v>0</v>
          </cell>
          <cell r="N402">
            <v>0</v>
          </cell>
          <cell r="O402">
            <v>17080</v>
          </cell>
          <cell r="P402">
            <v>17080</v>
          </cell>
        </row>
        <row r="403">
          <cell r="B403" t="str">
            <v>SEALING FITTING</v>
          </cell>
          <cell r="F403">
            <v>0</v>
          </cell>
          <cell r="H403">
            <v>0</v>
          </cell>
          <cell r="J403">
            <v>0</v>
          </cell>
          <cell r="K403">
            <v>0</v>
          </cell>
          <cell r="L403">
            <v>0</v>
          </cell>
          <cell r="M403">
            <v>0</v>
          </cell>
          <cell r="N403">
            <v>0</v>
          </cell>
          <cell r="O403">
            <v>0</v>
          </cell>
          <cell r="P403">
            <v>0</v>
          </cell>
        </row>
        <row r="404">
          <cell r="A404">
            <v>15</v>
          </cell>
          <cell r="B404" t="str">
            <v>HOT DIPPED GALVALNIZED STEEL U-CHANNEL 41x41x2.0t</v>
          </cell>
          <cell r="C404">
            <v>15</v>
          </cell>
          <cell r="D404" t="str">
            <v>M</v>
          </cell>
          <cell r="E404">
            <v>82</v>
          </cell>
          <cell r="F404">
            <v>1230</v>
          </cell>
          <cell r="H404">
            <v>0</v>
          </cell>
          <cell r="I404">
            <v>0.40699999999999997</v>
          </cell>
          <cell r="J404">
            <v>6</v>
          </cell>
          <cell r="K404">
            <v>82</v>
          </cell>
          <cell r="L404">
            <v>1230</v>
          </cell>
          <cell r="M404">
            <v>0</v>
          </cell>
          <cell r="N404">
            <v>0</v>
          </cell>
          <cell r="O404">
            <v>114</v>
          </cell>
          <cell r="P404">
            <v>1710</v>
          </cell>
        </row>
        <row r="405">
          <cell r="A405">
            <v>16</v>
          </cell>
          <cell r="B405" t="str">
            <v>VHF PORTABLE MARINE BAND EXP-PROOF WALKY-TALKY</v>
          </cell>
          <cell r="C405">
            <v>2</v>
          </cell>
          <cell r="D405" t="str">
            <v>SET</v>
          </cell>
          <cell r="E405">
            <v>20000</v>
          </cell>
          <cell r="F405">
            <v>40000</v>
          </cell>
          <cell r="H405">
            <v>0</v>
          </cell>
          <cell r="J405">
            <v>0</v>
          </cell>
          <cell r="K405">
            <v>20000</v>
          </cell>
          <cell r="L405">
            <v>40000</v>
          </cell>
          <cell r="M405">
            <v>0</v>
          </cell>
          <cell r="N405">
            <v>0</v>
          </cell>
          <cell r="O405">
            <v>0</v>
          </cell>
          <cell r="P405">
            <v>0</v>
          </cell>
        </row>
        <row r="406">
          <cell r="A406">
            <v>17</v>
          </cell>
          <cell r="B406" t="str">
            <v xml:space="preserve"> MISCELLANEOUS MATERIALS </v>
          </cell>
          <cell r="C406">
            <v>1</v>
          </cell>
          <cell r="D406" t="str">
            <v>LOT</v>
          </cell>
          <cell r="E406">
            <v>48051.3</v>
          </cell>
          <cell r="F406">
            <v>48051</v>
          </cell>
          <cell r="H406">
            <v>0</v>
          </cell>
          <cell r="I406">
            <v>62.35</v>
          </cell>
          <cell r="J406">
            <v>62</v>
          </cell>
          <cell r="K406">
            <v>48051</v>
          </cell>
          <cell r="L406">
            <v>48051</v>
          </cell>
          <cell r="M406">
            <v>0</v>
          </cell>
          <cell r="N406">
            <v>0</v>
          </cell>
          <cell r="O406">
            <v>17458</v>
          </cell>
          <cell r="P406">
            <v>17458</v>
          </cell>
        </row>
        <row r="407">
          <cell r="B407" t="str">
            <v>SUB-TOTAL : (F)</v>
          </cell>
          <cell r="F407">
            <v>1009077</v>
          </cell>
          <cell r="H407">
            <v>0</v>
          </cell>
          <cell r="J407">
            <v>1309</v>
          </cell>
          <cell r="K407">
            <v>0</v>
          </cell>
          <cell r="L407">
            <v>1009077</v>
          </cell>
          <cell r="M407">
            <v>0</v>
          </cell>
          <cell r="N407">
            <v>0</v>
          </cell>
          <cell r="O407">
            <v>0</v>
          </cell>
          <cell r="P407">
            <v>366530</v>
          </cell>
        </row>
        <row r="408">
          <cell r="F408">
            <v>0</v>
          </cell>
          <cell r="H408">
            <v>0</v>
          </cell>
          <cell r="J408">
            <v>0</v>
          </cell>
          <cell r="K408">
            <v>0</v>
          </cell>
          <cell r="L408">
            <v>0</v>
          </cell>
          <cell r="M408">
            <v>0</v>
          </cell>
          <cell r="N408">
            <v>0</v>
          </cell>
          <cell r="O408">
            <v>0</v>
          </cell>
          <cell r="P408">
            <v>0</v>
          </cell>
        </row>
        <row r="409">
          <cell r="F409">
            <v>0</v>
          </cell>
          <cell r="H409">
            <v>0</v>
          </cell>
          <cell r="J409">
            <v>0</v>
          </cell>
          <cell r="K409">
            <v>0</v>
          </cell>
          <cell r="L409">
            <v>0</v>
          </cell>
          <cell r="M409">
            <v>0</v>
          </cell>
          <cell r="N409">
            <v>0</v>
          </cell>
          <cell r="O409">
            <v>0</v>
          </cell>
          <cell r="P409">
            <v>0</v>
          </cell>
        </row>
        <row r="410">
          <cell r="A410" t="str">
            <v>G.</v>
          </cell>
          <cell r="B410" t="str">
            <v>CCTV SYSTEM</v>
          </cell>
          <cell r="D410" t="str">
            <v xml:space="preserve"> </v>
          </cell>
          <cell r="F410">
            <v>0</v>
          </cell>
          <cell r="H410">
            <v>0</v>
          </cell>
          <cell r="J410">
            <v>0</v>
          </cell>
          <cell r="K410">
            <v>0</v>
          </cell>
          <cell r="L410">
            <v>0</v>
          </cell>
          <cell r="M410">
            <v>0</v>
          </cell>
          <cell r="N410">
            <v>0</v>
          </cell>
          <cell r="O410">
            <v>0</v>
          </cell>
          <cell r="P410">
            <v>0</v>
          </cell>
        </row>
        <row r="411">
          <cell r="A411">
            <v>1</v>
          </cell>
          <cell r="B411" t="str">
            <v xml:space="preserve"> 20" BLACK-AND-WHITE VEDIO MONITOR,  </v>
          </cell>
          <cell r="C411">
            <v>1</v>
          </cell>
          <cell r="D411" t="str">
            <v>SET</v>
          </cell>
          <cell r="E411">
            <v>9450</v>
          </cell>
          <cell r="F411">
            <v>9450</v>
          </cell>
          <cell r="H411">
            <v>0</v>
          </cell>
          <cell r="I411">
            <v>4</v>
          </cell>
          <cell r="J411">
            <v>4</v>
          </cell>
          <cell r="K411">
            <v>9450</v>
          </cell>
          <cell r="L411">
            <v>9450</v>
          </cell>
          <cell r="M411">
            <v>0</v>
          </cell>
          <cell r="N411">
            <v>0</v>
          </cell>
          <cell r="O411">
            <v>1120</v>
          </cell>
          <cell r="P411">
            <v>1120</v>
          </cell>
        </row>
        <row r="412">
          <cell r="A412">
            <v>2</v>
          </cell>
          <cell r="B412" t="str">
            <v xml:space="preserve"> BLACK-AND-WHITE CAMERA,1/2 CCD</v>
          </cell>
          <cell r="C412">
            <v>6</v>
          </cell>
          <cell r="D412" t="str">
            <v>SET</v>
          </cell>
          <cell r="E412">
            <v>8100</v>
          </cell>
          <cell r="F412">
            <v>48600</v>
          </cell>
          <cell r="H412">
            <v>0</v>
          </cell>
          <cell r="I412">
            <v>8</v>
          </cell>
          <cell r="J412">
            <v>48</v>
          </cell>
          <cell r="K412">
            <v>8100</v>
          </cell>
          <cell r="L412">
            <v>48600</v>
          </cell>
          <cell r="M412">
            <v>0</v>
          </cell>
          <cell r="N412">
            <v>0</v>
          </cell>
          <cell r="O412">
            <v>2240</v>
          </cell>
          <cell r="P412">
            <v>13440</v>
          </cell>
        </row>
        <row r="413">
          <cell r="A413">
            <v>3</v>
          </cell>
          <cell r="B413" t="str">
            <v xml:space="preserve"> MOTORIZED LENS, 10X, AUTO IRIS/FOCUS</v>
          </cell>
          <cell r="C413">
            <v>2</v>
          </cell>
          <cell r="D413" t="str">
            <v>PCS</v>
          </cell>
          <cell r="E413">
            <v>18900</v>
          </cell>
          <cell r="F413">
            <v>37800</v>
          </cell>
          <cell r="H413">
            <v>0</v>
          </cell>
          <cell r="I413">
            <v>2</v>
          </cell>
          <cell r="J413">
            <v>4</v>
          </cell>
          <cell r="K413">
            <v>18900</v>
          </cell>
          <cell r="L413">
            <v>37800</v>
          </cell>
          <cell r="M413">
            <v>0</v>
          </cell>
          <cell r="N413">
            <v>0</v>
          </cell>
          <cell r="O413">
            <v>560</v>
          </cell>
          <cell r="P413">
            <v>1120</v>
          </cell>
        </row>
        <row r="414">
          <cell r="A414">
            <v>4</v>
          </cell>
          <cell r="B414" t="str">
            <v xml:space="preserve"> FIXED LENS, AUTO IRIS 16 mm, </v>
          </cell>
          <cell r="C414">
            <v>4</v>
          </cell>
          <cell r="D414" t="str">
            <v>PCS</v>
          </cell>
          <cell r="E414">
            <v>4050</v>
          </cell>
          <cell r="F414">
            <v>16200</v>
          </cell>
          <cell r="H414">
            <v>0</v>
          </cell>
          <cell r="I414">
            <v>2</v>
          </cell>
          <cell r="J414">
            <v>8</v>
          </cell>
          <cell r="K414">
            <v>4050</v>
          </cell>
          <cell r="L414">
            <v>16200</v>
          </cell>
          <cell r="M414">
            <v>0</v>
          </cell>
          <cell r="N414">
            <v>0</v>
          </cell>
          <cell r="O414">
            <v>560</v>
          </cell>
          <cell r="P414">
            <v>2240</v>
          </cell>
        </row>
        <row r="415">
          <cell r="A415">
            <v>5</v>
          </cell>
          <cell r="B415" t="str">
            <v xml:space="preserve"> EXPLOSION ROOF HOUSING</v>
          </cell>
          <cell r="C415">
            <v>4</v>
          </cell>
          <cell r="D415" t="str">
            <v>SET</v>
          </cell>
          <cell r="E415">
            <v>148500</v>
          </cell>
          <cell r="F415">
            <v>594000</v>
          </cell>
          <cell r="H415">
            <v>0</v>
          </cell>
          <cell r="I415">
            <v>8</v>
          </cell>
          <cell r="J415">
            <v>32</v>
          </cell>
          <cell r="K415">
            <v>148500</v>
          </cell>
          <cell r="L415">
            <v>594000</v>
          </cell>
          <cell r="M415">
            <v>0</v>
          </cell>
          <cell r="N415">
            <v>0</v>
          </cell>
          <cell r="O415">
            <v>2240</v>
          </cell>
          <cell r="P415">
            <v>8960</v>
          </cell>
        </row>
        <row r="416">
          <cell r="A416">
            <v>6</v>
          </cell>
          <cell r="B416" t="str">
            <v>WEATHER PROOF HOUSING</v>
          </cell>
          <cell r="C416">
            <v>2</v>
          </cell>
          <cell r="D416" t="str">
            <v>SET</v>
          </cell>
          <cell r="E416">
            <v>49500</v>
          </cell>
          <cell r="F416">
            <v>99000</v>
          </cell>
          <cell r="H416">
            <v>0</v>
          </cell>
          <cell r="I416">
            <v>6</v>
          </cell>
          <cell r="J416">
            <v>12</v>
          </cell>
          <cell r="K416">
            <v>49500</v>
          </cell>
          <cell r="L416">
            <v>99000</v>
          </cell>
          <cell r="M416">
            <v>0</v>
          </cell>
          <cell r="N416">
            <v>0</v>
          </cell>
          <cell r="O416">
            <v>1680</v>
          </cell>
          <cell r="P416">
            <v>3360</v>
          </cell>
        </row>
        <row r="417">
          <cell r="A417">
            <v>7</v>
          </cell>
          <cell r="B417" t="str">
            <v xml:space="preserve"> PAN-AND-TILT DRIVER, CL.1 DIV.2</v>
          </cell>
          <cell r="C417">
            <v>2</v>
          </cell>
          <cell r="D417" t="str">
            <v>SET</v>
          </cell>
          <cell r="E417">
            <v>148500</v>
          </cell>
          <cell r="F417">
            <v>297000</v>
          </cell>
          <cell r="H417">
            <v>0</v>
          </cell>
          <cell r="I417">
            <v>8</v>
          </cell>
          <cell r="J417">
            <v>16</v>
          </cell>
          <cell r="K417">
            <v>148500</v>
          </cell>
          <cell r="L417">
            <v>297000</v>
          </cell>
          <cell r="M417">
            <v>0</v>
          </cell>
          <cell r="N417">
            <v>0</v>
          </cell>
          <cell r="O417">
            <v>2240</v>
          </cell>
          <cell r="P417">
            <v>4480</v>
          </cell>
        </row>
        <row r="418">
          <cell r="A418">
            <v>8</v>
          </cell>
          <cell r="B418" t="str">
            <v>24 hr  VCR</v>
          </cell>
          <cell r="C418">
            <v>1</v>
          </cell>
          <cell r="D418" t="str">
            <v>SET</v>
          </cell>
          <cell r="E418">
            <v>45000</v>
          </cell>
          <cell r="F418">
            <v>45000</v>
          </cell>
          <cell r="H418">
            <v>0</v>
          </cell>
          <cell r="I418">
            <v>8</v>
          </cell>
          <cell r="J418">
            <v>8</v>
          </cell>
          <cell r="K418">
            <v>45000</v>
          </cell>
          <cell r="L418">
            <v>45000</v>
          </cell>
          <cell r="M418">
            <v>0</v>
          </cell>
          <cell r="N418">
            <v>0</v>
          </cell>
          <cell r="O418">
            <v>2240</v>
          </cell>
          <cell r="P418">
            <v>2240</v>
          </cell>
        </row>
        <row r="419">
          <cell r="A419">
            <v>9</v>
          </cell>
          <cell r="B419" t="str">
            <v>CONTROL SIGNAL DISTRIBUTION UNIT, 5 CHANNEL</v>
          </cell>
          <cell r="C419">
            <v>1</v>
          </cell>
          <cell r="D419" t="str">
            <v>SET</v>
          </cell>
          <cell r="E419">
            <v>45000</v>
          </cell>
          <cell r="F419">
            <v>45000</v>
          </cell>
          <cell r="H419">
            <v>0</v>
          </cell>
          <cell r="I419">
            <v>8</v>
          </cell>
          <cell r="J419">
            <v>8</v>
          </cell>
          <cell r="K419">
            <v>45000</v>
          </cell>
          <cell r="L419">
            <v>45000</v>
          </cell>
          <cell r="M419">
            <v>0</v>
          </cell>
          <cell r="N419">
            <v>0</v>
          </cell>
          <cell r="O419">
            <v>2240</v>
          </cell>
          <cell r="P419">
            <v>2240</v>
          </cell>
        </row>
        <row r="420">
          <cell r="A420">
            <v>10</v>
          </cell>
          <cell r="B420" t="str">
            <v>VEDIO MULTIPLEXER, 9-CHANNEL</v>
          </cell>
          <cell r="C420">
            <v>1</v>
          </cell>
          <cell r="D420" t="str">
            <v>SET</v>
          </cell>
          <cell r="E420">
            <v>32000</v>
          </cell>
          <cell r="F420">
            <v>32000</v>
          </cell>
          <cell r="H420">
            <v>0</v>
          </cell>
          <cell r="I420">
            <v>20</v>
          </cell>
          <cell r="J420">
            <v>20</v>
          </cell>
          <cell r="K420">
            <v>32000</v>
          </cell>
          <cell r="L420">
            <v>32000</v>
          </cell>
          <cell r="M420">
            <v>0</v>
          </cell>
          <cell r="N420">
            <v>0</v>
          </cell>
          <cell r="O420">
            <v>5600</v>
          </cell>
          <cell r="P420">
            <v>5600</v>
          </cell>
        </row>
        <row r="421">
          <cell r="A421">
            <v>11</v>
          </cell>
          <cell r="B421" t="str">
            <v xml:space="preserve"> VIDEO COXIAL CABLE, PWC 7C2V OR EQUAL</v>
          </cell>
          <cell r="C421">
            <v>2000</v>
          </cell>
          <cell r="D421" t="str">
            <v>M</v>
          </cell>
          <cell r="E421">
            <v>16</v>
          </cell>
          <cell r="F421">
            <v>32000</v>
          </cell>
          <cell r="H421">
            <v>0</v>
          </cell>
          <cell r="I421">
            <v>0.1</v>
          </cell>
          <cell r="J421">
            <v>200</v>
          </cell>
          <cell r="K421">
            <v>16</v>
          </cell>
          <cell r="L421">
            <v>32000</v>
          </cell>
          <cell r="M421">
            <v>0</v>
          </cell>
          <cell r="N421">
            <v>0</v>
          </cell>
          <cell r="O421">
            <v>28</v>
          </cell>
          <cell r="P421">
            <v>56000</v>
          </cell>
        </row>
        <row r="422">
          <cell r="A422">
            <v>12</v>
          </cell>
          <cell r="B422" t="str">
            <v>SHIELDED CABLE, 8C-1.25 SQ.MM</v>
          </cell>
          <cell r="C422">
            <v>1600</v>
          </cell>
          <cell r="D422" t="str">
            <v>M</v>
          </cell>
          <cell r="E422">
            <v>32</v>
          </cell>
          <cell r="F422">
            <v>51200</v>
          </cell>
          <cell r="H422">
            <v>0</v>
          </cell>
          <cell r="I422">
            <v>7.0000000000000007E-2</v>
          </cell>
          <cell r="J422">
            <v>112</v>
          </cell>
          <cell r="K422">
            <v>32</v>
          </cell>
          <cell r="L422">
            <v>51200</v>
          </cell>
          <cell r="M422">
            <v>0</v>
          </cell>
          <cell r="N422">
            <v>0</v>
          </cell>
          <cell r="O422">
            <v>20</v>
          </cell>
          <cell r="P422">
            <v>32000</v>
          </cell>
        </row>
        <row r="423">
          <cell r="A423">
            <v>13</v>
          </cell>
          <cell r="B423" t="str">
            <v>600V XLPE CABLE, 3C-5.5 SQ.MM</v>
          </cell>
          <cell r="C423">
            <v>1500</v>
          </cell>
          <cell r="D423" t="str">
            <v>M</v>
          </cell>
          <cell r="E423">
            <v>20</v>
          </cell>
          <cell r="F423">
            <v>30000</v>
          </cell>
          <cell r="H423">
            <v>0</v>
          </cell>
          <cell r="I423">
            <v>0.1</v>
          </cell>
          <cell r="J423">
            <v>150</v>
          </cell>
          <cell r="K423">
            <v>20</v>
          </cell>
          <cell r="L423">
            <v>30000</v>
          </cell>
          <cell r="M423">
            <v>0</v>
          </cell>
          <cell r="N423">
            <v>0</v>
          </cell>
          <cell r="O423">
            <v>28</v>
          </cell>
          <cell r="P423">
            <v>42000</v>
          </cell>
        </row>
        <row r="424">
          <cell r="A424">
            <v>14</v>
          </cell>
          <cell r="B424" t="str">
            <v xml:space="preserve">JUNCTION BOX CL.1 DIV.2 GROUP D 250L x 250W x 150D </v>
          </cell>
          <cell r="C424">
            <v>4</v>
          </cell>
          <cell r="D424" t="str">
            <v>SET</v>
          </cell>
          <cell r="E424">
            <v>8000</v>
          </cell>
          <cell r="F424">
            <v>32000</v>
          </cell>
          <cell r="H424">
            <v>0</v>
          </cell>
          <cell r="I424">
            <v>4</v>
          </cell>
          <cell r="J424">
            <v>16</v>
          </cell>
          <cell r="K424">
            <v>8000</v>
          </cell>
          <cell r="L424">
            <v>32000</v>
          </cell>
          <cell r="M424">
            <v>0</v>
          </cell>
          <cell r="N424">
            <v>0</v>
          </cell>
          <cell r="O424">
            <v>1120</v>
          </cell>
          <cell r="P424">
            <v>4480</v>
          </cell>
        </row>
        <row r="425">
          <cell r="A425">
            <v>15</v>
          </cell>
          <cell r="B425" t="str">
            <v xml:space="preserve">JUNCTION BOX WEATHER PROOF 250L x 250W x 150D </v>
          </cell>
          <cell r="C425">
            <v>2</v>
          </cell>
          <cell r="D425" t="str">
            <v>SET</v>
          </cell>
          <cell r="E425">
            <v>4000</v>
          </cell>
          <cell r="F425">
            <v>8000</v>
          </cell>
          <cell r="H425">
            <v>0</v>
          </cell>
          <cell r="I425">
            <v>3</v>
          </cell>
          <cell r="J425">
            <v>6</v>
          </cell>
          <cell r="K425">
            <v>4000</v>
          </cell>
          <cell r="L425">
            <v>8000</v>
          </cell>
          <cell r="M425">
            <v>0</v>
          </cell>
          <cell r="N425">
            <v>0</v>
          </cell>
          <cell r="O425">
            <v>840</v>
          </cell>
          <cell r="P425">
            <v>1680</v>
          </cell>
        </row>
        <row r="426">
          <cell r="A426">
            <v>16</v>
          </cell>
          <cell r="B426" t="str">
            <v>RSG CONDUIT, 2"</v>
          </cell>
          <cell r="C426">
            <v>250</v>
          </cell>
          <cell r="D426" t="str">
            <v>M</v>
          </cell>
          <cell r="E426">
            <v>105</v>
          </cell>
          <cell r="F426">
            <v>26250</v>
          </cell>
          <cell r="H426">
            <v>0</v>
          </cell>
          <cell r="I426">
            <v>0.98</v>
          </cell>
          <cell r="J426">
            <v>245</v>
          </cell>
          <cell r="K426">
            <v>105</v>
          </cell>
          <cell r="L426">
            <v>26250</v>
          </cell>
          <cell r="M426">
            <v>0</v>
          </cell>
          <cell r="N426">
            <v>0</v>
          </cell>
          <cell r="O426">
            <v>274</v>
          </cell>
          <cell r="P426">
            <v>68500</v>
          </cell>
        </row>
        <row r="427">
          <cell r="A427">
            <v>17</v>
          </cell>
          <cell r="B427" t="str">
            <v>HOT DIPPED GALVALNIZED STEEL U-CHANNEL 41x41x2.0t</v>
          </cell>
          <cell r="C427">
            <v>15</v>
          </cell>
          <cell r="D427" t="str">
            <v>M</v>
          </cell>
          <cell r="E427">
            <v>82</v>
          </cell>
          <cell r="F427">
            <v>1230</v>
          </cell>
          <cell r="H427">
            <v>0</v>
          </cell>
          <cell r="I427">
            <v>0.40699999999999997</v>
          </cell>
          <cell r="J427">
            <v>6</v>
          </cell>
          <cell r="K427">
            <v>82</v>
          </cell>
          <cell r="L427">
            <v>1230</v>
          </cell>
          <cell r="M427">
            <v>0</v>
          </cell>
          <cell r="N427">
            <v>0</v>
          </cell>
          <cell r="O427">
            <v>114</v>
          </cell>
          <cell r="P427">
            <v>1710</v>
          </cell>
        </row>
        <row r="428">
          <cell r="A428">
            <v>18</v>
          </cell>
          <cell r="B428" t="str">
            <v xml:space="preserve">CAMERA SUPPORT, HOT DIPPED GALVANIZED STEEL </v>
          </cell>
          <cell r="C428">
            <v>4</v>
          </cell>
          <cell r="D428" t="str">
            <v>SET</v>
          </cell>
          <cell r="E428">
            <v>8100</v>
          </cell>
          <cell r="F428">
            <v>32400</v>
          </cell>
          <cell r="H428">
            <v>0</v>
          </cell>
          <cell r="I428">
            <v>4</v>
          </cell>
          <cell r="J428">
            <v>16</v>
          </cell>
          <cell r="K428">
            <v>8100</v>
          </cell>
          <cell r="L428">
            <v>32400</v>
          </cell>
          <cell r="M428">
            <v>0</v>
          </cell>
          <cell r="N428">
            <v>0</v>
          </cell>
          <cell r="O428">
            <v>1120</v>
          </cell>
          <cell r="P428">
            <v>4480</v>
          </cell>
        </row>
        <row r="429">
          <cell r="B429" t="str">
            <v>W/ COATING, WALL MOUNT. TYPE</v>
          </cell>
          <cell r="F429">
            <v>0</v>
          </cell>
          <cell r="H429">
            <v>0</v>
          </cell>
          <cell r="J429">
            <v>0</v>
          </cell>
          <cell r="K429">
            <v>0</v>
          </cell>
          <cell r="L429">
            <v>0</v>
          </cell>
          <cell r="M429">
            <v>0</v>
          </cell>
          <cell r="N429">
            <v>0</v>
          </cell>
          <cell r="O429">
            <v>0</v>
          </cell>
          <cell r="P429">
            <v>0</v>
          </cell>
        </row>
        <row r="430">
          <cell r="A430">
            <v>19</v>
          </cell>
          <cell r="B430" t="str">
            <v xml:space="preserve">CAMERA SUPPORT, HOT DIPPED GALVANIZED STEEL </v>
          </cell>
          <cell r="C430">
            <v>6</v>
          </cell>
          <cell r="D430" t="str">
            <v>SET</v>
          </cell>
          <cell r="E430">
            <v>14000</v>
          </cell>
          <cell r="F430">
            <v>84000</v>
          </cell>
          <cell r="H430">
            <v>0</v>
          </cell>
          <cell r="I430">
            <v>20</v>
          </cell>
          <cell r="J430">
            <v>120</v>
          </cell>
          <cell r="K430">
            <v>14000</v>
          </cell>
          <cell r="L430">
            <v>84000</v>
          </cell>
          <cell r="M430">
            <v>0</v>
          </cell>
          <cell r="N430">
            <v>0</v>
          </cell>
          <cell r="O430">
            <v>5600</v>
          </cell>
          <cell r="P430">
            <v>33600</v>
          </cell>
        </row>
        <row r="431">
          <cell r="B431" t="str">
            <v>W/ COATING, STANCHION TYPE, 3M H , W/FUNDATION</v>
          </cell>
          <cell r="F431">
            <v>0</v>
          </cell>
          <cell r="H431">
            <v>0</v>
          </cell>
          <cell r="J431">
            <v>0</v>
          </cell>
          <cell r="K431">
            <v>0</v>
          </cell>
          <cell r="L431">
            <v>0</v>
          </cell>
          <cell r="M431">
            <v>0</v>
          </cell>
          <cell r="N431">
            <v>0</v>
          </cell>
          <cell r="O431">
            <v>0</v>
          </cell>
          <cell r="P431">
            <v>0</v>
          </cell>
        </row>
        <row r="432">
          <cell r="A432">
            <v>20</v>
          </cell>
          <cell r="B432" t="str">
            <v xml:space="preserve"> HOT DIPPED GALVANIZED CONDUIT FITTING, UNION,</v>
          </cell>
          <cell r="C432">
            <v>1</v>
          </cell>
          <cell r="D432" t="str">
            <v>LOT</v>
          </cell>
          <cell r="E432">
            <v>78750</v>
          </cell>
          <cell r="F432">
            <v>78750</v>
          </cell>
          <cell r="H432">
            <v>0</v>
          </cell>
          <cell r="I432">
            <v>122.5</v>
          </cell>
          <cell r="J432">
            <v>123</v>
          </cell>
          <cell r="K432">
            <v>78750</v>
          </cell>
          <cell r="L432">
            <v>78750</v>
          </cell>
          <cell r="M432">
            <v>0</v>
          </cell>
          <cell r="N432">
            <v>0</v>
          </cell>
          <cell r="O432">
            <v>34300</v>
          </cell>
          <cell r="P432">
            <v>34300</v>
          </cell>
        </row>
        <row r="433">
          <cell r="B433" t="str">
            <v>SEALING FITTING</v>
          </cell>
          <cell r="F433">
            <v>0</v>
          </cell>
          <cell r="H433">
            <v>0</v>
          </cell>
          <cell r="J433">
            <v>0</v>
          </cell>
          <cell r="K433">
            <v>0</v>
          </cell>
          <cell r="L433">
            <v>0</v>
          </cell>
          <cell r="M433">
            <v>0</v>
          </cell>
          <cell r="N433">
            <v>0</v>
          </cell>
          <cell r="O433">
            <v>0</v>
          </cell>
          <cell r="P433">
            <v>0</v>
          </cell>
        </row>
        <row r="434">
          <cell r="A434">
            <v>21</v>
          </cell>
          <cell r="B434" t="str">
            <v>FIBER OPTIC CABLE CABLE , 1 FIBERS</v>
          </cell>
          <cell r="C434">
            <v>1250</v>
          </cell>
          <cell r="D434" t="str">
            <v>M</v>
          </cell>
          <cell r="E434">
            <v>38</v>
          </cell>
          <cell r="F434">
            <v>47500</v>
          </cell>
          <cell r="H434">
            <v>0</v>
          </cell>
          <cell r="I434">
            <v>0.1</v>
          </cell>
          <cell r="J434">
            <v>125</v>
          </cell>
          <cell r="K434">
            <v>38</v>
          </cell>
          <cell r="L434">
            <v>47500</v>
          </cell>
          <cell r="M434">
            <v>0</v>
          </cell>
          <cell r="N434">
            <v>0</v>
          </cell>
          <cell r="O434">
            <v>28</v>
          </cell>
          <cell r="P434">
            <v>35000</v>
          </cell>
        </row>
        <row r="435">
          <cell r="A435">
            <v>22</v>
          </cell>
          <cell r="B435" t="str">
            <v>FIBER OPTIC VIDEO SIGNAL RECEIVER</v>
          </cell>
          <cell r="C435">
            <v>1</v>
          </cell>
          <cell r="D435" t="str">
            <v>SET</v>
          </cell>
          <cell r="E435">
            <v>23400</v>
          </cell>
          <cell r="F435">
            <v>23400</v>
          </cell>
          <cell r="H435">
            <v>0</v>
          </cell>
          <cell r="I435">
            <v>4</v>
          </cell>
          <cell r="J435">
            <v>4</v>
          </cell>
          <cell r="K435">
            <v>23400</v>
          </cell>
          <cell r="L435">
            <v>23400</v>
          </cell>
          <cell r="M435">
            <v>0</v>
          </cell>
          <cell r="N435">
            <v>0</v>
          </cell>
          <cell r="O435">
            <v>1120</v>
          </cell>
          <cell r="P435">
            <v>1120</v>
          </cell>
        </row>
        <row r="436">
          <cell r="A436">
            <v>23</v>
          </cell>
          <cell r="B436" t="str">
            <v>FIBER OPTIC VIDEO SIGNAL TRANSMITER</v>
          </cell>
          <cell r="C436">
            <v>1</v>
          </cell>
          <cell r="D436" t="str">
            <v>SET</v>
          </cell>
          <cell r="E436">
            <v>25200</v>
          </cell>
          <cell r="F436">
            <v>25200</v>
          </cell>
          <cell r="H436">
            <v>0</v>
          </cell>
          <cell r="I436">
            <v>4</v>
          </cell>
          <cell r="J436">
            <v>4</v>
          </cell>
          <cell r="K436">
            <v>25200</v>
          </cell>
          <cell r="L436">
            <v>25200</v>
          </cell>
          <cell r="M436">
            <v>0</v>
          </cell>
          <cell r="N436">
            <v>0</v>
          </cell>
          <cell r="O436">
            <v>1120</v>
          </cell>
          <cell r="P436">
            <v>1120</v>
          </cell>
        </row>
        <row r="437">
          <cell r="A437">
            <v>24</v>
          </cell>
          <cell r="B437" t="str">
            <v xml:space="preserve"> MISCELLANEOUS MATERIALS</v>
          </cell>
          <cell r="C437">
            <v>1</v>
          </cell>
          <cell r="D437" t="str">
            <v>LOT</v>
          </cell>
          <cell r="E437">
            <v>50879.4</v>
          </cell>
          <cell r="F437">
            <v>50879</v>
          </cell>
          <cell r="H437">
            <v>0</v>
          </cell>
          <cell r="I437">
            <v>38.61</v>
          </cell>
          <cell r="J437">
            <v>39</v>
          </cell>
          <cell r="K437">
            <v>50879</v>
          </cell>
          <cell r="L437">
            <v>50879</v>
          </cell>
          <cell r="M437">
            <v>0</v>
          </cell>
          <cell r="N437">
            <v>0</v>
          </cell>
          <cell r="O437">
            <v>10811</v>
          </cell>
          <cell r="P437">
            <v>10811</v>
          </cell>
        </row>
        <row r="438">
          <cell r="B438" t="str">
            <v>SUB-TOTAL : (G)</v>
          </cell>
          <cell r="F438">
            <v>1746859</v>
          </cell>
          <cell r="H438">
            <v>0</v>
          </cell>
          <cell r="J438">
            <v>1326</v>
          </cell>
          <cell r="K438">
            <v>0</v>
          </cell>
          <cell r="L438">
            <v>1746859</v>
          </cell>
          <cell r="M438">
            <v>0</v>
          </cell>
          <cell r="N438">
            <v>0</v>
          </cell>
          <cell r="O438">
            <v>0</v>
          </cell>
          <cell r="P438">
            <v>371601</v>
          </cell>
        </row>
        <row r="439">
          <cell r="F439">
            <v>0</v>
          </cell>
          <cell r="H439">
            <v>0</v>
          </cell>
          <cell r="J439">
            <v>0</v>
          </cell>
          <cell r="K439">
            <v>0</v>
          </cell>
          <cell r="L439">
            <v>0</v>
          </cell>
          <cell r="M439">
            <v>0</v>
          </cell>
          <cell r="N439">
            <v>0</v>
          </cell>
          <cell r="O439">
            <v>0</v>
          </cell>
          <cell r="P439">
            <v>0</v>
          </cell>
        </row>
        <row r="440">
          <cell r="F440">
            <v>0</v>
          </cell>
          <cell r="H440">
            <v>0</v>
          </cell>
          <cell r="J440">
            <v>0</v>
          </cell>
          <cell r="K440">
            <v>0</v>
          </cell>
          <cell r="L440">
            <v>0</v>
          </cell>
          <cell r="M440">
            <v>0</v>
          </cell>
          <cell r="N440">
            <v>0</v>
          </cell>
          <cell r="O440">
            <v>0</v>
          </cell>
          <cell r="P440">
            <v>0</v>
          </cell>
        </row>
        <row r="441">
          <cell r="A441" t="str">
            <v>H.</v>
          </cell>
          <cell r="B441" t="str">
            <v xml:space="preserve"> CATHODIC PROTECTION SYSTEM </v>
          </cell>
          <cell r="F441">
            <v>0</v>
          </cell>
          <cell r="H441">
            <v>0</v>
          </cell>
          <cell r="J441">
            <v>0</v>
          </cell>
          <cell r="K441">
            <v>0</v>
          </cell>
          <cell r="L441">
            <v>0</v>
          </cell>
          <cell r="M441">
            <v>0</v>
          </cell>
          <cell r="N441">
            <v>0</v>
          </cell>
          <cell r="O441">
            <v>0</v>
          </cell>
          <cell r="P441">
            <v>0</v>
          </cell>
        </row>
        <row r="442">
          <cell r="A442">
            <v>1</v>
          </cell>
          <cell r="B442" t="str">
            <v>40LB型鎂犧牲陽極</v>
          </cell>
          <cell r="C442">
            <v>60</v>
          </cell>
          <cell r="D442" t="str">
            <v>SET</v>
          </cell>
          <cell r="E442">
            <v>8000</v>
          </cell>
          <cell r="F442">
            <v>480000</v>
          </cell>
          <cell r="H442">
            <v>0</v>
          </cell>
          <cell r="I442">
            <v>9</v>
          </cell>
          <cell r="J442">
            <v>540</v>
          </cell>
          <cell r="K442">
            <v>8000</v>
          </cell>
          <cell r="L442">
            <v>480000</v>
          </cell>
          <cell r="M442">
            <v>0</v>
          </cell>
          <cell r="N442">
            <v>0</v>
          </cell>
          <cell r="O442">
            <v>2520</v>
          </cell>
          <cell r="P442">
            <v>151200</v>
          </cell>
        </row>
        <row r="443">
          <cell r="A443">
            <v>2</v>
          </cell>
          <cell r="B443" t="str">
            <v xml:space="preserve">ZINC GROUNDING CELL, FOUR ANODE UNITS WITH </v>
          </cell>
          <cell r="C443">
            <v>5</v>
          </cell>
          <cell r="D443" t="str">
            <v>SET</v>
          </cell>
          <cell r="E443">
            <v>14000</v>
          </cell>
          <cell r="F443">
            <v>70000</v>
          </cell>
          <cell r="H443">
            <v>0</v>
          </cell>
          <cell r="I443">
            <v>6</v>
          </cell>
          <cell r="J443">
            <v>30</v>
          </cell>
          <cell r="K443">
            <v>14000</v>
          </cell>
          <cell r="L443">
            <v>70000</v>
          </cell>
          <cell r="M443">
            <v>0</v>
          </cell>
          <cell r="N443">
            <v>0</v>
          </cell>
          <cell r="O443">
            <v>1680</v>
          </cell>
          <cell r="P443">
            <v>8400</v>
          </cell>
        </row>
        <row r="444">
          <cell r="B444" t="str">
            <v xml:space="preserve">10 FT OF #6 AWG HMWPE CATHODIC </v>
          </cell>
          <cell r="F444">
            <v>0</v>
          </cell>
          <cell r="H444">
            <v>0</v>
          </cell>
          <cell r="J444">
            <v>0</v>
          </cell>
          <cell r="K444">
            <v>0</v>
          </cell>
          <cell r="L444">
            <v>0</v>
          </cell>
          <cell r="M444">
            <v>0</v>
          </cell>
          <cell r="N444">
            <v>0</v>
          </cell>
          <cell r="O444">
            <v>0</v>
          </cell>
          <cell r="P444">
            <v>0</v>
          </cell>
        </row>
        <row r="445">
          <cell r="B445" t="str">
            <v xml:space="preserve">PROTECTION COPPER CABLE, 1.4"X1.4"X60" </v>
          </cell>
          <cell r="F445">
            <v>0</v>
          </cell>
          <cell r="H445">
            <v>0</v>
          </cell>
          <cell r="J445">
            <v>0</v>
          </cell>
          <cell r="K445">
            <v>0</v>
          </cell>
          <cell r="L445">
            <v>0</v>
          </cell>
          <cell r="M445">
            <v>0</v>
          </cell>
          <cell r="N445">
            <v>0</v>
          </cell>
          <cell r="O445">
            <v>0</v>
          </cell>
          <cell r="P445">
            <v>0</v>
          </cell>
        </row>
        <row r="446">
          <cell r="B446" t="str">
            <v>ANODE</v>
          </cell>
          <cell r="F446">
            <v>0</v>
          </cell>
          <cell r="H446">
            <v>0</v>
          </cell>
          <cell r="J446">
            <v>0</v>
          </cell>
          <cell r="K446">
            <v>0</v>
          </cell>
          <cell r="L446">
            <v>0</v>
          </cell>
          <cell r="M446">
            <v>0</v>
          </cell>
          <cell r="N446">
            <v>0</v>
          </cell>
          <cell r="O446">
            <v>0</v>
          </cell>
          <cell r="P446">
            <v>0</v>
          </cell>
        </row>
        <row r="447">
          <cell r="A447">
            <v>3</v>
          </cell>
          <cell r="B447" t="str">
            <v>TEST JUNTION BOX</v>
          </cell>
          <cell r="C447">
            <v>7</v>
          </cell>
          <cell r="D447" t="str">
            <v>SET</v>
          </cell>
          <cell r="E447">
            <v>3000</v>
          </cell>
          <cell r="F447">
            <v>21000</v>
          </cell>
          <cell r="H447">
            <v>0</v>
          </cell>
          <cell r="I447">
            <v>6</v>
          </cell>
          <cell r="J447">
            <v>42</v>
          </cell>
          <cell r="K447">
            <v>3000</v>
          </cell>
          <cell r="L447">
            <v>21000</v>
          </cell>
          <cell r="M447">
            <v>0</v>
          </cell>
          <cell r="N447">
            <v>0</v>
          </cell>
          <cell r="O447">
            <v>1680</v>
          </cell>
          <cell r="P447">
            <v>11760</v>
          </cell>
        </row>
        <row r="448">
          <cell r="A448">
            <v>4</v>
          </cell>
          <cell r="B448" t="str">
            <v>Cu-CuS04 REFERENCE ELECTRODE WITH 10 FT OF</v>
          </cell>
          <cell r="C448">
            <v>7</v>
          </cell>
          <cell r="D448" t="str">
            <v>SET</v>
          </cell>
          <cell r="E448">
            <v>4000</v>
          </cell>
          <cell r="F448">
            <v>28000</v>
          </cell>
          <cell r="H448">
            <v>0</v>
          </cell>
          <cell r="I448">
            <v>6</v>
          </cell>
          <cell r="J448">
            <v>42</v>
          </cell>
          <cell r="K448">
            <v>4000</v>
          </cell>
          <cell r="L448">
            <v>28000</v>
          </cell>
          <cell r="M448">
            <v>0</v>
          </cell>
          <cell r="N448">
            <v>0</v>
          </cell>
          <cell r="O448">
            <v>1680</v>
          </cell>
          <cell r="P448">
            <v>11760</v>
          </cell>
        </row>
        <row r="449">
          <cell r="B449" t="str">
            <v xml:space="preserve">#8 AWG HMWPE CATHODIC PROTECTION  </v>
          </cell>
        </row>
        <row r="450">
          <cell r="B450" t="str">
            <v xml:space="preserve">COPPER CABLE &amp; BACKFILL OVER SIZE   </v>
          </cell>
        </row>
        <row r="451">
          <cell r="B451" t="str">
            <v>6" D x 10" L, GLOBAL TYPE OR EQUAL</v>
          </cell>
        </row>
        <row r="452">
          <cell r="A452">
            <v>5</v>
          </cell>
          <cell r="B452" t="str">
            <v>#8AWG 1/C HALAR CABLE</v>
          </cell>
          <cell r="C452">
            <v>475</v>
          </cell>
          <cell r="D452" t="str">
            <v>M</v>
          </cell>
          <cell r="E452">
            <v>120</v>
          </cell>
          <cell r="F452">
            <v>57000</v>
          </cell>
          <cell r="H452">
            <v>0</v>
          </cell>
          <cell r="I452">
            <v>0.12</v>
          </cell>
          <cell r="J452">
            <v>57</v>
          </cell>
          <cell r="K452">
            <v>120</v>
          </cell>
          <cell r="L452">
            <v>57000</v>
          </cell>
          <cell r="M452">
            <v>0</v>
          </cell>
          <cell r="N452">
            <v>0</v>
          </cell>
          <cell r="O452">
            <v>34</v>
          </cell>
          <cell r="P452">
            <v>16150</v>
          </cell>
        </row>
        <row r="453">
          <cell r="A453">
            <v>6</v>
          </cell>
          <cell r="B453" t="str">
            <v>CADWELD POWDER CARTRIDGE, CA-25 TYPE</v>
          </cell>
          <cell r="C453">
            <v>15</v>
          </cell>
          <cell r="D453" t="str">
            <v>PCS</v>
          </cell>
          <cell r="E453">
            <v>125</v>
          </cell>
          <cell r="F453">
            <v>1875</v>
          </cell>
          <cell r="H453">
            <v>0</v>
          </cell>
          <cell r="I453">
            <v>1</v>
          </cell>
          <cell r="J453">
            <v>15</v>
          </cell>
          <cell r="K453">
            <v>125</v>
          </cell>
          <cell r="L453">
            <v>1875</v>
          </cell>
          <cell r="M453">
            <v>0</v>
          </cell>
          <cell r="N453">
            <v>0</v>
          </cell>
          <cell r="O453">
            <v>280</v>
          </cell>
          <cell r="P453">
            <v>4200</v>
          </cell>
        </row>
        <row r="454">
          <cell r="A454">
            <v>7</v>
          </cell>
          <cell r="B454" t="str">
            <v>CADWELD MOLD</v>
          </cell>
          <cell r="C454">
            <v>1</v>
          </cell>
          <cell r="D454" t="str">
            <v>SET</v>
          </cell>
          <cell r="E454">
            <v>1500</v>
          </cell>
          <cell r="F454">
            <v>1500</v>
          </cell>
          <cell r="H454">
            <v>0</v>
          </cell>
          <cell r="J454">
            <v>0</v>
          </cell>
          <cell r="K454">
            <v>1500</v>
          </cell>
          <cell r="L454">
            <v>1500</v>
          </cell>
          <cell r="M454">
            <v>0</v>
          </cell>
          <cell r="N454">
            <v>0</v>
          </cell>
          <cell r="O454">
            <v>0</v>
          </cell>
          <cell r="P454">
            <v>0</v>
          </cell>
        </row>
        <row r="455">
          <cell r="A455">
            <v>8</v>
          </cell>
          <cell r="B455" t="str">
            <v>C TYPE LUG</v>
          </cell>
          <cell r="C455">
            <v>60</v>
          </cell>
          <cell r="D455" t="str">
            <v>PCS</v>
          </cell>
          <cell r="E455">
            <v>50</v>
          </cell>
          <cell r="F455">
            <v>3000</v>
          </cell>
          <cell r="H455">
            <v>0</v>
          </cell>
          <cell r="I455">
            <v>0.5</v>
          </cell>
          <cell r="J455">
            <v>30</v>
          </cell>
          <cell r="K455">
            <v>50</v>
          </cell>
          <cell r="L455">
            <v>3000</v>
          </cell>
          <cell r="M455">
            <v>0</v>
          </cell>
          <cell r="N455">
            <v>0</v>
          </cell>
          <cell r="O455">
            <v>140</v>
          </cell>
          <cell r="P455">
            <v>8400</v>
          </cell>
        </row>
        <row r="456">
          <cell r="A456">
            <v>9</v>
          </cell>
          <cell r="B456" t="str">
            <v>TOOL,MOLD SUPPORT CLAMP CADWELD CAB-320</v>
          </cell>
          <cell r="C456">
            <v>1</v>
          </cell>
          <cell r="D456" t="str">
            <v>PCS</v>
          </cell>
          <cell r="E456">
            <v>2500</v>
          </cell>
          <cell r="F456">
            <v>2500</v>
          </cell>
          <cell r="H456">
            <v>0</v>
          </cell>
          <cell r="J456">
            <v>0</v>
          </cell>
          <cell r="K456">
            <v>2500</v>
          </cell>
          <cell r="L456">
            <v>2500</v>
          </cell>
          <cell r="M456">
            <v>0</v>
          </cell>
          <cell r="N456">
            <v>0</v>
          </cell>
          <cell r="O456">
            <v>0</v>
          </cell>
          <cell r="P456">
            <v>0</v>
          </cell>
        </row>
        <row r="457">
          <cell r="A457">
            <v>10</v>
          </cell>
          <cell r="B457" t="str">
            <v xml:space="preserve">NONMETALLIC CONDUIT, PVC CNS 1302 UPVC </v>
          </cell>
          <cell r="C457">
            <v>285</v>
          </cell>
          <cell r="D457" t="str">
            <v>M</v>
          </cell>
          <cell r="E457">
            <v>16</v>
          </cell>
          <cell r="F457">
            <v>4560</v>
          </cell>
          <cell r="H457">
            <v>0</v>
          </cell>
          <cell r="I457">
            <v>0.5</v>
          </cell>
          <cell r="J457">
            <v>143</v>
          </cell>
          <cell r="K457">
            <v>16</v>
          </cell>
          <cell r="L457">
            <v>4560</v>
          </cell>
          <cell r="M457">
            <v>0</v>
          </cell>
          <cell r="N457">
            <v>0</v>
          </cell>
          <cell r="O457">
            <v>140</v>
          </cell>
          <cell r="P457">
            <v>39900</v>
          </cell>
        </row>
        <row r="458">
          <cell r="B458" t="str">
            <v>TABLE 1, 1"</v>
          </cell>
          <cell r="P458">
            <v>0</v>
          </cell>
        </row>
        <row r="459">
          <cell r="A459">
            <v>11</v>
          </cell>
          <cell r="B459" t="str">
            <v xml:space="preserve">CONCRETE, 3000PSI </v>
          </cell>
          <cell r="C459">
            <v>3</v>
          </cell>
          <cell r="D459" t="str">
            <v>M3</v>
          </cell>
          <cell r="E459" t="str">
            <v>M+L</v>
          </cell>
          <cell r="F459" t="str">
            <v>M+L</v>
          </cell>
          <cell r="H459">
            <v>0</v>
          </cell>
          <cell r="J459">
            <v>0</v>
          </cell>
          <cell r="K459" t="str">
            <v>M+L</v>
          </cell>
          <cell r="L459" t="str">
            <v>M+L</v>
          </cell>
          <cell r="O459">
            <v>2300</v>
          </cell>
          <cell r="P459">
            <v>6900</v>
          </cell>
        </row>
        <row r="460">
          <cell r="A460">
            <v>12</v>
          </cell>
          <cell r="B460" t="str">
            <v>STEEL REINFORCING BAR, 3/8"</v>
          </cell>
          <cell r="C460">
            <v>610</v>
          </cell>
          <cell r="D460" t="str">
            <v>KG</v>
          </cell>
          <cell r="E460" t="str">
            <v>M+L</v>
          </cell>
          <cell r="F460" t="str">
            <v>M+L</v>
          </cell>
          <cell r="H460">
            <v>0</v>
          </cell>
          <cell r="J460">
            <v>0</v>
          </cell>
          <cell r="K460" t="str">
            <v>M+L</v>
          </cell>
          <cell r="L460" t="str">
            <v>M+L</v>
          </cell>
          <cell r="O460">
            <v>16</v>
          </cell>
          <cell r="P460">
            <v>9760</v>
          </cell>
        </row>
        <row r="461">
          <cell r="A461">
            <v>13</v>
          </cell>
          <cell r="B461" t="str">
            <v xml:space="preserve"> EXCAVATION</v>
          </cell>
          <cell r="C461">
            <v>152</v>
          </cell>
          <cell r="D461" t="str">
            <v>M3</v>
          </cell>
          <cell r="E461" t="str">
            <v>M+L</v>
          </cell>
          <cell r="F461" t="str">
            <v>M+L</v>
          </cell>
          <cell r="H461">
            <v>0</v>
          </cell>
          <cell r="J461">
            <v>0</v>
          </cell>
          <cell r="K461" t="str">
            <v>M+L</v>
          </cell>
          <cell r="L461" t="str">
            <v>M+L</v>
          </cell>
          <cell r="O461">
            <v>120</v>
          </cell>
          <cell r="P461">
            <v>18240</v>
          </cell>
        </row>
        <row r="462">
          <cell r="A462">
            <v>14</v>
          </cell>
          <cell r="B462" t="str">
            <v xml:space="preserve"> BACKFILL SAND</v>
          </cell>
          <cell r="C462">
            <v>50</v>
          </cell>
          <cell r="D462" t="str">
            <v>M3</v>
          </cell>
          <cell r="E462" t="str">
            <v>M+L</v>
          </cell>
          <cell r="F462" t="str">
            <v>M+L</v>
          </cell>
          <cell r="H462">
            <v>0</v>
          </cell>
          <cell r="J462">
            <v>0</v>
          </cell>
          <cell r="K462" t="str">
            <v>M+L</v>
          </cell>
          <cell r="L462" t="str">
            <v>M+L</v>
          </cell>
          <cell r="O462">
            <v>550</v>
          </cell>
          <cell r="P462">
            <v>27500</v>
          </cell>
        </row>
        <row r="463">
          <cell r="A463">
            <v>15</v>
          </cell>
          <cell r="B463" t="str">
            <v xml:space="preserve"> BACKFILL STONE</v>
          </cell>
          <cell r="C463">
            <v>31</v>
          </cell>
          <cell r="D463" t="str">
            <v>M3</v>
          </cell>
          <cell r="E463" t="str">
            <v>M+L</v>
          </cell>
          <cell r="F463" t="str">
            <v>M+L</v>
          </cell>
          <cell r="H463">
            <v>0</v>
          </cell>
          <cell r="J463">
            <v>0</v>
          </cell>
          <cell r="K463" t="str">
            <v>M+L</v>
          </cell>
          <cell r="L463" t="str">
            <v>M+L</v>
          </cell>
          <cell r="O463">
            <v>520</v>
          </cell>
          <cell r="P463">
            <v>16120</v>
          </cell>
        </row>
        <row r="464">
          <cell r="A464">
            <v>16</v>
          </cell>
          <cell r="B464" t="str">
            <v xml:space="preserve"> DISPOSAL</v>
          </cell>
          <cell r="C464">
            <v>80</v>
          </cell>
          <cell r="D464" t="str">
            <v>M3</v>
          </cell>
          <cell r="E464" t="str">
            <v>M+L</v>
          </cell>
          <cell r="F464" t="str">
            <v>M+L</v>
          </cell>
          <cell r="H464">
            <v>0</v>
          </cell>
          <cell r="J464">
            <v>0</v>
          </cell>
          <cell r="K464" t="str">
            <v>M+L</v>
          </cell>
          <cell r="L464" t="str">
            <v>M+L</v>
          </cell>
          <cell r="O464">
            <v>220</v>
          </cell>
          <cell r="P464">
            <v>17600</v>
          </cell>
        </row>
        <row r="465">
          <cell r="A465">
            <v>17</v>
          </cell>
          <cell r="B465" t="str">
            <v>熱縮絕緣套管理(含熱溶膠)</v>
          </cell>
          <cell r="C465">
            <v>9</v>
          </cell>
          <cell r="D465" t="str">
            <v>PCS</v>
          </cell>
          <cell r="E465">
            <v>500</v>
          </cell>
          <cell r="F465">
            <v>4500</v>
          </cell>
          <cell r="H465">
            <v>0</v>
          </cell>
          <cell r="I465">
            <v>2</v>
          </cell>
          <cell r="J465">
            <v>18</v>
          </cell>
          <cell r="K465">
            <v>500</v>
          </cell>
          <cell r="L465">
            <v>4500</v>
          </cell>
          <cell r="M465">
            <v>0</v>
          </cell>
          <cell r="N465">
            <v>0</v>
          </cell>
          <cell r="O465">
            <v>560</v>
          </cell>
          <cell r="P465">
            <v>5040</v>
          </cell>
        </row>
        <row r="466">
          <cell r="A466">
            <v>18</v>
          </cell>
          <cell r="B466" t="str">
            <v>自融型絕緣膠帶</v>
          </cell>
          <cell r="C466">
            <v>7</v>
          </cell>
          <cell r="D466" t="str">
            <v>ROLL</v>
          </cell>
          <cell r="E466">
            <v>300</v>
          </cell>
          <cell r="F466">
            <v>2100</v>
          </cell>
          <cell r="H466">
            <v>0</v>
          </cell>
          <cell r="I466">
            <v>1</v>
          </cell>
          <cell r="J466">
            <v>7</v>
          </cell>
          <cell r="K466">
            <v>300</v>
          </cell>
          <cell r="L466">
            <v>2100</v>
          </cell>
          <cell r="M466">
            <v>0</v>
          </cell>
          <cell r="N466">
            <v>0</v>
          </cell>
          <cell r="O466">
            <v>280</v>
          </cell>
          <cell r="P466">
            <v>1960</v>
          </cell>
        </row>
        <row r="467">
          <cell r="A467">
            <v>19</v>
          </cell>
          <cell r="B467" t="str">
            <v>熱融焊點PE包覆蓋</v>
          </cell>
          <cell r="C467">
            <v>8</v>
          </cell>
          <cell r="D467" t="str">
            <v>PCS</v>
          </cell>
          <cell r="E467">
            <v>350</v>
          </cell>
          <cell r="F467">
            <v>2800</v>
          </cell>
          <cell r="H467">
            <v>0</v>
          </cell>
          <cell r="I467">
            <v>1</v>
          </cell>
          <cell r="J467">
            <v>8</v>
          </cell>
          <cell r="K467">
            <v>350</v>
          </cell>
          <cell r="L467">
            <v>2800</v>
          </cell>
          <cell r="M467">
            <v>0</v>
          </cell>
          <cell r="N467">
            <v>0</v>
          </cell>
          <cell r="O467">
            <v>280</v>
          </cell>
          <cell r="P467">
            <v>2240</v>
          </cell>
        </row>
        <row r="468">
          <cell r="A468">
            <v>20</v>
          </cell>
          <cell r="B468" t="str">
            <v>MISCELLANEOUS INCLUDE 防蝕系統測試調整 &amp; 交通安全措施費</v>
          </cell>
          <cell r="C468">
            <v>1</v>
          </cell>
          <cell r="D468" t="str">
            <v>LOT</v>
          </cell>
          <cell r="E468">
            <v>67883.5</v>
          </cell>
          <cell r="F468">
            <v>67884</v>
          </cell>
          <cell r="H468">
            <v>0</v>
          </cell>
          <cell r="I468">
            <v>93.2</v>
          </cell>
          <cell r="J468">
            <v>93</v>
          </cell>
          <cell r="K468">
            <v>67884</v>
          </cell>
          <cell r="L468">
            <v>67884</v>
          </cell>
          <cell r="M468">
            <v>0</v>
          </cell>
          <cell r="N468">
            <v>0</v>
          </cell>
          <cell r="O468">
            <v>26096</v>
          </cell>
          <cell r="P468">
            <v>26096</v>
          </cell>
        </row>
        <row r="469">
          <cell r="B469" t="str">
            <v>SUB-TOTAL : (H)</v>
          </cell>
          <cell r="F469">
            <v>746719</v>
          </cell>
          <cell r="H469">
            <v>0</v>
          </cell>
          <cell r="J469">
            <v>1025</v>
          </cell>
          <cell r="K469">
            <v>0</v>
          </cell>
          <cell r="L469">
            <v>746719</v>
          </cell>
          <cell r="M469">
            <v>0</v>
          </cell>
          <cell r="N469">
            <v>0</v>
          </cell>
          <cell r="O469">
            <v>0</v>
          </cell>
          <cell r="P469">
            <v>383226</v>
          </cell>
        </row>
        <row r="470">
          <cell r="F470">
            <v>0</v>
          </cell>
          <cell r="H470">
            <v>0</v>
          </cell>
          <cell r="J470">
            <v>0</v>
          </cell>
          <cell r="K470">
            <v>0</v>
          </cell>
          <cell r="L470">
            <v>0</v>
          </cell>
          <cell r="M470">
            <v>0</v>
          </cell>
          <cell r="N470">
            <v>0</v>
          </cell>
          <cell r="O470">
            <v>0</v>
          </cell>
          <cell r="P470">
            <v>0</v>
          </cell>
        </row>
        <row r="471">
          <cell r="F471">
            <v>0</v>
          </cell>
          <cell r="H471">
            <v>0</v>
          </cell>
          <cell r="J471">
            <v>0</v>
          </cell>
          <cell r="K471">
            <v>0</v>
          </cell>
          <cell r="L471">
            <v>0</v>
          </cell>
          <cell r="M471">
            <v>0</v>
          </cell>
          <cell r="N471">
            <v>0</v>
          </cell>
          <cell r="O471">
            <v>0</v>
          </cell>
          <cell r="P471">
            <v>0</v>
          </cell>
        </row>
        <row r="472">
          <cell r="F472">
            <v>0</v>
          </cell>
          <cell r="H472">
            <v>0</v>
          </cell>
          <cell r="J472">
            <v>0</v>
          </cell>
          <cell r="K472">
            <v>0</v>
          </cell>
          <cell r="L472">
            <v>0</v>
          </cell>
          <cell r="M472">
            <v>0</v>
          </cell>
          <cell r="N472">
            <v>0</v>
          </cell>
          <cell r="O472">
            <v>0</v>
          </cell>
          <cell r="P472">
            <v>0</v>
          </cell>
        </row>
        <row r="473">
          <cell r="A473" t="str">
            <v>I.</v>
          </cell>
          <cell r="B473" t="str">
            <v>APS SYSTEM</v>
          </cell>
          <cell r="F473">
            <v>0</v>
          </cell>
          <cell r="H473">
            <v>0</v>
          </cell>
          <cell r="J473">
            <v>0</v>
          </cell>
          <cell r="K473">
            <v>0</v>
          </cell>
          <cell r="L473">
            <v>0</v>
          </cell>
          <cell r="M473">
            <v>0</v>
          </cell>
          <cell r="N473">
            <v>0</v>
          </cell>
          <cell r="O473">
            <v>0</v>
          </cell>
          <cell r="P473">
            <v>0</v>
          </cell>
        </row>
        <row r="474">
          <cell r="B474" t="str">
            <v>D&amp;F SYSTEM PANEL, INCLUDING</v>
          </cell>
          <cell r="F474">
            <v>0</v>
          </cell>
          <cell r="H474">
            <v>0</v>
          </cell>
          <cell r="J474">
            <v>0</v>
          </cell>
          <cell r="K474">
            <v>0</v>
          </cell>
          <cell r="L474">
            <v>0</v>
          </cell>
          <cell r="M474">
            <v>0</v>
          </cell>
          <cell r="N474">
            <v>0</v>
          </cell>
          <cell r="O474">
            <v>0</v>
          </cell>
          <cell r="P474">
            <v>0</v>
          </cell>
        </row>
        <row r="475">
          <cell r="A475">
            <v>1</v>
          </cell>
          <cell r="B475" t="str">
            <v>PLC BASE PANEL, INDOOR IP20 ENCLOSURE, W/</v>
          </cell>
          <cell r="C475">
            <v>1</v>
          </cell>
          <cell r="D475" t="str">
            <v>SET</v>
          </cell>
          <cell r="E475">
            <v>1285400</v>
          </cell>
          <cell r="F475">
            <v>1285400</v>
          </cell>
          <cell r="H475">
            <v>0</v>
          </cell>
          <cell r="I475">
            <v>50</v>
          </cell>
          <cell r="J475">
            <v>50</v>
          </cell>
          <cell r="K475">
            <v>1285400</v>
          </cell>
          <cell r="L475">
            <v>1285400</v>
          </cell>
          <cell r="M475">
            <v>0</v>
          </cell>
          <cell r="N475">
            <v>0</v>
          </cell>
          <cell r="O475">
            <v>14000</v>
          </cell>
          <cell r="P475">
            <v>14000</v>
          </cell>
        </row>
        <row r="476">
          <cell r="B476" t="str">
            <v xml:space="preserve">POWER SUPPLY, DIx144, DOx100, </v>
          </cell>
          <cell r="F476">
            <v>0</v>
          </cell>
          <cell r="H476">
            <v>0</v>
          </cell>
          <cell r="J476">
            <v>0</v>
          </cell>
          <cell r="K476">
            <v>0</v>
          </cell>
          <cell r="L476">
            <v>0</v>
          </cell>
          <cell r="M476">
            <v>0</v>
          </cell>
          <cell r="N476">
            <v>0</v>
          </cell>
          <cell r="O476">
            <v>0</v>
          </cell>
          <cell r="P476">
            <v>0</v>
          </cell>
        </row>
        <row r="477">
          <cell r="B477" t="str">
            <v>INTERPOSITION RELAY x50,  WIRING, AND TB.</v>
          </cell>
          <cell r="F477">
            <v>0</v>
          </cell>
          <cell r="H477">
            <v>0</v>
          </cell>
          <cell r="J477">
            <v>0</v>
          </cell>
          <cell r="K477">
            <v>0</v>
          </cell>
          <cell r="L477">
            <v>0</v>
          </cell>
          <cell r="M477">
            <v>0</v>
          </cell>
          <cell r="N477">
            <v>0</v>
          </cell>
          <cell r="O477">
            <v>0</v>
          </cell>
          <cell r="P477">
            <v>0</v>
          </cell>
        </row>
        <row r="478">
          <cell r="B478" t="str">
            <v>SOFTWARE DESIGN PACKAGE</v>
          </cell>
          <cell r="F478">
            <v>0</v>
          </cell>
          <cell r="H478">
            <v>0</v>
          </cell>
          <cell r="J478">
            <v>0</v>
          </cell>
          <cell r="K478">
            <v>0</v>
          </cell>
          <cell r="L478">
            <v>0</v>
          </cell>
          <cell r="M478">
            <v>0</v>
          </cell>
          <cell r="N478">
            <v>0</v>
          </cell>
          <cell r="O478">
            <v>0</v>
          </cell>
          <cell r="P478">
            <v>0</v>
          </cell>
        </row>
        <row r="479">
          <cell r="A479">
            <v>2</v>
          </cell>
          <cell r="B479" t="str">
            <v>OPERATION CONSOLE, INCLUDING</v>
          </cell>
          <cell r="C479">
            <v>1</v>
          </cell>
          <cell r="D479" t="str">
            <v>SET</v>
          </cell>
          <cell r="E479">
            <v>357000</v>
          </cell>
          <cell r="F479">
            <v>357000</v>
          </cell>
          <cell r="H479">
            <v>0</v>
          </cell>
          <cell r="I479">
            <v>20</v>
          </cell>
          <cell r="J479">
            <v>20</v>
          </cell>
          <cell r="K479">
            <v>357000</v>
          </cell>
          <cell r="L479">
            <v>357000</v>
          </cell>
          <cell r="M479">
            <v>0</v>
          </cell>
          <cell r="N479">
            <v>0</v>
          </cell>
          <cell r="O479">
            <v>5600</v>
          </cell>
          <cell r="P479">
            <v>5600</v>
          </cell>
        </row>
        <row r="480">
          <cell r="B480" t="str">
            <v>ANNUNCIATOR PANEL, W/ 50 WINDOWS</v>
          </cell>
          <cell r="F480">
            <v>0</v>
          </cell>
          <cell r="H480">
            <v>0</v>
          </cell>
          <cell r="J480">
            <v>0</v>
          </cell>
          <cell r="K480">
            <v>0</v>
          </cell>
          <cell r="L480">
            <v>0</v>
          </cell>
          <cell r="M480">
            <v>0</v>
          </cell>
          <cell r="N480">
            <v>0</v>
          </cell>
          <cell r="O480">
            <v>0</v>
          </cell>
          <cell r="P480">
            <v>0</v>
          </cell>
        </row>
        <row r="481">
          <cell r="B481" t="str">
            <v xml:space="preserve">COMMAND BOARD, W/ 15 PB SWITCH(SW. W/LIGHT) </v>
          </cell>
          <cell r="F481">
            <v>0</v>
          </cell>
          <cell r="H481">
            <v>0</v>
          </cell>
          <cell r="J481">
            <v>0</v>
          </cell>
          <cell r="K481">
            <v>0</v>
          </cell>
          <cell r="L481">
            <v>0</v>
          </cell>
          <cell r="M481">
            <v>0</v>
          </cell>
          <cell r="N481">
            <v>0</v>
          </cell>
          <cell r="O481">
            <v>0</v>
          </cell>
          <cell r="P481">
            <v>0</v>
          </cell>
        </row>
        <row r="482">
          <cell r="B482" t="str">
            <v>WIRING, AND TB.</v>
          </cell>
          <cell r="F482">
            <v>0</v>
          </cell>
          <cell r="H482">
            <v>0</v>
          </cell>
          <cell r="J482">
            <v>0</v>
          </cell>
          <cell r="K482">
            <v>0</v>
          </cell>
          <cell r="L482">
            <v>0</v>
          </cell>
          <cell r="M482">
            <v>0</v>
          </cell>
          <cell r="N482">
            <v>0</v>
          </cell>
          <cell r="O482">
            <v>0</v>
          </cell>
          <cell r="P482">
            <v>0</v>
          </cell>
        </row>
        <row r="483">
          <cell r="A483">
            <v>3</v>
          </cell>
          <cell r="B483" t="str">
            <v>MIMIC PANEL, ENCLOSURE SIZE 2300Hx1400Wx600D</v>
          </cell>
          <cell r="C483">
            <v>1</v>
          </cell>
          <cell r="D483" t="str">
            <v>SET</v>
          </cell>
          <cell r="E483">
            <v>448000</v>
          </cell>
          <cell r="F483">
            <v>448000</v>
          </cell>
          <cell r="H483">
            <v>0</v>
          </cell>
          <cell r="I483">
            <v>20</v>
          </cell>
          <cell r="J483">
            <v>20</v>
          </cell>
          <cell r="K483">
            <v>448000</v>
          </cell>
          <cell r="L483">
            <v>448000</v>
          </cell>
          <cell r="M483">
            <v>0</v>
          </cell>
          <cell r="N483">
            <v>0</v>
          </cell>
          <cell r="O483">
            <v>5600</v>
          </cell>
          <cell r="P483">
            <v>5600</v>
          </cell>
        </row>
        <row r="484">
          <cell r="B484" t="str">
            <v>MOSAIC PANEL  SIZE 1200Hx1200W, W/</v>
          </cell>
          <cell r="F484">
            <v>0</v>
          </cell>
          <cell r="H484">
            <v>0</v>
          </cell>
          <cell r="J484">
            <v>0</v>
          </cell>
          <cell r="K484">
            <v>0</v>
          </cell>
          <cell r="L484">
            <v>0</v>
          </cell>
          <cell r="M484">
            <v>0</v>
          </cell>
          <cell r="N484">
            <v>0</v>
          </cell>
          <cell r="O484">
            <v>0</v>
          </cell>
          <cell r="P484">
            <v>0</v>
          </cell>
        </row>
        <row r="485">
          <cell r="B485" t="str">
            <v>INDICATION LIGHT x60, POWER SUPPLY, WIRING, AND TB.</v>
          </cell>
          <cell r="F485">
            <v>0</v>
          </cell>
          <cell r="H485">
            <v>0</v>
          </cell>
          <cell r="J485">
            <v>0</v>
          </cell>
          <cell r="K485">
            <v>0</v>
          </cell>
          <cell r="L485">
            <v>0</v>
          </cell>
          <cell r="M485">
            <v>0</v>
          </cell>
          <cell r="N485">
            <v>0</v>
          </cell>
          <cell r="O485">
            <v>0</v>
          </cell>
          <cell r="P485">
            <v>0</v>
          </cell>
        </row>
        <row r="486">
          <cell r="A486">
            <v>4</v>
          </cell>
          <cell r="B486" t="str">
            <v>RECEIVING PANEL, INDOOR IP20 ENCLOSURE, W/</v>
          </cell>
          <cell r="C486">
            <v>1</v>
          </cell>
          <cell r="D486" t="str">
            <v>SET</v>
          </cell>
          <cell r="E486">
            <v>1400000</v>
          </cell>
          <cell r="F486">
            <v>1400000</v>
          </cell>
          <cell r="H486">
            <v>0</v>
          </cell>
          <cell r="I486">
            <v>50</v>
          </cell>
          <cell r="J486">
            <v>50</v>
          </cell>
          <cell r="K486">
            <v>1400000</v>
          </cell>
          <cell r="L486">
            <v>1400000</v>
          </cell>
          <cell r="M486">
            <v>0</v>
          </cell>
          <cell r="N486">
            <v>0</v>
          </cell>
          <cell r="O486">
            <v>14000</v>
          </cell>
          <cell r="P486">
            <v>14000</v>
          </cell>
        </row>
        <row r="487">
          <cell r="B487" t="str">
            <v>UV/IR DETECTOR CONTROLLER, 4-CHANNEL x1</v>
          </cell>
          <cell r="F487">
            <v>0</v>
          </cell>
          <cell r="H487">
            <v>0</v>
          </cell>
          <cell r="J487">
            <v>0</v>
          </cell>
          <cell r="K487">
            <v>0</v>
          </cell>
          <cell r="L487">
            <v>0</v>
          </cell>
          <cell r="M487">
            <v>0</v>
          </cell>
          <cell r="N487">
            <v>0</v>
          </cell>
          <cell r="O487">
            <v>0</v>
          </cell>
          <cell r="P487">
            <v>0</v>
          </cell>
        </row>
        <row r="488">
          <cell r="B488" t="str">
            <v>GAS DETECTOR CONTROLLER, 8-CHANNEL x8</v>
          </cell>
          <cell r="F488">
            <v>0</v>
          </cell>
          <cell r="H488">
            <v>0</v>
          </cell>
          <cell r="J488">
            <v>0</v>
          </cell>
          <cell r="K488">
            <v>0</v>
          </cell>
          <cell r="L488">
            <v>0</v>
          </cell>
          <cell r="M488">
            <v>0</v>
          </cell>
          <cell r="N488">
            <v>0</v>
          </cell>
          <cell r="O488">
            <v>0</v>
          </cell>
          <cell r="P488">
            <v>0</v>
          </cell>
        </row>
        <row r="489">
          <cell r="B489" t="str">
            <v>LOW TEMP. DETECTOR CONTROLLER, 4-CHANNEL x7</v>
          </cell>
          <cell r="F489">
            <v>0</v>
          </cell>
          <cell r="H489">
            <v>0</v>
          </cell>
          <cell r="J489">
            <v>0</v>
          </cell>
          <cell r="K489">
            <v>0</v>
          </cell>
          <cell r="L489">
            <v>0</v>
          </cell>
          <cell r="M489">
            <v>0</v>
          </cell>
          <cell r="N489">
            <v>0</v>
          </cell>
          <cell r="O489">
            <v>0</v>
          </cell>
          <cell r="P489">
            <v>0</v>
          </cell>
        </row>
        <row r="490">
          <cell r="B490" t="str">
            <v>POWER SUPPLY, WIRING, AND TB.</v>
          </cell>
          <cell r="F490">
            <v>0</v>
          </cell>
          <cell r="H490">
            <v>0</v>
          </cell>
          <cell r="J490">
            <v>0</v>
          </cell>
          <cell r="K490">
            <v>0</v>
          </cell>
          <cell r="L490">
            <v>0</v>
          </cell>
          <cell r="M490">
            <v>0</v>
          </cell>
          <cell r="N490">
            <v>0</v>
          </cell>
          <cell r="O490">
            <v>0</v>
          </cell>
          <cell r="P490">
            <v>0</v>
          </cell>
        </row>
        <row r="491">
          <cell r="A491">
            <v>5</v>
          </cell>
          <cell r="B491" t="str">
            <v>MANUAL STATION, 110VAC, CL.1 DIV.2, NEMA-4X</v>
          </cell>
          <cell r="C491">
            <v>16</v>
          </cell>
          <cell r="D491" t="str">
            <v>SET</v>
          </cell>
          <cell r="E491">
            <v>30000</v>
          </cell>
          <cell r="F491">
            <v>480000</v>
          </cell>
          <cell r="H491">
            <v>0</v>
          </cell>
          <cell r="I491">
            <v>5</v>
          </cell>
          <cell r="J491">
            <v>80</v>
          </cell>
          <cell r="K491">
            <v>30000</v>
          </cell>
          <cell r="L491">
            <v>480000</v>
          </cell>
          <cell r="M491">
            <v>0</v>
          </cell>
          <cell r="N491">
            <v>0</v>
          </cell>
          <cell r="O491">
            <v>1400</v>
          </cell>
          <cell r="P491">
            <v>22400</v>
          </cell>
        </row>
        <row r="492">
          <cell r="A492">
            <v>6</v>
          </cell>
          <cell r="B492" t="str">
            <v>SIREN(SPEAKER),, 110VAC, CL.1 DIV.2, NEMA-4X</v>
          </cell>
          <cell r="C492">
            <v>16</v>
          </cell>
          <cell r="D492" t="str">
            <v>SET</v>
          </cell>
          <cell r="E492">
            <v>40000</v>
          </cell>
          <cell r="F492">
            <v>640000</v>
          </cell>
          <cell r="H492">
            <v>0</v>
          </cell>
          <cell r="I492">
            <v>5</v>
          </cell>
          <cell r="J492">
            <v>80</v>
          </cell>
          <cell r="K492">
            <v>40000</v>
          </cell>
          <cell r="L492">
            <v>640000</v>
          </cell>
          <cell r="M492">
            <v>0</v>
          </cell>
          <cell r="N492">
            <v>0</v>
          </cell>
          <cell r="O492">
            <v>1400</v>
          </cell>
          <cell r="P492">
            <v>22400</v>
          </cell>
        </row>
        <row r="493">
          <cell r="A493">
            <v>7</v>
          </cell>
          <cell r="B493" t="str">
            <v>VISUAL ALARM BECON, , 110VAC, CL.1 DIV.2, NEMA-4X</v>
          </cell>
          <cell r="C493">
            <v>16</v>
          </cell>
          <cell r="D493" t="str">
            <v>SET</v>
          </cell>
          <cell r="E493">
            <v>37000</v>
          </cell>
          <cell r="F493">
            <v>592000</v>
          </cell>
          <cell r="H493">
            <v>0</v>
          </cell>
          <cell r="I493">
            <v>5</v>
          </cell>
          <cell r="J493">
            <v>80</v>
          </cell>
          <cell r="K493">
            <v>37000</v>
          </cell>
          <cell r="L493">
            <v>592000</v>
          </cell>
          <cell r="M493">
            <v>0</v>
          </cell>
          <cell r="N493">
            <v>0</v>
          </cell>
          <cell r="O493">
            <v>1400</v>
          </cell>
          <cell r="P493">
            <v>22400</v>
          </cell>
        </row>
        <row r="494">
          <cell r="A494">
            <v>8</v>
          </cell>
          <cell r="B494" t="str">
            <v>UV/IR FLAME DETECTOR, CL.1 DIV.2, NEMA-4X</v>
          </cell>
          <cell r="C494">
            <v>4</v>
          </cell>
          <cell r="D494" t="str">
            <v>SET</v>
          </cell>
          <cell r="E494">
            <v>67000</v>
          </cell>
          <cell r="F494">
            <v>268000</v>
          </cell>
          <cell r="H494">
            <v>0</v>
          </cell>
          <cell r="I494">
            <v>8</v>
          </cell>
          <cell r="J494">
            <v>32</v>
          </cell>
          <cell r="K494">
            <v>67000</v>
          </cell>
          <cell r="L494">
            <v>268000</v>
          </cell>
          <cell r="M494">
            <v>0</v>
          </cell>
          <cell r="N494">
            <v>0</v>
          </cell>
          <cell r="O494">
            <v>2240</v>
          </cell>
          <cell r="P494">
            <v>8960</v>
          </cell>
        </row>
        <row r="495">
          <cell r="A495">
            <v>9</v>
          </cell>
          <cell r="B495" t="str">
            <v>LOW TEMPERATURE DETECTOR, 50FT LG., NEMA-4X</v>
          </cell>
          <cell r="C495">
            <v>4</v>
          </cell>
          <cell r="D495" t="str">
            <v>SET</v>
          </cell>
          <cell r="E495">
            <v>288000</v>
          </cell>
          <cell r="F495">
            <v>1152000</v>
          </cell>
          <cell r="H495">
            <v>0</v>
          </cell>
          <cell r="I495">
            <v>10</v>
          </cell>
          <cell r="J495">
            <v>40</v>
          </cell>
          <cell r="K495">
            <v>288000</v>
          </cell>
          <cell r="L495">
            <v>1152000</v>
          </cell>
          <cell r="M495">
            <v>0</v>
          </cell>
          <cell r="N495">
            <v>0</v>
          </cell>
          <cell r="O495">
            <v>2800</v>
          </cell>
          <cell r="P495">
            <v>11200</v>
          </cell>
        </row>
        <row r="496">
          <cell r="A496">
            <v>10</v>
          </cell>
          <cell r="B496" t="str">
            <v>COMBUSTIBLE GAS DETECTOR,  CATALYTIC TYPE</v>
          </cell>
          <cell r="C496">
            <v>60</v>
          </cell>
          <cell r="D496" t="str">
            <v>EST</v>
          </cell>
          <cell r="E496">
            <v>50000</v>
          </cell>
          <cell r="F496">
            <v>3000000</v>
          </cell>
          <cell r="H496">
            <v>0</v>
          </cell>
          <cell r="I496">
            <v>5</v>
          </cell>
          <cell r="J496">
            <v>300</v>
          </cell>
          <cell r="K496">
            <v>50000</v>
          </cell>
          <cell r="L496">
            <v>3000000</v>
          </cell>
          <cell r="M496">
            <v>0</v>
          </cell>
          <cell r="N496">
            <v>0</v>
          </cell>
          <cell r="O496">
            <v>1400</v>
          </cell>
          <cell r="P496">
            <v>84000</v>
          </cell>
        </row>
        <row r="497">
          <cell r="B497" t="str">
            <v>CL.1, DIV.2, W/ WEATHER HOUSING, FILTER, NEMA-4X</v>
          </cell>
          <cell r="F497">
            <v>0</v>
          </cell>
          <cell r="H497">
            <v>0</v>
          </cell>
          <cell r="J497">
            <v>0</v>
          </cell>
          <cell r="K497">
            <v>0</v>
          </cell>
          <cell r="L497">
            <v>0</v>
          </cell>
          <cell r="M497">
            <v>0</v>
          </cell>
          <cell r="N497">
            <v>0</v>
          </cell>
          <cell r="O497">
            <v>0</v>
          </cell>
          <cell r="P497">
            <v>0</v>
          </cell>
        </row>
        <row r="498">
          <cell r="A498">
            <v>11</v>
          </cell>
          <cell r="B498" t="str">
            <v>GAS DETECTOR TEST KIT FOR 60 DETECTORS &amp; GRAPHIC PANEL</v>
          </cell>
          <cell r="C498">
            <v>1</v>
          </cell>
          <cell r="D498" t="str">
            <v>SET</v>
          </cell>
          <cell r="E498">
            <v>350000</v>
          </cell>
          <cell r="F498">
            <v>350000</v>
          </cell>
          <cell r="H498">
            <v>0</v>
          </cell>
          <cell r="I498">
            <v>10</v>
          </cell>
          <cell r="J498">
            <v>10</v>
          </cell>
          <cell r="K498">
            <v>350000</v>
          </cell>
          <cell r="L498">
            <v>350000</v>
          </cell>
          <cell r="M498">
            <v>0</v>
          </cell>
          <cell r="N498">
            <v>0</v>
          </cell>
          <cell r="O498">
            <v>2800</v>
          </cell>
          <cell r="P498">
            <v>2800</v>
          </cell>
        </row>
        <row r="499">
          <cell r="A499">
            <v>12</v>
          </cell>
          <cell r="B499" t="str">
            <v>R.S.G. CONDUIT/W COUPLING 1"</v>
          </cell>
          <cell r="C499">
            <v>1600</v>
          </cell>
          <cell r="D499" t="str">
            <v>M</v>
          </cell>
          <cell r="E499">
            <v>49</v>
          </cell>
          <cell r="F499">
            <v>78400</v>
          </cell>
          <cell r="H499">
            <v>0</v>
          </cell>
          <cell r="I499">
            <v>0.54</v>
          </cell>
          <cell r="J499">
            <v>864</v>
          </cell>
          <cell r="K499">
            <v>49</v>
          </cell>
          <cell r="L499">
            <v>78400</v>
          </cell>
          <cell r="M499">
            <v>0</v>
          </cell>
          <cell r="N499">
            <v>0</v>
          </cell>
          <cell r="O499">
            <v>151</v>
          </cell>
          <cell r="P499">
            <v>241600</v>
          </cell>
        </row>
        <row r="500">
          <cell r="A500">
            <v>13</v>
          </cell>
          <cell r="B500" t="str">
            <v>R.S.G. CONDUIT/W COUPLING 2"</v>
          </cell>
          <cell r="C500">
            <v>2300</v>
          </cell>
          <cell r="D500" t="str">
            <v>M</v>
          </cell>
          <cell r="E500">
            <v>105</v>
          </cell>
          <cell r="F500">
            <v>241500</v>
          </cell>
          <cell r="H500">
            <v>0</v>
          </cell>
          <cell r="I500">
            <v>0.98</v>
          </cell>
          <cell r="J500">
            <v>2254</v>
          </cell>
          <cell r="K500">
            <v>105</v>
          </cell>
          <cell r="L500">
            <v>241500</v>
          </cell>
          <cell r="M500">
            <v>0</v>
          </cell>
          <cell r="N500">
            <v>0</v>
          </cell>
          <cell r="O500">
            <v>274</v>
          </cell>
          <cell r="P500">
            <v>630200</v>
          </cell>
        </row>
        <row r="501">
          <cell r="A501">
            <v>14</v>
          </cell>
          <cell r="B501" t="str">
            <v>FITTING FOR R.S.G. CONDUIT</v>
          </cell>
          <cell r="C501">
            <v>1</v>
          </cell>
          <cell r="D501" t="str">
            <v>LOT</v>
          </cell>
          <cell r="E501">
            <v>639800</v>
          </cell>
          <cell r="F501">
            <v>639800</v>
          </cell>
          <cell r="H501">
            <v>0</v>
          </cell>
          <cell r="I501">
            <v>935.4</v>
          </cell>
          <cell r="J501">
            <v>935</v>
          </cell>
          <cell r="K501">
            <v>639800</v>
          </cell>
          <cell r="L501">
            <v>639800</v>
          </cell>
          <cell r="M501">
            <v>0</v>
          </cell>
          <cell r="N501">
            <v>0</v>
          </cell>
          <cell r="O501">
            <v>261912</v>
          </cell>
          <cell r="P501">
            <v>261912</v>
          </cell>
        </row>
        <row r="502">
          <cell r="A502">
            <v>15</v>
          </cell>
          <cell r="B502" t="str">
            <v>600V控制電纜,銅導体,PVC絕緣,麥拉遮蔽(OVERALL),</v>
          </cell>
          <cell r="C502">
            <v>650</v>
          </cell>
          <cell r="D502" t="str">
            <v>M</v>
          </cell>
          <cell r="E502">
            <v>37</v>
          </cell>
          <cell r="F502">
            <v>24050</v>
          </cell>
          <cell r="H502">
            <v>0</v>
          </cell>
          <cell r="I502">
            <v>0.11700000000000001</v>
          </cell>
          <cell r="J502">
            <v>76</v>
          </cell>
          <cell r="K502">
            <v>37</v>
          </cell>
          <cell r="L502">
            <v>24050</v>
          </cell>
          <cell r="M502">
            <v>0</v>
          </cell>
          <cell r="N502">
            <v>0</v>
          </cell>
          <cell r="O502">
            <v>33</v>
          </cell>
          <cell r="P502">
            <v>21450</v>
          </cell>
        </row>
        <row r="503">
          <cell r="B503" t="str">
            <v>PVC黑色被覆 7C-2SQ.MM</v>
          </cell>
          <cell r="F503">
            <v>0</v>
          </cell>
          <cell r="H503">
            <v>0</v>
          </cell>
          <cell r="J503">
            <v>0</v>
          </cell>
          <cell r="K503">
            <v>0</v>
          </cell>
          <cell r="L503">
            <v>0</v>
          </cell>
          <cell r="M503">
            <v>0</v>
          </cell>
          <cell r="N503">
            <v>0</v>
          </cell>
          <cell r="O503">
            <v>0</v>
          </cell>
          <cell r="P503">
            <v>0</v>
          </cell>
        </row>
        <row r="504">
          <cell r="A504">
            <v>16</v>
          </cell>
          <cell r="B504" t="str">
            <v>600V控制電纜,銅導体,PVC絕緣,麥拉遮蔽(OVERALL),</v>
          </cell>
          <cell r="C504">
            <v>1500</v>
          </cell>
          <cell r="D504" t="str">
            <v>M</v>
          </cell>
          <cell r="E504">
            <v>41</v>
          </cell>
          <cell r="F504">
            <v>61500</v>
          </cell>
          <cell r="H504">
            <v>0</v>
          </cell>
          <cell r="I504">
            <v>0.13300000000000001</v>
          </cell>
          <cell r="J504">
            <v>200</v>
          </cell>
          <cell r="K504">
            <v>41</v>
          </cell>
          <cell r="L504">
            <v>61500</v>
          </cell>
          <cell r="M504">
            <v>0</v>
          </cell>
          <cell r="N504">
            <v>0</v>
          </cell>
          <cell r="O504">
            <v>37</v>
          </cell>
          <cell r="P504">
            <v>55500</v>
          </cell>
        </row>
        <row r="505">
          <cell r="B505" t="str">
            <v>PVC黑色被覆 9C-2SQ.MM</v>
          </cell>
          <cell r="F505">
            <v>0</v>
          </cell>
          <cell r="H505">
            <v>0</v>
          </cell>
          <cell r="J505">
            <v>0</v>
          </cell>
          <cell r="K505">
            <v>0</v>
          </cell>
          <cell r="L505">
            <v>0</v>
          </cell>
          <cell r="M505">
            <v>0</v>
          </cell>
          <cell r="N505">
            <v>0</v>
          </cell>
          <cell r="O505">
            <v>0</v>
          </cell>
          <cell r="P505">
            <v>0</v>
          </cell>
        </row>
        <row r="506">
          <cell r="A506">
            <v>17</v>
          </cell>
          <cell r="B506" t="str">
            <v>600V控制電纜,銅導体,PVC絕緣,麥拉遮蔽(OVERALL),</v>
          </cell>
          <cell r="C506">
            <v>2600</v>
          </cell>
          <cell r="D506" t="str">
            <v>M</v>
          </cell>
          <cell r="E506">
            <v>53</v>
          </cell>
          <cell r="F506">
            <v>137800</v>
          </cell>
          <cell r="H506">
            <v>0</v>
          </cell>
          <cell r="I506">
            <v>0.153</v>
          </cell>
          <cell r="J506">
            <v>398</v>
          </cell>
          <cell r="K506">
            <v>53</v>
          </cell>
          <cell r="L506">
            <v>137800</v>
          </cell>
          <cell r="M506">
            <v>0</v>
          </cell>
          <cell r="N506">
            <v>0</v>
          </cell>
          <cell r="O506">
            <v>43</v>
          </cell>
          <cell r="P506">
            <v>111800</v>
          </cell>
        </row>
        <row r="507">
          <cell r="B507" t="str">
            <v>PVC黑色被覆 12C-2SQ.MM</v>
          </cell>
          <cell r="F507">
            <v>0</v>
          </cell>
          <cell r="H507">
            <v>0</v>
          </cell>
          <cell r="J507">
            <v>0</v>
          </cell>
          <cell r="K507">
            <v>0</v>
          </cell>
          <cell r="L507">
            <v>0</v>
          </cell>
          <cell r="M507">
            <v>0</v>
          </cell>
          <cell r="N507">
            <v>0</v>
          </cell>
          <cell r="O507">
            <v>0</v>
          </cell>
          <cell r="P507">
            <v>0</v>
          </cell>
        </row>
        <row r="508">
          <cell r="A508">
            <v>18</v>
          </cell>
          <cell r="B508" t="str">
            <v>600V控制電纜,銅導体,PVC絕緣,麥拉遮蔽(OVERALL),</v>
          </cell>
          <cell r="C508">
            <v>10000</v>
          </cell>
          <cell r="D508" t="str">
            <v>M</v>
          </cell>
          <cell r="E508">
            <v>44</v>
          </cell>
          <cell r="F508">
            <v>440000</v>
          </cell>
          <cell r="H508">
            <v>0</v>
          </cell>
          <cell r="I508">
            <v>0.13500000000000001</v>
          </cell>
          <cell r="J508">
            <v>1350</v>
          </cell>
          <cell r="K508">
            <v>44</v>
          </cell>
          <cell r="L508">
            <v>440000</v>
          </cell>
          <cell r="M508">
            <v>0</v>
          </cell>
          <cell r="N508">
            <v>0</v>
          </cell>
          <cell r="O508">
            <v>38</v>
          </cell>
          <cell r="P508">
            <v>380000</v>
          </cell>
        </row>
        <row r="509">
          <cell r="B509" t="str">
            <v>PVC黑色被覆 7C-3.5SQ.MM</v>
          </cell>
          <cell r="F509">
            <v>0</v>
          </cell>
          <cell r="H509">
            <v>0</v>
          </cell>
          <cell r="J509">
            <v>0</v>
          </cell>
          <cell r="K509">
            <v>0</v>
          </cell>
          <cell r="L509">
            <v>0</v>
          </cell>
          <cell r="M509">
            <v>0</v>
          </cell>
          <cell r="N509">
            <v>0</v>
          </cell>
          <cell r="O509">
            <v>0</v>
          </cell>
          <cell r="P509">
            <v>0</v>
          </cell>
        </row>
        <row r="510">
          <cell r="A510">
            <v>19</v>
          </cell>
          <cell r="B510" t="str">
            <v>600V控制電纜,銅導体,PVC絕緣,麥拉遮蔽(OVERALL),</v>
          </cell>
          <cell r="C510">
            <v>3000</v>
          </cell>
          <cell r="D510" t="str">
            <v>M</v>
          </cell>
          <cell r="E510">
            <v>76</v>
          </cell>
          <cell r="F510">
            <v>228000</v>
          </cell>
          <cell r="H510">
            <v>0</v>
          </cell>
          <cell r="I510">
            <v>0.193</v>
          </cell>
          <cell r="J510">
            <v>579</v>
          </cell>
          <cell r="K510">
            <v>76</v>
          </cell>
          <cell r="L510">
            <v>228000</v>
          </cell>
          <cell r="M510">
            <v>0</v>
          </cell>
          <cell r="N510">
            <v>0</v>
          </cell>
          <cell r="O510">
            <v>54</v>
          </cell>
          <cell r="P510">
            <v>162000</v>
          </cell>
        </row>
        <row r="511">
          <cell r="B511" t="str">
            <v>PVC黑色被覆 19C-2SQ.MM</v>
          </cell>
          <cell r="F511">
            <v>0</v>
          </cell>
          <cell r="H511">
            <v>0</v>
          </cell>
          <cell r="J511">
            <v>0</v>
          </cell>
          <cell r="K511">
            <v>0</v>
          </cell>
          <cell r="L511">
            <v>0</v>
          </cell>
          <cell r="M511">
            <v>0</v>
          </cell>
          <cell r="N511">
            <v>0</v>
          </cell>
          <cell r="O511">
            <v>0</v>
          </cell>
          <cell r="P511">
            <v>0</v>
          </cell>
        </row>
        <row r="512">
          <cell r="A512">
            <v>20</v>
          </cell>
          <cell r="B512" t="str">
            <v>600V控制電纜,銅導体,PVC絕緣,麥拉遮蔽(OVERALL),</v>
          </cell>
          <cell r="C512">
            <v>14000</v>
          </cell>
          <cell r="D512" t="str">
            <v>M</v>
          </cell>
          <cell r="E512">
            <v>119</v>
          </cell>
          <cell r="F512">
            <v>1666000</v>
          </cell>
          <cell r="H512">
            <v>0</v>
          </cell>
          <cell r="I512">
            <v>0.23599999999999999</v>
          </cell>
          <cell r="J512">
            <v>3304</v>
          </cell>
          <cell r="K512">
            <v>119</v>
          </cell>
          <cell r="L512">
            <v>1666000</v>
          </cell>
          <cell r="M512">
            <v>0</v>
          </cell>
          <cell r="N512">
            <v>0</v>
          </cell>
          <cell r="O512">
            <v>66</v>
          </cell>
          <cell r="P512">
            <v>924000</v>
          </cell>
        </row>
        <row r="513">
          <cell r="B513" t="str">
            <v>PVC黑色被覆 30C-2SQ.MM</v>
          </cell>
          <cell r="F513">
            <v>0</v>
          </cell>
          <cell r="H513">
            <v>0</v>
          </cell>
          <cell r="J513">
            <v>0</v>
          </cell>
          <cell r="K513">
            <v>0</v>
          </cell>
          <cell r="L513">
            <v>0</v>
          </cell>
          <cell r="M513">
            <v>0</v>
          </cell>
          <cell r="N513">
            <v>0</v>
          </cell>
          <cell r="O513">
            <v>0</v>
          </cell>
          <cell r="P513">
            <v>0</v>
          </cell>
        </row>
        <row r="514">
          <cell r="A514">
            <v>21</v>
          </cell>
          <cell r="B514" t="str">
            <v>300V信號電纜,PVC絕緣,麥拉遮蔽(OVERALL &amp; INDIVID)PVC</v>
          </cell>
          <cell r="C514">
            <v>12000</v>
          </cell>
          <cell r="D514" t="str">
            <v>M</v>
          </cell>
          <cell r="E514">
            <v>17</v>
          </cell>
          <cell r="F514">
            <v>204000</v>
          </cell>
          <cell r="H514">
            <v>0</v>
          </cell>
          <cell r="I514">
            <v>6.4000000000000001E-2</v>
          </cell>
          <cell r="J514">
            <v>768</v>
          </cell>
          <cell r="K514">
            <v>17</v>
          </cell>
          <cell r="L514">
            <v>204000</v>
          </cell>
          <cell r="M514">
            <v>0</v>
          </cell>
          <cell r="N514">
            <v>0</v>
          </cell>
          <cell r="O514">
            <v>18</v>
          </cell>
          <cell r="P514">
            <v>216000</v>
          </cell>
        </row>
        <row r="515">
          <cell r="B515" t="str">
            <v>黑色被覆  1TxAWG#16</v>
          </cell>
          <cell r="F515">
            <v>0</v>
          </cell>
          <cell r="H515">
            <v>0</v>
          </cell>
          <cell r="J515">
            <v>0</v>
          </cell>
          <cell r="K515">
            <v>0</v>
          </cell>
          <cell r="L515">
            <v>0</v>
          </cell>
          <cell r="M515">
            <v>0</v>
          </cell>
          <cell r="N515">
            <v>0</v>
          </cell>
          <cell r="O515">
            <v>0</v>
          </cell>
          <cell r="P515">
            <v>0</v>
          </cell>
        </row>
        <row r="516">
          <cell r="A516">
            <v>22</v>
          </cell>
          <cell r="B516" t="str">
            <v>300V信號電纜,PVC絕緣,麥拉遮蔽(OVERALL &amp; INDIVID)PVC</v>
          </cell>
          <cell r="C516">
            <v>3500</v>
          </cell>
          <cell r="D516" t="str">
            <v>M</v>
          </cell>
          <cell r="E516">
            <v>227</v>
          </cell>
          <cell r="F516">
            <v>794500</v>
          </cell>
          <cell r="H516">
            <v>0</v>
          </cell>
          <cell r="I516">
            <v>0.25</v>
          </cell>
          <cell r="J516">
            <v>875</v>
          </cell>
          <cell r="K516">
            <v>227</v>
          </cell>
          <cell r="L516">
            <v>794500</v>
          </cell>
          <cell r="M516">
            <v>0</v>
          </cell>
          <cell r="N516">
            <v>0</v>
          </cell>
          <cell r="O516">
            <v>70</v>
          </cell>
          <cell r="P516">
            <v>245000</v>
          </cell>
        </row>
        <row r="517">
          <cell r="B517" t="str">
            <v>黑色被覆  12TxAWG#14</v>
          </cell>
          <cell r="F517">
            <v>0</v>
          </cell>
          <cell r="H517">
            <v>0</v>
          </cell>
          <cell r="J517">
            <v>0</v>
          </cell>
          <cell r="K517">
            <v>0</v>
          </cell>
          <cell r="L517">
            <v>0</v>
          </cell>
          <cell r="M517">
            <v>0</v>
          </cell>
          <cell r="N517">
            <v>0</v>
          </cell>
          <cell r="O517">
            <v>0</v>
          </cell>
          <cell r="P517">
            <v>0</v>
          </cell>
        </row>
        <row r="518">
          <cell r="A518">
            <v>23</v>
          </cell>
          <cell r="B518" t="str">
            <v>300V信號電纜,PVC絕緣,麥拉遮蔽(OVERALL &amp; INDIVID)PVC</v>
          </cell>
          <cell r="C518">
            <v>350</v>
          </cell>
          <cell r="D518" t="str">
            <v>M</v>
          </cell>
          <cell r="E518">
            <v>471</v>
          </cell>
          <cell r="F518">
            <v>164850</v>
          </cell>
          <cell r="H518">
            <v>0</v>
          </cell>
          <cell r="I518">
            <v>0.4</v>
          </cell>
          <cell r="J518">
            <v>140</v>
          </cell>
          <cell r="K518">
            <v>471</v>
          </cell>
          <cell r="L518">
            <v>164850</v>
          </cell>
          <cell r="M518">
            <v>0</v>
          </cell>
          <cell r="N518">
            <v>0</v>
          </cell>
          <cell r="O518">
            <v>112</v>
          </cell>
          <cell r="P518">
            <v>39200</v>
          </cell>
        </row>
        <row r="519">
          <cell r="B519" t="str">
            <v>黑色被覆 24TxAWG#14</v>
          </cell>
          <cell r="F519">
            <v>0</v>
          </cell>
          <cell r="H519">
            <v>0</v>
          </cell>
          <cell r="J519">
            <v>0</v>
          </cell>
          <cell r="K519">
            <v>0</v>
          </cell>
          <cell r="L519">
            <v>0</v>
          </cell>
          <cell r="M519">
            <v>0</v>
          </cell>
          <cell r="N519">
            <v>0</v>
          </cell>
          <cell r="O519">
            <v>0</v>
          </cell>
          <cell r="P519">
            <v>0</v>
          </cell>
        </row>
        <row r="520">
          <cell r="A520">
            <v>24</v>
          </cell>
          <cell r="B520" t="str">
            <v>HOT DIPPED GALV, STEEL CHANNEL 100X50X5X7.5</v>
          </cell>
          <cell r="C520">
            <v>50</v>
          </cell>
          <cell r="D520" t="str">
            <v>M</v>
          </cell>
          <cell r="E520">
            <v>200</v>
          </cell>
          <cell r="F520">
            <v>10000</v>
          </cell>
          <cell r="H520">
            <v>0</v>
          </cell>
          <cell r="I520">
            <v>1.5</v>
          </cell>
          <cell r="J520">
            <v>75</v>
          </cell>
          <cell r="K520">
            <v>200</v>
          </cell>
          <cell r="L520">
            <v>10000</v>
          </cell>
          <cell r="M520">
            <v>0</v>
          </cell>
          <cell r="N520">
            <v>0</v>
          </cell>
          <cell r="O520">
            <v>420</v>
          </cell>
          <cell r="P520">
            <v>21000</v>
          </cell>
        </row>
        <row r="521">
          <cell r="A521">
            <v>25</v>
          </cell>
          <cell r="B521" t="str">
            <v>HOT DIPPED GALV, U- CHANNEL 41X41</v>
          </cell>
          <cell r="C521">
            <v>335</v>
          </cell>
          <cell r="D521" t="str">
            <v>M</v>
          </cell>
          <cell r="E521">
            <v>82</v>
          </cell>
          <cell r="F521">
            <v>27470</v>
          </cell>
          <cell r="H521">
            <v>0</v>
          </cell>
          <cell r="I521">
            <v>0.40699999999999997</v>
          </cell>
          <cell r="J521">
            <v>136</v>
          </cell>
          <cell r="K521">
            <v>82</v>
          </cell>
          <cell r="L521">
            <v>27470</v>
          </cell>
          <cell r="M521">
            <v>0</v>
          </cell>
          <cell r="N521">
            <v>0</v>
          </cell>
          <cell r="O521">
            <v>114</v>
          </cell>
          <cell r="P521">
            <v>38190</v>
          </cell>
        </row>
        <row r="522">
          <cell r="A522">
            <v>26</v>
          </cell>
          <cell r="B522" t="str">
            <v>FLEXIBLE CONDUIT 1"</v>
          </cell>
          <cell r="C522">
            <v>40</v>
          </cell>
          <cell r="D522" t="str">
            <v>M</v>
          </cell>
          <cell r="E522">
            <v>252</v>
          </cell>
          <cell r="F522">
            <v>10080</v>
          </cell>
          <cell r="H522">
            <v>0</v>
          </cell>
          <cell r="I522">
            <v>0.64</v>
          </cell>
          <cell r="J522">
            <v>26</v>
          </cell>
          <cell r="K522">
            <v>252</v>
          </cell>
          <cell r="L522">
            <v>10080</v>
          </cell>
          <cell r="M522">
            <v>0</v>
          </cell>
          <cell r="N522">
            <v>0</v>
          </cell>
          <cell r="O522">
            <v>179</v>
          </cell>
          <cell r="P522">
            <v>7160</v>
          </cell>
        </row>
        <row r="523">
          <cell r="A523">
            <v>27</v>
          </cell>
          <cell r="B523" t="str">
            <v>HOT DIPPED GALV. STEEL PLATE 1829X6401X3t</v>
          </cell>
          <cell r="C523">
            <v>2</v>
          </cell>
          <cell r="D523" t="str">
            <v>PCS</v>
          </cell>
          <cell r="E523">
            <v>1000</v>
          </cell>
          <cell r="F523">
            <v>2000</v>
          </cell>
          <cell r="H523">
            <v>0</v>
          </cell>
          <cell r="I523">
            <v>10</v>
          </cell>
          <cell r="J523">
            <v>20</v>
          </cell>
          <cell r="K523">
            <v>1000</v>
          </cell>
          <cell r="L523">
            <v>2000</v>
          </cell>
          <cell r="M523">
            <v>0</v>
          </cell>
          <cell r="N523">
            <v>0</v>
          </cell>
          <cell r="O523">
            <v>2800</v>
          </cell>
          <cell r="P523">
            <v>5600</v>
          </cell>
        </row>
        <row r="524">
          <cell r="A524">
            <v>28</v>
          </cell>
          <cell r="B524" t="str">
            <v>1/4圓(半徑30公分)低溫偵測器之補償器遮蔽板SS316製</v>
          </cell>
          <cell r="C524">
            <v>4</v>
          </cell>
          <cell r="D524" t="str">
            <v>PCS</v>
          </cell>
          <cell r="E524">
            <v>3000</v>
          </cell>
          <cell r="F524">
            <v>12000</v>
          </cell>
          <cell r="H524">
            <v>0</v>
          </cell>
          <cell r="I524">
            <v>4</v>
          </cell>
          <cell r="J524">
            <v>16</v>
          </cell>
          <cell r="K524">
            <v>3000</v>
          </cell>
          <cell r="L524">
            <v>12000</v>
          </cell>
          <cell r="M524">
            <v>0</v>
          </cell>
          <cell r="N524">
            <v>0</v>
          </cell>
          <cell r="O524">
            <v>1120</v>
          </cell>
          <cell r="P524">
            <v>4480</v>
          </cell>
        </row>
        <row r="525">
          <cell r="A525">
            <v>29</v>
          </cell>
          <cell r="B525" t="str">
            <v>接線箱,附端子板20P,FRP外殼,屋外防水型</v>
          </cell>
          <cell r="C525">
            <v>5</v>
          </cell>
          <cell r="D525" t="str">
            <v>SET</v>
          </cell>
          <cell r="E525">
            <v>3500</v>
          </cell>
          <cell r="F525">
            <v>17500</v>
          </cell>
          <cell r="H525">
            <v>0</v>
          </cell>
          <cell r="I525">
            <v>4</v>
          </cell>
          <cell r="J525">
            <v>20</v>
          </cell>
          <cell r="K525">
            <v>3500</v>
          </cell>
          <cell r="L525">
            <v>17500</v>
          </cell>
          <cell r="M525">
            <v>0</v>
          </cell>
          <cell r="N525">
            <v>0</v>
          </cell>
          <cell r="O525">
            <v>1120</v>
          </cell>
          <cell r="P525">
            <v>5600</v>
          </cell>
        </row>
        <row r="526">
          <cell r="A526">
            <v>30</v>
          </cell>
          <cell r="B526" t="str">
            <v>接線箱,附端子板50P,FRP外殼,屋外防水型</v>
          </cell>
          <cell r="C526">
            <v>4</v>
          </cell>
          <cell r="D526" t="str">
            <v>SET</v>
          </cell>
          <cell r="E526">
            <v>5500</v>
          </cell>
          <cell r="F526">
            <v>22000</v>
          </cell>
          <cell r="H526">
            <v>0</v>
          </cell>
          <cell r="I526">
            <v>8</v>
          </cell>
          <cell r="J526">
            <v>32</v>
          </cell>
          <cell r="K526">
            <v>5500</v>
          </cell>
          <cell r="L526">
            <v>22000</v>
          </cell>
          <cell r="M526">
            <v>0</v>
          </cell>
          <cell r="N526">
            <v>0</v>
          </cell>
          <cell r="O526">
            <v>2240</v>
          </cell>
          <cell r="P526">
            <v>8960</v>
          </cell>
        </row>
        <row r="527">
          <cell r="A527">
            <v>31</v>
          </cell>
          <cell r="B527" t="str">
            <v>接線箱,附端子板100P,FRP外殼,屋外防水型</v>
          </cell>
          <cell r="C527">
            <v>1</v>
          </cell>
          <cell r="D527" t="str">
            <v>SET</v>
          </cell>
          <cell r="E527">
            <v>9000</v>
          </cell>
          <cell r="F527">
            <v>9000</v>
          </cell>
          <cell r="H527">
            <v>0</v>
          </cell>
          <cell r="I527">
            <v>12</v>
          </cell>
          <cell r="J527">
            <v>12</v>
          </cell>
          <cell r="K527">
            <v>9000</v>
          </cell>
          <cell r="L527">
            <v>9000</v>
          </cell>
          <cell r="M527">
            <v>0</v>
          </cell>
          <cell r="N527">
            <v>0</v>
          </cell>
          <cell r="O527">
            <v>3360</v>
          </cell>
          <cell r="P527">
            <v>3360</v>
          </cell>
        </row>
        <row r="528">
          <cell r="A528">
            <v>32</v>
          </cell>
          <cell r="B528" t="str">
            <v>HOT DIPPED GALV, STEEL CHANNEL 100X50X5X7.5X2.4高</v>
          </cell>
          <cell r="C528">
            <v>26</v>
          </cell>
          <cell r="D528" t="str">
            <v>SET</v>
          </cell>
          <cell r="E528">
            <v>2400</v>
          </cell>
          <cell r="F528">
            <v>62400</v>
          </cell>
          <cell r="H528">
            <v>0</v>
          </cell>
          <cell r="I528">
            <v>3</v>
          </cell>
          <cell r="J528">
            <v>78</v>
          </cell>
          <cell r="K528">
            <v>2400</v>
          </cell>
          <cell r="L528">
            <v>62400</v>
          </cell>
          <cell r="M528">
            <v>0</v>
          </cell>
          <cell r="N528">
            <v>0</v>
          </cell>
          <cell r="O528">
            <v>840</v>
          </cell>
          <cell r="P528">
            <v>21840</v>
          </cell>
        </row>
        <row r="529">
          <cell r="B529" t="str">
            <v>附基礎</v>
          </cell>
          <cell r="F529">
            <v>0</v>
          </cell>
          <cell r="H529">
            <v>0</v>
          </cell>
          <cell r="J529">
            <v>0</v>
          </cell>
          <cell r="K529">
            <v>0</v>
          </cell>
          <cell r="L529">
            <v>0</v>
          </cell>
          <cell r="M529">
            <v>0</v>
          </cell>
          <cell r="N529">
            <v>0</v>
          </cell>
          <cell r="O529">
            <v>0</v>
          </cell>
          <cell r="P529">
            <v>0</v>
          </cell>
        </row>
        <row r="530">
          <cell r="A530">
            <v>33</v>
          </cell>
          <cell r="B530" t="str">
            <v>DITTO, BUT STEEL CHANNEL 為3.6M高</v>
          </cell>
          <cell r="C530">
            <v>13</v>
          </cell>
          <cell r="D530" t="str">
            <v>SET</v>
          </cell>
          <cell r="E530">
            <v>3600</v>
          </cell>
          <cell r="F530">
            <v>46800</v>
          </cell>
          <cell r="H530">
            <v>0</v>
          </cell>
          <cell r="I530">
            <v>4</v>
          </cell>
          <cell r="J530">
            <v>52</v>
          </cell>
          <cell r="K530">
            <v>3600</v>
          </cell>
          <cell r="L530">
            <v>46800</v>
          </cell>
          <cell r="M530">
            <v>0</v>
          </cell>
          <cell r="N530">
            <v>0</v>
          </cell>
          <cell r="O530">
            <v>1120</v>
          </cell>
          <cell r="P530">
            <v>14560</v>
          </cell>
        </row>
        <row r="531">
          <cell r="A531">
            <v>34</v>
          </cell>
          <cell r="B531" t="str">
            <v>DITTO, BUT STEEL CHANNEL 為1.95M高</v>
          </cell>
          <cell r="C531">
            <v>3</v>
          </cell>
          <cell r="D531" t="str">
            <v>SET</v>
          </cell>
          <cell r="E531">
            <v>2000</v>
          </cell>
          <cell r="F531">
            <v>6000</v>
          </cell>
          <cell r="H531">
            <v>0</v>
          </cell>
          <cell r="I531">
            <v>3</v>
          </cell>
          <cell r="J531">
            <v>9</v>
          </cell>
          <cell r="K531">
            <v>2000</v>
          </cell>
          <cell r="L531">
            <v>6000</v>
          </cell>
          <cell r="M531">
            <v>0</v>
          </cell>
          <cell r="N531">
            <v>0</v>
          </cell>
          <cell r="O531">
            <v>840</v>
          </cell>
          <cell r="P531">
            <v>2520</v>
          </cell>
        </row>
        <row r="532">
          <cell r="A532">
            <v>35</v>
          </cell>
          <cell r="B532" t="str">
            <v xml:space="preserve">MISCELLANEOUS </v>
          </cell>
          <cell r="C532">
            <v>1</v>
          </cell>
          <cell r="D532" t="str">
            <v>LOT</v>
          </cell>
          <cell r="E532">
            <v>743902.5</v>
          </cell>
          <cell r="F532">
            <v>743903</v>
          </cell>
          <cell r="H532">
            <v>0</v>
          </cell>
          <cell r="I532">
            <v>646.55000000000007</v>
          </cell>
          <cell r="J532">
            <v>647</v>
          </cell>
          <cell r="K532">
            <v>743903</v>
          </cell>
          <cell r="L532">
            <v>743903</v>
          </cell>
          <cell r="M532">
            <v>0</v>
          </cell>
          <cell r="N532">
            <v>0</v>
          </cell>
          <cell r="O532">
            <v>181034</v>
          </cell>
          <cell r="P532">
            <v>181034</v>
          </cell>
        </row>
        <row r="533">
          <cell r="B533" t="str">
            <v>SUB-TOTAL : (I)</v>
          </cell>
          <cell r="F533">
            <v>15621953</v>
          </cell>
          <cell r="H533">
            <v>0</v>
          </cell>
          <cell r="J533">
            <v>13628</v>
          </cell>
          <cell r="K533">
            <v>0</v>
          </cell>
          <cell r="L533">
            <v>15621953</v>
          </cell>
          <cell r="M533">
            <v>0</v>
          </cell>
          <cell r="N533">
            <v>0</v>
          </cell>
          <cell r="O533">
            <v>0</v>
          </cell>
          <cell r="P533">
            <v>3816326</v>
          </cell>
        </row>
        <row r="536">
          <cell r="A536" t="str">
            <v>J.</v>
          </cell>
          <cell r="B536" t="str">
            <v>U/G CONDUIT BANK</v>
          </cell>
          <cell r="F536">
            <v>0</v>
          </cell>
          <cell r="H536">
            <v>0</v>
          </cell>
          <cell r="J536">
            <v>0</v>
          </cell>
          <cell r="K536">
            <v>0</v>
          </cell>
          <cell r="L536">
            <v>0</v>
          </cell>
          <cell r="M536">
            <v>0</v>
          </cell>
          <cell r="N536">
            <v>0</v>
          </cell>
          <cell r="O536">
            <v>0</v>
          </cell>
          <cell r="P536">
            <v>0</v>
          </cell>
        </row>
        <row r="538">
          <cell r="A538" t="str">
            <v>J.1</v>
          </cell>
          <cell r="B538" t="str">
            <v>U/G CONDUIT BANK FOR TEL., P/P, CCTV, APS</v>
          </cell>
          <cell r="F538">
            <v>0</v>
          </cell>
          <cell r="H538">
            <v>0</v>
          </cell>
          <cell r="J538">
            <v>0</v>
          </cell>
          <cell r="K538">
            <v>0</v>
          </cell>
          <cell r="L538">
            <v>0</v>
          </cell>
          <cell r="M538">
            <v>0</v>
          </cell>
          <cell r="N538">
            <v>0</v>
          </cell>
          <cell r="O538">
            <v>0</v>
          </cell>
          <cell r="P538">
            <v>0</v>
          </cell>
        </row>
        <row r="539">
          <cell r="A539" t="str">
            <v>J.1.1</v>
          </cell>
          <cell r="B539" t="str">
            <v xml:space="preserve"> PVC CONDUIT, THICK WALL, CNS1302 SCH. B , 1"</v>
          </cell>
          <cell r="C539">
            <v>800</v>
          </cell>
          <cell r="D539" t="str">
            <v>M</v>
          </cell>
          <cell r="E539">
            <v>16</v>
          </cell>
          <cell r="F539">
            <v>12800</v>
          </cell>
          <cell r="H539">
            <v>0</v>
          </cell>
          <cell r="I539">
            <v>0.22</v>
          </cell>
          <cell r="J539">
            <v>176</v>
          </cell>
          <cell r="K539">
            <v>16</v>
          </cell>
          <cell r="L539">
            <v>12800</v>
          </cell>
          <cell r="M539">
            <v>0</v>
          </cell>
          <cell r="N539">
            <v>0</v>
          </cell>
          <cell r="O539">
            <v>62</v>
          </cell>
          <cell r="P539">
            <v>49600</v>
          </cell>
        </row>
        <row r="540">
          <cell r="A540" t="str">
            <v>J.1.2</v>
          </cell>
          <cell r="B540" t="str">
            <v xml:space="preserve"> PVC CONDUIT, THICK WALL, CNS1302 SCH. B , 2"</v>
          </cell>
          <cell r="C540">
            <v>22000</v>
          </cell>
          <cell r="D540" t="str">
            <v>M</v>
          </cell>
          <cell r="E540">
            <v>38</v>
          </cell>
          <cell r="F540">
            <v>836000</v>
          </cell>
          <cell r="H540">
            <v>0</v>
          </cell>
          <cell r="I540">
            <v>0.3</v>
          </cell>
          <cell r="J540">
            <v>6600</v>
          </cell>
          <cell r="K540">
            <v>38</v>
          </cell>
          <cell r="L540">
            <v>836000</v>
          </cell>
          <cell r="M540">
            <v>0</v>
          </cell>
          <cell r="N540">
            <v>0</v>
          </cell>
          <cell r="O540">
            <v>84</v>
          </cell>
          <cell r="P540">
            <v>1848000</v>
          </cell>
        </row>
        <row r="541">
          <cell r="A541" t="str">
            <v>J.1.3</v>
          </cell>
          <cell r="B541" t="str">
            <v xml:space="preserve"> PVC CONDUIT, THICK WALL, CNS1302 SCH. B , 4"</v>
          </cell>
          <cell r="C541">
            <v>16500</v>
          </cell>
          <cell r="D541" t="str">
            <v>M</v>
          </cell>
          <cell r="E541">
            <v>128</v>
          </cell>
          <cell r="F541">
            <v>2112000</v>
          </cell>
          <cell r="H541">
            <v>0</v>
          </cell>
          <cell r="I541">
            <v>0.43</v>
          </cell>
          <cell r="J541">
            <v>7095</v>
          </cell>
          <cell r="K541">
            <v>128</v>
          </cell>
          <cell r="L541">
            <v>2112000</v>
          </cell>
          <cell r="M541">
            <v>0</v>
          </cell>
          <cell r="N541">
            <v>0</v>
          </cell>
          <cell r="O541">
            <v>120</v>
          </cell>
          <cell r="P541">
            <v>1980000</v>
          </cell>
        </row>
        <row r="542">
          <cell r="A542" t="str">
            <v>J.1.4</v>
          </cell>
          <cell r="B542" t="str">
            <v xml:space="preserve"> PVC CONDUIT, THICK WALL, CNS1302 SCH. B , 6"</v>
          </cell>
          <cell r="C542">
            <v>8000</v>
          </cell>
          <cell r="D542" t="str">
            <v>M</v>
          </cell>
          <cell r="E542">
            <v>242</v>
          </cell>
          <cell r="F542">
            <v>1936000</v>
          </cell>
          <cell r="H542">
            <v>0</v>
          </cell>
          <cell r="I542">
            <v>0.68</v>
          </cell>
          <cell r="J542">
            <v>5440</v>
          </cell>
          <cell r="K542">
            <v>242</v>
          </cell>
          <cell r="L542">
            <v>1936000</v>
          </cell>
          <cell r="M542">
            <v>0</v>
          </cell>
          <cell r="N542">
            <v>0</v>
          </cell>
          <cell r="O542">
            <v>190</v>
          </cell>
          <cell r="P542">
            <v>1520000</v>
          </cell>
        </row>
        <row r="543">
          <cell r="A543" t="str">
            <v>J.1.5</v>
          </cell>
          <cell r="B543" t="str">
            <v xml:space="preserve"> EXCAVATION</v>
          </cell>
          <cell r="C543">
            <v>7000</v>
          </cell>
          <cell r="D543" t="str">
            <v>M3</v>
          </cell>
          <cell r="E543" t="str">
            <v>M+L</v>
          </cell>
          <cell r="F543" t="str">
            <v>M+L</v>
          </cell>
          <cell r="H543">
            <v>0</v>
          </cell>
          <cell r="J543">
            <v>0</v>
          </cell>
          <cell r="K543" t="str">
            <v>M+L</v>
          </cell>
          <cell r="L543" t="str">
            <v>M+L</v>
          </cell>
          <cell r="M543">
            <v>0</v>
          </cell>
          <cell r="N543">
            <v>0</v>
          </cell>
          <cell r="O543">
            <v>60</v>
          </cell>
          <cell r="P543">
            <v>420000</v>
          </cell>
        </row>
        <row r="544">
          <cell r="A544" t="str">
            <v>J.1.6</v>
          </cell>
          <cell r="B544" t="str">
            <v xml:space="preserve"> BACKFILL</v>
          </cell>
          <cell r="C544">
            <v>5100</v>
          </cell>
          <cell r="D544" t="str">
            <v>M3</v>
          </cell>
          <cell r="E544" t="str">
            <v>M+L</v>
          </cell>
          <cell r="F544" t="str">
            <v>M+L</v>
          </cell>
          <cell r="H544">
            <v>0</v>
          </cell>
          <cell r="J544">
            <v>0</v>
          </cell>
          <cell r="K544" t="str">
            <v>M+L</v>
          </cell>
          <cell r="L544" t="str">
            <v>M+L</v>
          </cell>
          <cell r="M544">
            <v>0</v>
          </cell>
          <cell r="N544">
            <v>0</v>
          </cell>
          <cell r="O544">
            <v>100</v>
          </cell>
          <cell r="P544">
            <v>510000</v>
          </cell>
        </row>
        <row r="545">
          <cell r="A545" t="str">
            <v>J.1.7</v>
          </cell>
          <cell r="B545" t="str">
            <v xml:space="preserve"> CONCRETE FOR DUCT BANK 2000 PSI</v>
          </cell>
          <cell r="C545">
            <v>1900</v>
          </cell>
          <cell r="D545" t="str">
            <v>M3</v>
          </cell>
          <cell r="E545" t="str">
            <v>M+L</v>
          </cell>
          <cell r="F545" t="str">
            <v>M+L</v>
          </cell>
          <cell r="H545">
            <v>0</v>
          </cell>
          <cell r="J545">
            <v>0</v>
          </cell>
          <cell r="K545" t="str">
            <v>M+L</v>
          </cell>
          <cell r="L545" t="str">
            <v>M+L</v>
          </cell>
          <cell r="M545">
            <v>0</v>
          </cell>
          <cell r="N545">
            <v>0</v>
          </cell>
          <cell r="O545">
            <v>1700</v>
          </cell>
          <cell r="P545">
            <v>3230000</v>
          </cell>
        </row>
        <row r="546">
          <cell r="A546" t="str">
            <v>J.1.8</v>
          </cell>
          <cell r="B546" t="str">
            <v xml:space="preserve"> RED COLORED OXIDE</v>
          </cell>
          <cell r="C546">
            <v>17100</v>
          </cell>
          <cell r="D546" t="str">
            <v>KG</v>
          </cell>
          <cell r="E546" t="str">
            <v>M+L</v>
          </cell>
          <cell r="F546" t="str">
            <v>M+L</v>
          </cell>
          <cell r="H546">
            <v>0</v>
          </cell>
          <cell r="J546">
            <v>0</v>
          </cell>
          <cell r="K546" t="str">
            <v>M+L</v>
          </cell>
          <cell r="L546" t="str">
            <v>M+L</v>
          </cell>
          <cell r="M546">
            <v>0</v>
          </cell>
          <cell r="N546">
            <v>0</v>
          </cell>
          <cell r="O546">
            <v>60</v>
          </cell>
          <cell r="P546">
            <v>1026000</v>
          </cell>
        </row>
        <row r="547">
          <cell r="A547" t="str">
            <v>J.1.9</v>
          </cell>
          <cell r="B547" t="str">
            <v xml:space="preserve"> DISPOSAL</v>
          </cell>
          <cell r="C547">
            <v>1900</v>
          </cell>
          <cell r="D547" t="str">
            <v>M3</v>
          </cell>
          <cell r="E547" t="str">
            <v>M+L</v>
          </cell>
          <cell r="F547" t="str">
            <v>M+L</v>
          </cell>
          <cell r="H547">
            <v>0</v>
          </cell>
          <cell r="J547">
            <v>0</v>
          </cell>
          <cell r="K547" t="str">
            <v>M+L</v>
          </cell>
          <cell r="L547" t="str">
            <v>M+L</v>
          </cell>
          <cell r="M547">
            <v>0</v>
          </cell>
          <cell r="N547">
            <v>0</v>
          </cell>
          <cell r="O547">
            <v>220</v>
          </cell>
          <cell r="P547">
            <v>418000</v>
          </cell>
        </row>
        <row r="548">
          <cell r="A548" t="str">
            <v>J.1.10</v>
          </cell>
          <cell r="B548" t="str">
            <v xml:space="preserve"> FORMWORK</v>
          </cell>
          <cell r="C548">
            <v>5200</v>
          </cell>
          <cell r="D548" t="str">
            <v>M2</v>
          </cell>
          <cell r="E548" t="str">
            <v>M+L</v>
          </cell>
          <cell r="F548" t="str">
            <v>M+L</v>
          </cell>
          <cell r="H548">
            <v>0</v>
          </cell>
          <cell r="J548">
            <v>0</v>
          </cell>
          <cell r="K548" t="str">
            <v>M+L</v>
          </cell>
          <cell r="L548" t="str">
            <v>M+L</v>
          </cell>
          <cell r="M548">
            <v>0</v>
          </cell>
          <cell r="N548">
            <v>0</v>
          </cell>
          <cell r="O548">
            <v>360</v>
          </cell>
          <cell r="P548">
            <v>1872000</v>
          </cell>
        </row>
        <row r="549">
          <cell r="A549" t="str">
            <v>J.1.11</v>
          </cell>
          <cell r="B549" t="str">
            <v xml:space="preserve"> RE-BAR</v>
          </cell>
          <cell r="C549">
            <v>36500</v>
          </cell>
          <cell r="D549" t="str">
            <v>KG</v>
          </cell>
          <cell r="E549" t="str">
            <v>M+L</v>
          </cell>
          <cell r="F549" t="str">
            <v>M+L</v>
          </cell>
          <cell r="H549">
            <v>0</v>
          </cell>
          <cell r="J549">
            <v>0</v>
          </cell>
          <cell r="K549" t="str">
            <v>M+L</v>
          </cell>
          <cell r="L549" t="str">
            <v>M+L</v>
          </cell>
          <cell r="M549">
            <v>0</v>
          </cell>
          <cell r="N549">
            <v>0</v>
          </cell>
          <cell r="O549">
            <v>16</v>
          </cell>
          <cell r="P549">
            <v>584000</v>
          </cell>
        </row>
        <row r="550">
          <cell r="A550" t="str">
            <v>J.1.12</v>
          </cell>
          <cell r="B550" t="str">
            <v xml:space="preserve"> MAN-HOLE, 2,000 L x 2,000 W x 2,000 D</v>
          </cell>
          <cell r="C550">
            <v>24</v>
          </cell>
          <cell r="D550" t="str">
            <v>SET</v>
          </cell>
          <cell r="E550" t="str">
            <v>M+L</v>
          </cell>
          <cell r="F550" t="str">
            <v>M+L</v>
          </cell>
          <cell r="H550">
            <v>0</v>
          </cell>
          <cell r="J550">
            <v>0</v>
          </cell>
          <cell r="K550" t="str">
            <v>M+L</v>
          </cell>
          <cell r="L550" t="str">
            <v>M+L</v>
          </cell>
          <cell r="M550">
            <v>0</v>
          </cell>
          <cell r="N550">
            <v>0</v>
          </cell>
          <cell r="O550">
            <v>65000</v>
          </cell>
          <cell r="P550">
            <v>1560000</v>
          </cell>
        </row>
        <row r="551">
          <cell r="A551" t="str">
            <v>J.1.13</v>
          </cell>
          <cell r="B551" t="str">
            <v xml:space="preserve"> MAN-HOLE, 1,500 L x 1,500 W x 2,000 D</v>
          </cell>
          <cell r="C551">
            <v>0</v>
          </cell>
          <cell r="D551" t="str">
            <v>SET</v>
          </cell>
          <cell r="E551" t="str">
            <v>M+L</v>
          </cell>
          <cell r="F551" t="str">
            <v>M+L</v>
          </cell>
          <cell r="H551">
            <v>0</v>
          </cell>
          <cell r="J551">
            <v>0</v>
          </cell>
          <cell r="K551" t="str">
            <v>M+L</v>
          </cell>
          <cell r="L551" t="str">
            <v>M+L</v>
          </cell>
          <cell r="M551">
            <v>0</v>
          </cell>
          <cell r="N551">
            <v>0</v>
          </cell>
          <cell r="O551">
            <v>52000</v>
          </cell>
          <cell r="P551">
            <v>0</v>
          </cell>
        </row>
        <row r="552">
          <cell r="A552" t="str">
            <v>J.1.14</v>
          </cell>
          <cell r="B552" t="str">
            <v xml:space="preserve"> COMPOND FOR WATER SEALING(IN MH.)</v>
          </cell>
          <cell r="C552">
            <v>2500</v>
          </cell>
          <cell r="D552" t="str">
            <v>KG</v>
          </cell>
          <cell r="E552" t="str">
            <v>M+L</v>
          </cell>
          <cell r="F552" t="str">
            <v>M+L</v>
          </cell>
          <cell r="H552">
            <v>0</v>
          </cell>
          <cell r="J552">
            <v>0</v>
          </cell>
          <cell r="K552" t="str">
            <v>M+L</v>
          </cell>
          <cell r="L552" t="str">
            <v>M+L</v>
          </cell>
          <cell r="M552">
            <v>0</v>
          </cell>
          <cell r="N552">
            <v>0</v>
          </cell>
          <cell r="O552">
            <v>200</v>
          </cell>
          <cell r="P552">
            <v>500000</v>
          </cell>
        </row>
        <row r="553">
          <cell r="B553" t="str">
            <v>SUB-TOTAL : (J.1)</v>
          </cell>
          <cell r="F553">
            <v>4896800</v>
          </cell>
          <cell r="J553">
            <v>19311</v>
          </cell>
          <cell r="L553">
            <v>4896800</v>
          </cell>
          <cell r="P553">
            <v>15517600</v>
          </cell>
        </row>
        <row r="555">
          <cell r="A555" t="str">
            <v>J.2</v>
          </cell>
          <cell r="B555" t="str">
            <v>U/G CONDUIT BANK FOR TEL., P/P, CCTV, APS</v>
          </cell>
          <cell r="F555">
            <v>0</v>
          </cell>
          <cell r="H555">
            <v>0</v>
          </cell>
          <cell r="J555">
            <v>0</v>
          </cell>
          <cell r="K555">
            <v>0</v>
          </cell>
          <cell r="L555">
            <v>0</v>
          </cell>
          <cell r="M555">
            <v>0</v>
          </cell>
          <cell r="N555">
            <v>0</v>
          </cell>
          <cell r="O555">
            <v>0</v>
          </cell>
          <cell r="P555">
            <v>0</v>
          </cell>
        </row>
        <row r="556">
          <cell r="A556" t="str">
            <v>J.2.1</v>
          </cell>
          <cell r="B556" t="str">
            <v xml:space="preserve"> PVC CONDUIT, THICK WALL, CNS1302 SCH. B , 1"</v>
          </cell>
          <cell r="C556">
            <v>1000</v>
          </cell>
          <cell r="D556" t="str">
            <v>M</v>
          </cell>
          <cell r="E556">
            <v>16</v>
          </cell>
          <cell r="F556">
            <v>16000</v>
          </cell>
          <cell r="H556">
            <v>0</v>
          </cell>
          <cell r="I556">
            <v>0.22</v>
          </cell>
          <cell r="J556">
            <v>220</v>
          </cell>
          <cell r="K556">
            <v>16</v>
          </cell>
          <cell r="L556">
            <v>16000</v>
          </cell>
          <cell r="M556">
            <v>0</v>
          </cell>
          <cell r="N556">
            <v>0</v>
          </cell>
          <cell r="O556">
            <v>62</v>
          </cell>
          <cell r="P556">
            <v>62000</v>
          </cell>
        </row>
        <row r="557">
          <cell r="A557" t="str">
            <v>J.2.2</v>
          </cell>
          <cell r="B557" t="str">
            <v xml:space="preserve"> PVC CONDUIT, THICK WALL, CNS1302 SCH. B , 2"</v>
          </cell>
          <cell r="C557">
            <v>26000</v>
          </cell>
          <cell r="D557" t="str">
            <v>M</v>
          </cell>
          <cell r="E557">
            <v>38</v>
          </cell>
          <cell r="F557">
            <v>988000</v>
          </cell>
          <cell r="H557">
            <v>0</v>
          </cell>
          <cell r="I557">
            <v>0.3</v>
          </cell>
          <cell r="J557">
            <v>7800</v>
          </cell>
          <cell r="K557">
            <v>38</v>
          </cell>
          <cell r="L557">
            <v>988000</v>
          </cell>
          <cell r="M557">
            <v>0</v>
          </cell>
          <cell r="N557">
            <v>0</v>
          </cell>
          <cell r="O557">
            <v>84</v>
          </cell>
          <cell r="P557">
            <v>2184000</v>
          </cell>
        </row>
        <row r="558">
          <cell r="A558" t="str">
            <v>J.2.3</v>
          </cell>
          <cell r="B558" t="str">
            <v xml:space="preserve"> EXCAVATION</v>
          </cell>
          <cell r="C558">
            <v>3500</v>
          </cell>
          <cell r="D558" t="str">
            <v>M3</v>
          </cell>
          <cell r="E558" t="str">
            <v>M+L</v>
          </cell>
          <cell r="F558" t="str">
            <v>M+L</v>
          </cell>
          <cell r="H558">
            <v>0</v>
          </cell>
          <cell r="J558">
            <v>0</v>
          </cell>
          <cell r="K558" t="str">
            <v>M+L</v>
          </cell>
          <cell r="L558" t="str">
            <v>M+L</v>
          </cell>
          <cell r="M558">
            <v>0</v>
          </cell>
          <cell r="N558">
            <v>0</v>
          </cell>
          <cell r="O558">
            <v>60</v>
          </cell>
          <cell r="P558">
            <v>210000</v>
          </cell>
        </row>
        <row r="559">
          <cell r="A559" t="str">
            <v>J.2.4</v>
          </cell>
          <cell r="B559" t="str">
            <v xml:space="preserve"> BACKFILL</v>
          </cell>
          <cell r="C559">
            <v>2550</v>
          </cell>
          <cell r="D559" t="str">
            <v>M3</v>
          </cell>
          <cell r="E559" t="str">
            <v>M+L</v>
          </cell>
          <cell r="F559" t="str">
            <v>M+L</v>
          </cell>
          <cell r="H559">
            <v>0</v>
          </cell>
          <cell r="J559">
            <v>0</v>
          </cell>
          <cell r="K559" t="str">
            <v>M+L</v>
          </cell>
          <cell r="L559" t="str">
            <v>M+L</v>
          </cell>
          <cell r="M559">
            <v>0</v>
          </cell>
          <cell r="N559">
            <v>0</v>
          </cell>
          <cell r="O559">
            <v>100</v>
          </cell>
          <cell r="P559">
            <v>255000</v>
          </cell>
        </row>
        <row r="560">
          <cell r="A560" t="str">
            <v>J.2.5</v>
          </cell>
          <cell r="B560" t="str">
            <v xml:space="preserve"> CONCRETE FOR DUCT BANK 2000 PSI</v>
          </cell>
          <cell r="C560">
            <v>950</v>
          </cell>
          <cell r="D560" t="str">
            <v>M3</v>
          </cell>
          <cell r="E560" t="str">
            <v>M+L</v>
          </cell>
          <cell r="F560" t="str">
            <v>M+L</v>
          </cell>
          <cell r="H560">
            <v>0</v>
          </cell>
          <cell r="J560">
            <v>0</v>
          </cell>
          <cell r="K560" t="str">
            <v>M+L</v>
          </cell>
          <cell r="L560" t="str">
            <v>M+L</v>
          </cell>
          <cell r="M560">
            <v>0</v>
          </cell>
          <cell r="N560">
            <v>0</v>
          </cell>
          <cell r="O560">
            <v>1700</v>
          </cell>
          <cell r="P560">
            <v>1615000</v>
          </cell>
        </row>
        <row r="561">
          <cell r="A561" t="str">
            <v>J.2.6</v>
          </cell>
          <cell r="B561" t="str">
            <v xml:space="preserve"> RED COLORED OXIDE</v>
          </cell>
          <cell r="C561">
            <v>8550</v>
          </cell>
          <cell r="D561" t="str">
            <v>KG</v>
          </cell>
          <cell r="E561" t="str">
            <v>M+L</v>
          </cell>
          <cell r="F561" t="str">
            <v>M+L</v>
          </cell>
          <cell r="H561">
            <v>0</v>
          </cell>
          <cell r="J561">
            <v>0</v>
          </cell>
          <cell r="K561" t="str">
            <v>M+L</v>
          </cell>
          <cell r="L561" t="str">
            <v>M+L</v>
          </cell>
          <cell r="M561">
            <v>0</v>
          </cell>
          <cell r="N561">
            <v>0</v>
          </cell>
          <cell r="O561">
            <v>60</v>
          </cell>
          <cell r="P561">
            <v>513000</v>
          </cell>
        </row>
        <row r="562">
          <cell r="A562" t="str">
            <v>J.2.7</v>
          </cell>
          <cell r="B562" t="str">
            <v xml:space="preserve"> DISPOSAL</v>
          </cell>
          <cell r="C562">
            <v>950</v>
          </cell>
          <cell r="D562" t="str">
            <v>M3</v>
          </cell>
          <cell r="E562" t="str">
            <v>M+L</v>
          </cell>
          <cell r="F562" t="str">
            <v>M+L</v>
          </cell>
          <cell r="H562">
            <v>0</v>
          </cell>
          <cell r="J562">
            <v>0</v>
          </cell>
          <cell r="K562" t="str">
            <v>M+L</v>
          </cell>
          <cell r="L562" t="str">
            <v>M+L</v>
          </cell>
          <cell r="M562">
            <v>0</v>
          </cell>
          <cell r="N562">
            <v>0</v>
          </cell>
          <cell r="O562">
            <v>220</v>
          </cell>
          <cell r="P562">
            <v>209000</v>
          </cell>
        </row>
        <row r="563">
          <cell r="A563" t="str">
            <v>J.2.8</v>
          </cell>
          <cell r="B563" t="str">
            <v xml:space="preserve"> FORMWORK</v>
          </cell>
          <cell r="C563">
            <v>2000</v>
          </cell>
          <cell r="D563" t="str">
            <v>M2</v>
          </cell>
          <cell r="E563" t="str">
            <v>M+L</v>
          </cell>
          <cell r="F563" t="str">
            <v>M+L</v>
          </cell>
          <cell r="H563">
            <v>0</v>
          </cell>
          <cell r="J563">
            <v>0</v>
          </cell>
          <cell r="K563" t="str">
            <v>M+L</v>
          </cell>
          <cell r="L563" t="str">
            <v>M+L</v>
          </cell>
          <cell r="M563">
            <v>0</v>
          </cell>
          <cell r="N563">
            <v>0</v>
          </cell>
          <cell r="O563">
            <v>360</v>
          </cell>
          <cell r="P563">
            <v>720000</v>
          </cell>
        </row>
        <row r="564">
          <cell r="A564" t="str">
            <v>J.2.9</v>
          </cell>
          <cell r="B564" t="str">
            <v xml:space="preserve"> RE-BAR</v>
          </cell>
          <cell r="C564">
            <v>18250</v>
          </cell>
          <cell r="D564" t="str">
            <v>KG</v>
          </cell>
          <cell r="E564" t="str">
            <v>M+L</v>
          </cell>
          <cell r="F564" t="str">
            <v>M+L</v>
          </cell>
          <cell r="H564">
            <v>0</v>
          </cell>
          <cell r="J564">
            <v>0</v>
          </cell>
          <cell r="K564" t="str">
            <v>M+L</v>
          </cell>
          <cell r="L564" t="str">
            <v>M+L</v>
          </cell>
          <cell r="M564">
            <v>0</v>
          </cell>
          <cell r="N564">
            <v>0</v>
          </cell>
          <cell r="O564">
            <v>16</v>
          </cell>
          <cell r="P564">
            <v>292000</v>
          </cell>
        </row>
        <row r="565">
          <cell r="A565" t="str">
            <v>J.2.10</v>
          </cell>
          <cell r="B565" t="str">
            <v xml:space="preserve"> MAN-HOLE, (與儀控共用)</v>
          </cell>
          <cell r="C565">
            <v>0</v>
          </cell>
          <cell r="D565" t="str">
            <v>SET</v>
          </cell>
          <cell r="P565">
            <v>0</v>
          </cell>
        </row>
        <row r="566">
          <cell r="A566" t="str">
            <v>J.2.11</v>
          </cell>
          <cell r="B566" t="str">
            <v xml:space="preserve"> HAND HOLE, 1200Lx1000Wx1200D</v>
          </cell>
          <cell r="C566">
            <v>7</v>
          </cell>
          <cell r="D566" t="str">
            <v>SET</v>
          </cell>
          <cell r="E566" t="str">
            <v>M+L</v>
          </cell>
          <cell r="F566" t="str">
            <v>M+L</v>
          </cell>
          <cell r="H566">
            <v>0</v>
          </cell>
          <cell r="J566">
            <v>0</v>
          </cell>
          <cell r="K566" t="str">
            <v>M+L</v>
          </cell>
          <cell r="L566" t="str">
            <v>M+L</v>
          </cell>
          <cell r="M566">
            <v>0</v>
          </cell>
          <cell r="N566">
            <v>0</v>
          </cell>
          <cell r="O566">
            <v>18000</v>
          </cell>
          <cell r="P566">
            <v>126000</v>
          </cell>
        </row>
        <row r="567">
          <cell r="A567" t="str">
            <v>J.2.12</v>
          </cell>
          <cell r="B567" t="str">
            <v xml:space="preserve"> COMPOND FOR WATER SEALING(IN MH.)</v>
          </cell>
          <cell r="C567">
            <v>1250</v>
          </cell>
          <cell r="D567" t="str">
            <v>KG</v>
          </cell>
          <cell r="E567" t="str">
            <v>M+L</v>
          </cell>
          <cell r="F567" t="str">
            <v>M+L</v>
          </cell>
          <cell r="H567">
            <v>0</v>
          </cell>
          <cell r="J567">
            <v>0</v>
          </cell>
          <cell r="K567" t="str">
            <v>M+L</v>
          </cell>
          <cell r="L567" t="str">
            <v>M+L</v>
          </cell>
          <cell r="M567">
            <v>0</v>
          </cell>
          <cell r="N567">
            <v>0</v>
          </cell>
          <cell r="O567">
            <v>200</v>
          </cell>
          <cell r="P567">
            <v>250000</v>
          </cell>
        </row>
        <row r="568">
          <cell r="B568" t="str">
            <v>SUB-TOTAL : (J.2)</v>
          </cell>
          <cell r="F568">
            <v>1004000</v>
          </cell>
          <cell r="J568">
            <v>8020</v>
          </cell>
          <cell r="L568">
            <v>1004000</v>
          </cell>
          <cell r="P568">
            <v>6436000</v>
          </cell>
        </row>
        <row r="569">
          <cell r="F569">
            <v>0</v>
          </cell>
          <cell r="H569">
            <v>0</v>
          </cell>
          <cell r="J569">
            <v>0</v>
          </cell>
          <cell r="K569">
            <v>0</v>
          </cell>
          <cell r="L569">
            <v>0</v>
          </cell>
          <cell r="M569">
            <v>0</v>
          </cell>
          <cell r="N569">
            <v>0</v>
          </cell>
          <cell r="O569">
            <v>0</v>
          </cell>
          <cell r="P569">
            <v>0</v>
          </cell>
        </row>
        <row r="570">
          <cell r="B570" t="str">
            <v>SUB-TOTAL : (J)</v>
          </cell>
          <cell r="F570">
            <v>5900800</v>
          </cell>
          <cell r="H570">
            <v>0</v>
          </cell>
          <cell r="J570">
            <v>27331</v>
          </cell>
          <cell r="K570">
            <v>0</v>
          </cell>
          <cell r="L570">
            <v>5900800</v>
          </cell>
          <cell r="M570">
            <v>0</v>
          </cell>
          <cell r="N570">
            <v>0</v>
          </cell>
          <cell r="O570">
            <v>0</v>
          </cell>
          <cell r="P570">
            <v>21953600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6.xml><?xml version="1.0" encoding="utf-8"?>
<externalLink xmlns="http://schemas.openxmlformats.org/spreadsheetml/2006/main">
  <externalBook xmlns:r="http://schemas.openxmlformats.org/officeDocument/2006/relationships" r:id="rId1">
    <sheetNames>
      <sheetName val="RFP003E"/>
      <sheetName val="TOTAL"/>
      <sheetName val="Pivot(Silicate)"/>
      <sheetName val="Pivot(RockWool)"/>
      <sheetName val="Pivot(Form Glass)"/>
      <sheetName val="Pivot(Urethan)"/>
      <sheetName val="Pivot(Glass Wool)"/>
      <sheetName val="ROCK WOOL"/>
      <sheetName val="SILICATE"/>
    </sheetNames>
    <sheetDataSet>
      <sheetData sheetId="0"/>
      <sheetData sheetId="1"/>
      <sheetData sheetId="2"/>
      <sheetData sheetId="3"/>
      <sheetData sheetId="4"/>
      <sheetData sheetId="5"/>
      <sheetData sheetId="6"/>
      <sheetData sheetId="7"/>
      <sheetData sheetId="8"/>
    </sheetDataSet>
  </externalBook>
</externalLink>
</file>

<file path=xl/externalLinks/externalLink7.xml><?xml version="1.0" encoding="utf-8"?>
<externalLink xmlns="http://schemas.openxmlformats.org/spreadsheetml/2006/main">
  <externalBook xmlns:r="http://schemas.openxmlformats.org/officeDocument/2006/relationships" r:id="rId1">
    <sheetNames>
      <sheetName val="PIPE-03E"/>
      <sheetName val="KLHT"/>
      <sheetName val="THKP"/>
      <sheetName val="KL XL2000"/>
      <sheetName val="KLXL2001"/>
      <sheetName val="THKP2001"/>
      <sheetName val="KLphanbo"/>
      <sheetName val="Chiet tinh"/>
      <sheetName val="XL4Poppy"/>
      <sheetName val="Van chuyen"/>
      <sheetName val="THKP (2)"/>
      <sheetName val="T.Bi"/>
      <sheetName val="Thiet ke"/>
      <sheetName val="Sheet2"/>
      <sheetName val="Sheet1"/>
      <sheetName val="CT"/>
      <sheetName val="K.luong"/>
      <sheetName val="Sheet4"/>
      <sheetName val="Sheet3"/>
      <sheetName val="TT L2"/>
      <sheetName val="TT L1"/>
      <sheetName val="Thue Ngoai"/>
      <sheetName val="KH"/>
      <sheetName val="DM"/>
      <sheetName val="DD&amp;TV"/>
      <sheetName val="CDSL"/>
      <sheetName val="PTSL"/>
      <sheetName val="THCP"/>
      <sheetName val="VT"/>
      <sheetName val="NL"/>
      <sheetName val="SoSanh"/>
      <sheetName val="QTVT"/>
      <sheetName val="QTNC"/>
      <sheetName val="Sheet5"/>
      <sheetName val="Sheet6"/>
      <sheetName val="Sheet7"/>
      <sheetName val="Sheet8"/>
      <sheetName val="Sheet9"/>
      <sheetName val="Sheet10"/>
      <sheetName val="Sheet11"/>
      <sheetName val="Sheet12"/>
      <sheetName val="LUAN CHUYEN"/>
      <sheetName val="KE QUY"/>
      <sheetName val="CPC"/>
      <sheetName val="LUONGGIAN TIEP"/>
      <sheetName val="CLUONG"/>
      <sheetName val="VAY VON"/>
      <sheetName val="O.THAO"/>
      <sheetName val="Q.TRUNG"/>
      <sheetName val="THUY"/>
      <sheetName val="Y.THANH"/>
      <sheetName val="621"/>
      <sheetName val="333"/>
      <sheetName val="627"/>
      <sheetName val="TTLUONG"/>
      <sheetName val="Chart1"/>
      <sheetName val="Interim payment"/>
      <sheetName val="Letter"/>
      <sheetName val="Bid Sum"/>
      <sheetName val="Item B"/>
      <sheetName val="Dg A"/>
      <sheetName val="Dg B&amp;C"/>
      <sheetName val="Rates&amp;Prices"/>
      <sheetName val="Material at site"/>
      <sheetName val="Gia VL"/>
      <sheetName val="Bang gia ca may"/>
      <sheetName val="Bang luong CB"/>
      <sheetName val="Bang P.tich CT"/>
      <sheetName val="D.toan chi tiet"/>
      <sheetName val="Bang TH Dtoan"/>
      <sheetName val="XXXXXXXX"/>
      <sheetName val="1"/>
      <sheetName val="PTCT"/>
      <sheetName val="CDghino"/>
      <sheetName val="Tonghop"/>
      <sheetName val="TH (T1-6)"/>
      <sheetName val="ThueTB"/>
      <sheetName val="SCD5"/>
      <sheetName val=" NL"/>
      <sheetName val="CPVL-CPM"/>
      <sheetName val="PTVL"/>
      <sheetName val="TH"/>
      <sheetName val="CD1"/>
      <sheetName val=" NL (2)"/>
      <sheetName val="CDTHCT"/>
      <sheetName val="CDTHCT (3)"/>
      <sheetName val="BCC (2)"/>
      <sheetName val="Bao cao"/>
      <sheetName val="Bao cao 2"/>
      <sheetName val="BC3"/>
      <sheetName val="THKL"/>
      <sheetName val="Khoi luong"/>
      <sheetName val="Khoi luong mat"/>
      <sheetName val="Bang ke"/>
      <sheetName val="KLCL"/>
      <sheetName val="T.HopKL"/>
      <sheetName val="S.Luong"/>
      <sheetName val="PTCP2"/>
      <sheetName val="CPBVTC2"/>
      <sheetName val="D.Dap"/>
      <sheetName val="Q.Toan"/>
      <sheetName val="NCong"/>
      <sheetName val="Phan tich chi phi"/>
      <sheetName val="Chi phi nen theo BVTC"/>
      <sheetName val="CPTBVTC3"/>
      <sheetName val="nhan cong phu"/>
      <sheetName val="nhan cong Hung"/>
      <sheetName val="Nhan cong"/>
      <sheetName val="CCD2"/>
      <sheetName val="BCC"/>
      <sheetName val="Doi2"/>
      <sheetName val="Khoi luong nen theo BVTC"/>
      <sheetName val="binh do"/>
      <sheetName val="cot lieu"/>
      <sheetName val="van khuon"/>
      <sheetName val="CT BT"/>
      <sheetName val="lay mau"/>
      <sheetName val="mat ngoai goi"/>
      <sheetName val="coc tram-bt"/>
      <sheetName val="DTHH"/>
      <sheetName val="Bang1"/>
      <sheetName val="TAI TRONG"/>
      <sheetName val="NOI LUC"/>
      <sheetName val="TINH DUYET THTT CHINH"/>
      <sheetName val="TDUYET THTT PHU"/>
      <sheetName val="TINH DAO DONG VA DO VONG"/>
      <sheetName val="TINH NEO"/>
      <sheetName val="116(300)"/>
      <sheetName val="116(200)"/>
      <sheetName val="116(150)"/>
      <sheetName val="00000000"/>
      <sheetName val="MD"/>
      <sheetName val="ND"/>
      <sheetName val="CONG"/>
      <sheetName val="DGCT"/>
      <sheetName val="BC_KKTSCD"/>
      <sheetName val="Chitiet"/>
      <sheetName val="Sheet2 (2)"/>
      <sheetName val="Mau_BC_KKTSCD"/>
      <sheetName val="Chi tiet - Dv lap"/>
      <sheetName val="TH KHTC"/>
      <sheetName val="000"/>
      <sheetName val="Dong Dau"/>
      <sheetName val="Dong Dau (2)"/>
      <sheetName val="Sau dong"/>
      <sheetName val="Ma xa"/>
      <sheetName val="My dinh"/>
      <sheetName val="Tong cong"/>
      <sheetName val="KH 2003 (moi max)"/>
      <sheetName val="Bang VL"/>
      <sheetName val="VL(No V-c)"/>
      <sheetName val="He so"/>
      <sheetName val="PL Vua"/>
      <sheetName val="Chitieu-dam cac loai"/>
      <sheetName val="DG Dam"/>
      <sheetName val="DG chung"/>
      <sheetName val="DGdg"/>
      <sheetName val="VL-dac chung"/>
      <sheetName val="CocKN1m"/>
      <sheetName val="Coc40x40cm"/>
      <sheetName val="CT 1md &amp; dau cong"/>
      <sheetName val="Tong hop"/>
      <sheetName val="CT cong"/>
      <sheetName val="dg cong"/>
      <sheetName val="DT"/>
      <sheetName val="THND"/>
      <sheetName val="klcong"/>
      <sheetName val="THMD"/>
      <sheetName val="Phtro1"/>
      <sheetName val="DTKS1"/>
      <sheetName val="CT1m"/>
      <sheetName val="thkl (2)"/>
      <sheetName val="kht8"/>
      <sheetName val="long tec"/>
      <sheetName val="nlongt"/>
      <sheetName val="tuanb"/>
      <sheetName val="ntuanb"/>
      <sheetName val="nbinh"/>
      <sheetName val="nque"/>
      <sheetName val="ntien"/>
      <sheetName val="ntuanH"/>
      <sheetName val="nmuoi"/>
      <sheetName val="nnghia"/>
      <sheetName val="ntuanM"/>
      <sheetName val="nthi"/>
      <sheetName val="nchung"/>
      <sheetName val="nanh"/>
      <sheetName val="nthang"/>
      <sheetName val="nnguyen"/>
      <sheetName val="ntuc"/>
      <sheetName val="nngan"/>
      <sheetName val="nloi"/>
      <sheetName val="nphuock"/>
      <sheetName val="nphuoch"/>
      <sheetName val="nsonpd"/>
      <sheetName val="nphuock04"/>
      <sheetName val="nphuoch04"/>
      <sheetName val="nphuocpd04"/>
      <sheetName val="nphuocd04"/>
      <sheetName val="nphuoctr04"/>
      <sheetName val="nphuocb04"/>
      <sheetName val="phong"/>
      <sheetName val="Km0-Km1"/>
      <sheetName val="Km1-Km2"/>
      <sheetName val="BU CTPH"/>
      <sheetName val="CTPH"/>
      <sheetName val="BU tran3+360.22"/>
      <sheetName val="Tran3+360.22"/>
      <sheetName val="BU tran2+386.4"/>
      <sheetName val="Tran2+386.4"/>
      <sheetName val="Bu4-5"/>
      <sheetName val="DTcong 4-5"/>
      <sheetName val="BU3-4"/>
      <sheetName val="dtcong3-4"/>
      <sheetName val="bu2-3"/>
      <sheetName val="dtcong2-3"/>
      <sheetName val="Bu 1-2"/>
      <sheetName val="dtcong1-2"/>
      <sheetName val="bu0-1"/>
      <sheetName val="dtcong0-1"/>
      <sheetName val="KLc1"/>
      <sheetName val="Bu 12-13"/>
      <sheetName val="DTcong 12-13"/>
      <sheetName val="BU13-13+"/>
      <sheetName val="DT cong13-13+"/>
      <sheetName val="BU- nhanh"/>
      <sheetName val="Bunh1-2"/>
      <sheetName val="dtcong nh1-2"/>
      <sheetName val="BUnh0-1"/>
      <sheetName val="dtcong nh0-1"/>
      <sheetName val="BU5-6"/>
      <sheetName val="DTcong5-6"/>
      <sheetName val="BU6-7"/>
      <sheetName val="DTcong6-7"/>
      <sheetName val="BU7-8"/>
      <sheetName val="DTcong7-8"/>
      <sheetName val="BU8-9"/>
      <sheetName val="DTcong8-9"/>
      <sheetName val="BU9-10"/>
      <sheetName val="DTcong9-10"/>
      <sheetName val="BU10-11"/>
      <sheetName val="DTcong10-11"/>
      <sheetName val="BU 11-12"/>
      <sheetName val="DTcong 11-12"/>
      <sheetName val="Mnh1-2+80"/>
      <sheetName val="Pr- CC"/>
      <sheetName val="Nnh1-2+80"/>
      <sheetName val="Mnh0-1"/>
      <sheetName val="Nnh0-1"/>
      <sheetName val="MD13-13+334"/>
      <sheetName val="ND13-13+334"/>
      <sheetName val="BU-TK"/>
      <sheetName val="MD12-13"/>
      <sheetName val="ND12-13"/>
      <sheetName val="MD11-12"/>
      <sheetName val="ND11-12"/>
      <sheetName val="MD10-11"/>
      <sheetName val="ND10-11"/>
      <sheetName val="MD9-10"/>
      <sheetName val="ND9-10"/>
      <sheetName val="MD8-9"/>
      <sheetName val="ND8-9"/>
      <sheetName val="MD7-8"/>
      <sheetName val="ND7-8"/>
      <sheetName val="MD6-7"/>
      <sheetName val="ND6-7"/>
      <sheetName val="MD5-6"/>
      <sheetName val="ND5-6"/>
      <sheetName val="MD4-5"/>
      <sheetName val="ND4-5"/>
      <sheetName val="MD 3-4"/>
      <sheetName val="ND 3-4"/>
      <sheetName val="MD2-3"/>
      <sheetName val="ND2-3"/>
      <sheetName val="MD 1-2"/>
      <sheetName val="ND 1-2"/>
      <sheetName val="MD 0-1"/>
      <sheetName val="ND 0-1"/>
      <sheetName val="km11-12"/>
      <sheetName val="km10-11"/>
      <sheetName val="KLN"/>
      <sheetName val="KL tong"/>
      <sheetName val="Congty"/>
      <sheetName val="VPPN"/>
      <sheetName val="XN74"/>
      <sheetName val="XN54"/>
      <sheetName val="XN33"/>
      <sheetName val="NK96"/>
      <sheetName val="XL4Test5"/>
      <sheetName val="THCT"/>
      <sheetName val="cap cho cac DT"/>
      <sheetName val="Ung - hoan"/>
      <sheetName val="CP may"/>
      <sheetName val="SS"/>
      <sheetName val="NVL"/>
      <sheetName val="10000000"/>
      <sheetName val="372+132-181"/>
      <sheetName val="372+00-025-T"/>
      <sheetName val="371+920-1000-T"/>
      <sheetName val="371-340-386"/>
      <sheetName val="371+036-175"/>
      <sheetName val="371+920-1000-P"/>
      <sheetName val="371+650-800"/>
      <sheetName val="371+340-386"/>
      <sheetName val="371+00-150"/>
      <sheetName val="370+625-720"/>
      <sheetName val="370+402-550"/>
      <sheetName val="370+227-300"/>
      <sheetName val="370+00-10"/>
      <sheetName val="370+933-1000"/>
      <sheetName val="370+421-550"/>
      <sheetName val="370+246-280"/>
      <sheetName val="370+135-160"/>
      <sheetName val="369+700-730"/>
      <sheetName val="369+592-700"/>
      <sheetName val="369+400-542"/>
      <sheetName val="369+940-008"/>
      <sheetName val="369+800-908"/>
      <sheetName val="369+606-722"/>
      <sheetName val="369+411-526"/>
      <sheetName val="368+517-580"/>
      <sheetName val="368+822-900"/>
      <sheetName val="368+530-687"/>
      <sheetName val="368+00-25"/>
      <sheetName val="369+"/>
      <sheetName val="AC PC"/>
      <sheetName val="LT"/>
      <sheetName val="LP"/>
      <sheetName val="Dao-P"/>
      <sheetName val="AC66-436"/>
      <sheetName val="Dao-T"/>
      <sheetName val="cd viaK0-T6"/>
      <sheetName val="cdvia T6-Tc24"/>
      <sheetName val="cdvia Tc24-T46"/>
      <sheetName val="cdbtnL2ko-k0+361"/>
      <sheetName val="cd btnL2k0+361-T19"/>
      <sheetName val="01"/>
      <sheetName val="02"/>
      <sheetName val="03"/>
      <sheetName val="04"/>
      <sheetName val="05"/>
      <sheetName val="Sheet13"/>
      <sheetName val="Sheet14"/>
      <sheetName val="Sheet15"/>
      <sheetName val="Sheet16"/>
      <sheetName val="Sheet17"/>
      <sheetName val="Sheet18"/>
      <sheetName val="Sheet19"/>
      <sheetName val="Sheet20"/>
      <sheetName val="Chart2"/>
      <sheetName val="TM"/>
      <sheetName val="Bia"/>
      <sheetName val="BU-gian"/>
      <sheetName val="Bu-Ha"/>
      <sheetName val="PTVT"/>
      <sheetName val="Gia DAN"/>
      <sheetName val="Dan"/>
      <sheetName val="Cuoc"/>
      <sheetName val="Bugia"/>
      <sheetName val="KL57"/>
      <sheetName val="26+180-400.2"/>
      <sheetName val="26+180.Sub1"/>
      <sheetName val="26+180.Sub4"/>
      <sheetName val="26+180-400.5(k95)"/>
      <sheetName val="26+400-620.3(k95)"/>
      <sheetName val="26+400-640.1(k95)"/>
      <sheetName val="26+960-27+150.9"/>
      <sheetName val="26+960-27+150.10"/>
      <sheetName val="26+960-27+150.11"/>
      <sheetName val="26+960-27+150.12"/>
      <sheetName val="26+960-27+150.5(k95)"/>
      <sheetName val="26+960-27+150.4(k95)"/>
      <sheetName val="26+960-27+150.1(k95)"/>
      <sheetName val="27+500-700.5(k95)"/>
      <sheetName val="27+500-700.4(k95)"/>
      <sheetName val="27+500-700.3(k95)"/>
      <sheetName val="27+500-700.1(k95)"/>
      <sheetName val="27+740-920.3(k95)"/>
      <sheetName val="27+740-920.21"/>
      <sheetName val="27+920-28+040.6,7"/>
      <sheetName val="27+920-28+040,8,9"/>
      <sheetName val="27+920-28+040.10"/>
      <sheetName val="27+920-28+040,11"/>
      <sheetName val="27+920-28+160.Su3"/>
      <sheetName val="28+160-28+420,17Top"/>
      <sheetName val="28+160-28+420.5K95"/>
      <sheetName val="28+430-657.7"/>
      <sheetName val="Km28+430-657.8"/>
      <sheetName val="28+430-657.9"/>
      <sheetName val="28+430-667.10"/>
      <sheetName val="28+430-657.11"/>
      <sheetName val="28+430-657.4k95"/>
      <sheetName val="28+500-657.18"/>
      <sheetName val="28+520-657.19"/>
      <sheetName val="VL"/>
      <sheetName val="CTXD"/>
      <sheetName val=".."/>
      <sheetName val="CTDN"/>
      <sheetName val="san vuon"/>
      <sheetName val="khu phu tro"/>
      <sheetName val="Phu luc"/>
      <sheetName val="Gia trÞ"/>
      <sheetName val="KH12"/>
      <sheetName val="CN12"/>
      <sheetName val="HD12"/>
      <sheetName val="KH1"/>
      <sheetName val="Thuyet minh"/>
      <sheetName val="CQ-HQ"/>
      <sheetName val="be tong"/>
      <sheetName val="Thep"/>
      <sheetName val="Tong hop thep"/>
      <sheetName val="CT Duong"/>
      <sheetName val="D.gia"/>
      <sheetName val="T.hop"/>
      <sheetName val="Khoan"/>
      <sheetName val="CtP.tro"/>
      <sheetName val="Nha moi"/>
      <sheetName val="NamBanThach"/>
      <sheetName val="KhoanDuong"/>
      <sheetName val="DeNghiDuong"/>
      <sheetName val="TT-BDH-B1"/>
      <sheetName val="TT-T.Tron So 2"/>
      <sheetName val="TT-Doi6-Dot-1"/>
      <sheetName val="ChietTinh"/>
      <sheetName val="Ct.Dam "/>
      <sheetName val="Ct.Duoi"/>
      <sheetName val="Ct.Tren"/>
      <sheetName val="CtVKdam"/>
      <sheetName val="asphal"/>
      <sheetName val="Gvua"/>
      <sheetName val="D.giaMay"/>
      <sheetName val="Thep "/>
      <sheetName val="Chi tiet Khoi luong"/>
      <sheetName val="TH khoi luong"/>
      <sheetName val="Chiet tinh vat lieu "/>
      <sheetName val="TH KL VL"/>
      <sheetName val="phan tich DG"/>
      <sheetName val="gia vat lieu"/>
      <sheetName val="gia xe may"/>
      <sheetName val="gia nhan cong"/>
      <sheetName val="tong hop thanh toan thue"/>
      <sheetName val="bang ke nop thue"/>
      <sheetName val="Tonh hop chi phi"/>
      <sheetName val="BK chi phi"/>
      <sheetName val="KTra DS va thue GTGT"/>
      <sheetName val="Kiãøm tra DS thue GTGT"/>
      <sheetName val="XUAT(gia von)"/>
      <sheetName val="nhap"/>
      <sheetName val="Xuat (gia ban)"/>
      <sheetName val="Dchinh TH N-X-T"/>
      <sheetName val="Tong hop N-X-T"/>
      <sheetName val="thue TH"/>
      <sheetName val="tong hop 2001"/>
      <sheetName val="qUYET TOAN THUE"/>
      <sheetName val="N-X-T=L"/>
      <sheetName val="cong Q2"/>
      <sheetName val="T.U luong Q1"/>
      <sheetName val="T.U luong Q2"/>
      <sheetName val="T.U luong Q3"/>
      <sheetName val="CDTHU CHI T1"/>
      <sheetName val="THUCHI 2"/>
      <sheetName val="THU CHI3"/>
      <sheetName val="THU CHI 4"/>
      <sheetName val="THU CHI5"/>
      <sheetName val="THU CHI 6"/>
      <sheetName val="TU CHI 7"/>
      <sheetName val="THU CHI9"/>
      <sheetName val="THU CHI 8"/>
      <sheetName val="THU CHI 10"/>
      <sheetName val="THU CHI 11"/>
      <sheetName val="THU CHI 12"/>
      <sheetName val="tscd"/>
      <sheetName val="DS them luong qui 4-2002"/>
      <sheetName val="Phuc loi 2-9-02"/>
      <sheetName val="PCLB-2002"/>
      <sheetName val="Thuong nhan dip 21-12-02"/>
      <sheetName val="Thuong dip nhan danh hieu AHL§"/>
      <sheetName val="Thang luong thu 13 nam 2002"/>
      <sheetName val="Luong SX# dip Tet Qui Mui(dong)"/>
      <sheetName val="dutoan1"/>
      <sheetName val="Anhtoan"/>
      <sheetName val="dutoan2"/>
      <sheetName val="vat tu"/>
      <sheetName val="Dc Dau"/>
      <sheetName val=" o to Hien 8"/>
      <sheetName val=" o to Hien9"/>
      <sheetName val=" o to Hien10"/>
      <sheetName val=" o to Hien11"/>
      <sheetName val=" o to Hien12)"/>
      <sheetName val=" o to Hien1"/>
      <sheetName val=" o to Hien2"/>
      <sheetName val=" o to Hien3"/>
      <sheetName val=" o to Hien4"/>
      <sheetName val=" o to Hien5"/>
      <sheetName val=" o to Phong 8"/>
      <sheetName val=" o to Phong9"/>
      <sheetName val=" o to Phong10"/>
      <sheetName val=" o to Phong11"/>
      <sheetName val=" o to Phong12)"/>
      <sheetName val=" o to Phong1"/>
      <sheetName val=" o to Phong2"/>
      <sheetName val=" o to Phong3"/>
      <sheetName val=" o to Phong4"/>
      <sheetName val=" o to Phong5"/>
      <sheetName val=" o to Dung 8 "/>
      <sheetName val=" D tt dau8"/>
      <sheetName val=" o to Dung 9"/>
      <sheetName val=" D9 tt dau"/>
      <sheetName val=" D10 tt dau"/>
      <sheetName val=" o to Dung 10"/>
      <sheetName val=" o to Dung 11"/>
      <sheetName val=" o to Dung 12)"/>
      <sheetName val=" o to Dung 1"/>
      <sheetName val=" o to Dung2"/>
      <sheetName val=" o to Dung3"/>
      <sheetName val=" o to Dung4"/>
      <sheetName val=" o totrongT10-12"/>
      <sheetName val=" o totrongT2"/>
      <sheetName val=" o totrungT10-12"/>
      <sheetName val=" o toMinhT10-12 "/>
      <sheetName val=" o toMinhT2"/>
      <sheetName val=" o toTrieuT10-12  "/>
      <sheetName val="Luong 8 SP"/>
      <sheetName val="Luong 9 SP "/>
      <sheetName val="Luong 10 SP "/>
      <sheetName val="Luong 11 SP "/>
      <sheetName val="Luong 12 SP"/>
      <sheetName val="Luong 1 SP1"/>
      <sheetName val="Luong 2 SP2"/>
      <sheetName val="Luong 3 SP3"/>
      <sheetName val="Luong 4 SP4"/>
      <sheetName val="Luong 4 SP5"/>
      <sheetName val="BTTTLT8"/>
      <sheetName val="BTTTLT9"/>
      <sheetName val="BTTTLT10"/>
      <sheetName val="BTTTLT11"/>
      <sheetName val="BTTTLT12"/>
      <sheetName val="BTTTLT1"/>
      <sheetName val="BTTTLT2"/>
      <sheetName val="BTTTLT3"/>
      <sheetName val="BTTTLT4"/>
      <sheetName val="BTTTLT5"/>
      <sheetName val="K249 K98"/>
      <sheetName val="K249 K98 (2)"/>
      <sheetName val="K251 K98"/>
      <sheetName val="K251 SBase"/>
      <sheetName val="K251 AC"/>
      <sheetName val="K252 K98"/>
      <sheetName val="K252 SBase"/>
      <sheetName val="K252 AC"/>
      <sheetName val="K253"/>
      <sheetName val="K253 K98"/>
      <sheetName val="K253 Subbase"/>
      <sheetName val="K253 Base "/>
      <sheetName val="K253 SBase"/>
      <sheetName val="K253 AC"/>
      <sheetName val="K255"/>
      <sheetName val="K255 SBase"/>
      <sheetName val="K259"/>
      <sheetName val="K259 K98"/>
      <sheetName val="K259 Subbase"/>
      <sheetName val="K259 Base "/>
      <sheetName val="K259 AC"/>
      <sheetName val="K260"/>
      <sheetName val="K260 K98"/>
      <sheetName val="K260 Subbase"/>
      <sheetName val="K260 Base"/>
      <sheetName val="K260 AC"/>
      <sheetName val="K261"/>
      <sheetName val="K261 K98"/>
      <sheetName val="K261 Base"/>
      <sheetName val="K261 AC"/>
      <sheetName val="Quang Tri"/>
      <sheetName val="TTHue"/>
      <sheetName val="Da Nang"/>
      <sheetName val="Quang Nam"/>
      <sheetName val="Quang Ngai"/>
      <sheetName val="TH DH-QN"/>
      <sheetName val="KP HD"/>
      <sheetName val="DB HD"/>
      <sheetName val="CHIT"/>
      <sheetName val="THXH"/>
      <sheetName val="BHXH"/>
      <sheetName val="Quyet toan"/>
      <sheetName val="Thu hoi"/>
      <sheetName val="Lai vay"/>
      <sheetName val="Tien vay"/>
      <sheetName val="Cong no"/>
      <sheetName val="Cop pha"/>
      <sheetName val="20000000"/>
      <sheetName val="00000001"/>
      <sheetName val="00000002"/>
      <sheetName val="00000003"/>
      <sheetName val="00000004"/>
      <sheetName val="Dec31"/>
      <sheetName val="Jan2"/>
      <sheetName val="Jan3"/>
      <sheetName val="Jan4"/>
      <sheetName val="Jan6"/>
      <sheetName val="Jan7"/>
      <sheetName val="Jan8"/>
      <sheetName val="Jan9"/>
      <sheetName val="Jan10"/>
      <sheetName val="Jan11"/>
      <sheetName val="Jan13"/>
      <sheetName val="Jan14"/>
      <sheetName val="Jan15"/>
      <sheetName val="Jan16"/>
      <sheetName val="Jan17"/>
      <sheetName val="Jan18"/>
      <sheetName val="Jan20"/>
      <sheetName val="Jan21"/>
      <sheetName val="Jan22"/>
      <sheetName val="Jan23"/>
      <sheetName val="Jan24"/>
      <sheetName val="Jan25"/>
      <sheetName val="Jan27"/>
      <sheetName val="Jan28"/>
      <sheetName val="9"/>
      <sheetName val="10"/>
      <sheetName val="NRC"/>
      <sheetName val="DG SOC"/>
      <sheetName val="DG HQ"/>
      <sheetName val="ENFALUX"/>
      <sheetName val="NHXP"/>
      <sheetName val="KGIAT"/>
      <sheetName val="KDR"/>
      <sheetName val="JAVEL"/>
      <sheetName val="vita"/>
      <sheetName val="TPXM"/>
      <sheetName val="XM"/>
      <sheetName val="Bot Giat C"/>
      <sheetName val="Bot Giat P "/>
      <sheetName val="TP"/>
      <sheetName val="BRTAICHE"/>
      <sheetName val="THBKEO"/>
      <sheetName val="PBBKEO"/>
      <sheetName val="THAY THUNG H"/>
      <sheetName val="BBKK"/>
      <sheetName val="thi nghiem"/>
      <sheetName val="CBQT"/>
      <sheetName val="Outlets"/>
      <sheetName val="PGs"/>
      <sheetName val="TK111"/>
      <sheetName val="TK112"/>
      <sheetName val="TK131"/>
      <sheetName val="TK1331"/>
      <sheetName val="TK136"/>
      <sheetName val="TK138"/>
      <sheetName val="TK141"/>
      <sheetName val="TK152"/>
      <sheetName val="TK153"/>
      <sheetName val="TK154"/>
      <sheetName val="TK211"/>
      <sheetName val="TK214"/>
      <sheetName val="TK311"/>
      <sheetName val="TK331"/>
      <sheetName val="TK3331"/>
      <sheetName val="TK3334"/>
      <sheetName val="TK334"/>
      <sheetName val="TK335"/>
      <sheetName val="TK336"/>
      <sheetName val="KM"/>
      <sheetName val="KHOANMUC"/>
      <sheetName val="CPQL"/>
      <sheetName val="SANLUONG"/>
      <sheetName val="SSCP-SL"/>
      <sheetName val="CPSX"/>
      <sheetName val="KQKD"/>
      <sheetName val="CDSL (2)"/>
      <sheetName val="sent to"/>
      <sheetName val="PACK"/>
      <sheetName val="INV"/>
      <sheetName val="TK-XUAT"/>
      <sheetName val="TK-NHAP"/>
      <sheetName val="DT 1"/>
      <sheetName val="DT 2"/>
      <sheetName val="DT 3"/>
      <sheetName val="SP"/>
      <sheetName val="NPL"/>
      <sheetName val="N"/>
      <sheetName val="X"/>
      <sheetName val="cong bien t10"/>
      <sheetName val="luong t9 "/>
      <sheetName val="bb t9"/>
      <sheetName val="XETT10-03"/>
      <sheetName val="bxet"/>
      <sheetName val="CT xa"/>
      <sheetName val="TLGC"/>
      <sheetName val="BL"/>
      <sheetName val="tc"/>
      <sheetName val="TDT"/>
      <sheetName val="xl"/>
      <sheetName val="NN"/>
      <sheetName val="Tralaivay"/>
      <sheetName val="TBTN"/>
      <sheetName val="CPTV"/>
      <sheetName val="PCCHAY"/>
      <sheetName val="dtks"/>
      <sheetName val="C47-QI-2003"/>
      <sheetName val="ytq1"/>
      <sheetName val="C48-QI-2003"/>
      <sheetName val="cap so lan 2"/>
      <sheetName val="cap so BHXH"/>
      <sheetName val="tru tien"/>
      <sheetName val="C45-2003"/>
      <sheetName val="C47-QII-2003"/>
      <sheetName val="C48-QII-2003"/>
      <sheetName val="yt q2"/>
      <sheetName val="all"/>
      <sheetName val="c45 t3"/>
      <sheetName val="c45 t6"/>
      <sheetName val="BHYT Q3.2003"/>
      <sheetName val="C45 t7"/>
      <sheetName val="C47-t07.2003"/>
      <sheetName val="C45 t8"/>
      <sheetName val="C47-t08.2003"/>
      <sheetName val="C45 t09"/>
      <sheetName val="C47-t09.2003"/>
      <sheetName val="C45T12"/>
      <sheetName val="C47 T12"/>
      <sheetName val="BHYT Q4-2003"/>
      <sheetName val="C47T11"/>
      <sheetName val="C45T11"/>
      <sheetName val="C45 T10"/>
      <sheetName val="C47-t10"/>
      <sheetName val="PXuat"/>
      <sheetName val="THVT.T5"/>
    </sheetNames>
    <definedNames>
      <definedName name="DataFilter"/>
      <definedName name="DataSort"/>
      <definedName name="GoBack" sheetId="14"/>
    </defined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refreshError="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refreshError="1"/>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Set>
  </externalBook>
</externalLink>
</file>

<file path=xl/externalLinks/externalLink8.xml><?xml version="1.0" encoding="utf-8"?>
<externalLink xmlns="http://schemas.openxmlformats.org/spreadsheetml/2006/main">
  <externalBook xmlns:r="http://schemas.openxmlformats.org/officeDocument/2006/relationships" r:id="rId1">
    <sheetNames>
      <sheetName val="Sheet1"/>
      <sheetName val="PANEL 南區焚化爐"/>
      <sheetName val="NEW-PANEL"/>
      <sheetName val="MV-PANEL"/>
    </sheetNames>
    <sheetDataSet>
      <sheetData sheetId="0"/>
      <sheetData sheetId="1"/>
      <sheetData sheetId="2"/>
      <sheetData sheetId="3"/>
    </sheetDataSet>
  </externalBook>
</externalLink>
</file>

<file path=xl/externalLinks/externalLink9.xml><?xml version="1.0" encoding="utf-8"?>
<externalLink xmlns="http://schemas.openxmlformats.org/spreadsheetml/2006/main">
  <externalBook xmlns:r="http://schemas.openxmlformats.org/officeDocument/2006/relationships" r:id="rId1">
    <sheetNames>
      <sheetName val="IBASE"/>
    </sheetNames>
    <sheetDataSet>
      <sheetData sheetId="0">
        <row r="7">
          <cell r="AH7" t="str">
            <v>SP1</v>
          </cell>
          <cell r="AI7" t="str">
            <v>SOLVENT CLEANING   (SSPC-SP-1)</v>
          </cell>
          <cell r="AJ7">
            <v>60</v>
          </cell>
          <cell r="AK7">
            <v>60</v>
          </cell>
          <cell r="AL7">
            <v>60</v>
          </cell>
        </row>
        <row r="8">
          <cell r="AH8" t="str">
            <v>SP2</v>
          </cell>
          <cell r="AI8" t="str">
            <v>HAND CLEANING   (SSPC-SP-2)</v>
          </cell>
          <cell r="AJ8">
            <v>50</v>
          </cell>
          <cell r="AK8">
            <v>50</v>
          </cell>
          <cell r="AL8">
            <v>50</v>
          </cell>
        </row>
        <row r="9">
          <cell r="AH9" t="str">
            <v>SP3</v>
          </cell>
          <cell r="AI9" t="str">
            <v>POWER CLEANING   (SSPC-SP-3)</v>
          </cell>
          <cell r="AJ9">
            <v>50</v>
          </cell>
          <cell r="AK9">
            <v>50</v>
          </cell>
          <cell r="AL9">
            <v>50</v>
          </cell>
        </row>
        <row r="10">
          <cell r="AH10" t="str">
            <v>SP5</v>
          </cell>
          <cell r="AI10" t="str">
            <v>WHITE METAL BLAST   (SSPC-SP-5)</v>
          </cell>
          <cell r="AJ10">
            <v>90</v>
          </cell>
          <cell r="AK10">
            <v>90</v>
          </cell>
          <cell r="AL10">
            <v>90</v>
          </cell>
        </row>
        <row r="11">
          <cell r="AH11" t="str">
            <v>SP6</v>
          </cell>
          <cell r="AI11" t="str">
            <v>COMMERCIAL BLAST (SSPC-SP-6)</v>
          </cell>
          <cell r="AJ11">
            <v>70</v>
          </cell>
          <cell r="AK11">
            <v>70</v>
          </cell>
          <cell r="AL11">
            <v>70</v>
          </cell>
        </row>
        <row r="12">
          <cell r="AH12" t="str">
            <v>SP7</v>
          </cell>
          <cell r="AI12" t="str">
            <v>BRUSH OFF BLAST CLEANING (SSPC-SP7)</v>
          </cell>
          <cell r="AJ12">
            <v>50</v>
          </cell>
          <cell r="AK12">
            <v>50</v>
          </cell>
          <cell r="AL12">
            <v>50</v>
          </cell>
        </row>
        <row r="13">
          <cell r="AH13" t="str">
            <v>SP8</v>
          </cell>
          <cell r="AI13" t="str">
            <v>PICKLING  (SSPC-SP-8)</v>
          </cell>
          <cell r="AJ13">
            <v>350</v>
          </cell>
          <cell r="AK13">
            <v>350</v>
          </cell>
          <cell r="AL13">
            <v>350</v>
          </cell>
        </row>
        <row r="14">
          <cell r="AH14" t="str">
            <v>SP10</v>
          </cell>
          <cell r="AI14" t="str">
            <v>NEAR WHITE BLAST (SSPC-SP-10)</v>
          </cell>
          <cell r="AJ14">
            <v>80</v>
          </cell>
          <cell r="AK14">
            <v>80</v>
          </cell>
          <cell r="AL14">
            <v>80</v>
          </cell>
        </row>
        <row r="16">
          <cell r="AH16" t="str">
            <v>RLP</v>
          </cell>
          <cell r="AI16" t="str">
            <v>RED LEAD PRIMER</v>
          </cell>
          <cell r="AJ16" t="str">
            <v>0101</v>
          </cell>
          <cell r="AK16" t="str">
            <v>905(OP-91)</v>
          </cell>
          <cell r="AL16" t="str">
            <v>210</v>
          </cell>
          <cell r="AM16">
            <v>1</v>
          </cell>
          <cell r="AN16">
            <v>9.1999999999999993</v>
          </cell>
          <cell r="AO16">
            <v>9.6999999999999993</v>
          </cell>
          <cell r="AP16">
            <v>14.8</v>
          </cell>
          <cell r="AQ16">
            <v>47.83</v>
          </cell>
          <cell r="AR16">
            <v>45.36</v>
          </cell>
          <cell r="AS16">
            <v>38.51</v>
          </cell>
          <cell r="AT16">
            <v>440</v>
          </cell>
          <cell r="AU16">
            <v>440</v>
          </cell>
          <cell r="AV16">
            <v>570</v>
          </cell>
        </row>
        <row r="17">
          <cell r="AI17" t="str">
            <v>RED LEAD PRIMER</v>
          </cell>
          <cell r="AJ17" t="str">
            <v>0102</v>
          </cell>
          <cell r="AK17" t="str">
            <v>906(OP-92)</v>
          </cell>
          <cell r="AL17" t="str">
            <v>220</v>
          </cell>
          <cell r="AM17">
            <v>1</v>
          </cell>
          <cell r="AN17">
            <v>8.7799999999999994</v>
          </cell>
          <cell r="AO17">
            <v>10</v>
          </cell>
          <cell r="AP17">
            <v>12.4</v>
          </cell>
          <cell r="AQ17">
            <v>47.83</v>
          </cell>
          <cell r="AR17">
            <v>42</v>
          </cell>
          <cell r="AS17">
            <v>38.71</v>
          </cell>
          <cell r="AT17">
            <v>420</v>
          </cell>
          <cell r="AU17">
            <v>420</v>
          </cell>
          <cell r="AV17">
            <v>480</v>
          </cell>
        </row>
        <row r="18">
          <cell r="AI18" t="str">
            <v>B P RED LEAD PRIMER</v>
          </cell>
          <cell r="AJ18" t="str">
            <v>0103</v>
          </cell>
          <cell r="AK18" t="str">
            <v>911</v>
          </cell>
          <cell r="AM18">
            <v>1</v>
          </cell>
          <cell r="AN18">
            <v>8.44</v>
          </cell>
          <cell r="AO18">
            <v>9</v>
          </cell>
          <cell r="AQ18">
            <v>45</v>
          </cell>
          <cell r="AR18">
            <v>42.22</v>
          </cell>
          <cell r="AT18">
            <v>380</v>
          </cell>
          <cell r="AU18">
            <v>380</v>
          </cell>
        </row>
        <row r="19">
          <cell r="AH19" t="str">
            <v>ATP</v>
          </cell>
          <cell r="AI19" t="str">
            <v xml:space="preserve">ALUMINUM TRIPOLYPHOSPHATE PRIMER </v>
          </cell>
          <cell r="AJ19" t="str">
            <v>0107</v>
          </cell>
          <cell r="AK19" t="str">
            <v>992</v>
          </cell>
          <cell r="AL19" t="str">
            <v>221</v>
          </cell>
          <cell r="AM19">
            <v>1</v>
          </cell>
          <cell r="AN19">
            <v>12.6</v>
          </cell>
          <cell r="AO19">
            <v>7.09</v>
          </cell>
          <cell r="AP19">
            <v>11.4</v>
          </cell>
          <cell r="AQ19">
            <v>39.68</v>
          </cell>
          <cell r="AR19">
            <v>42.31</v>
          </cell>
          <cell r="AS19">
            <v>38.6</v>
          </cell>
          <cell r="AT19">
            <v>500</v>
          </cell>
          <cell r="AU19">
            <v>300</v>
          </cell>
          <cell r="AV19">
            <v>440</v>
          </cell>
        </row>
        <row r="20">
          <cell r="AH20" t="str">
            <v>AZCP</v>
          </cell>
          <cell r="AI20" t="str">
            <v xml:space="preserve">ALKYD ZINC CHROMATE PRIMER </v>
          </cell>
          <cell r="AJ20" t="str">
            <v>0111</v>
          </cell>
          <cell r="AK20" t="str">
            <v>907(OP-93)</v>
          </cell>
          <cell r="AL20" t="str">
            <v>240</v>
          </cell>
          <cell r="AM20">
            <v>1</v>
          </cell>
          <cell r="AN20">
            <v>10.9</v>
          </cell>
          <cell r="AO20">
            <v>10.6</v>
          </cell>
          <cell r="AP20">
            <v>9</v>
          </cell>
          <cell r="AQ20">
            <v>40.369999999999997</v>
          </cell>
          <cell r="AR20">
            <v>41.51</v>
          </cell>
          <cell r="AS20">
            <v>40.89</v>
          </cell>
          <cell r="AT20">
            <v>440</v>
          </cell>
          <cell r="AU20">
            <v>440</v>
          </cell>
          <cell r="AV20">
            <v>368</v>
          </cell>
        </row>
        <row r="21">
          <cell r="AH21" t="str">
            <v>ROP</v>
          </cell>
          <cell r="AI21" t="str">
            <v xml:space="preserve">RED OXIDE PRIMER </v>
          </cell>
          <cell r="AJ21" t="str">
            <v>0121</v>
          </cell>
          <cell r="AK21" t="str">
            <v>904(OP-95)</v>
          </cell>
          <cell r="AL21" t="str">
            <v>230</v>
          </cell>
          <cell r="AM21">
            <v>1</v>
          </cell>
          <cell r="AN21">
            <v>6.5</v>
          </cell>
          <cell r="AO21">
            <v>8.1999999999999993</v>
          </cell>
          <cell r="AP21">
            <v>5.2</v>
          </cell>
          <cell r="AQ21">
            <v>46.15</v>
          </cell>
          <cell r="AR21">
            <v>41.46</v>
          </cell>
          <cell r="AS21">
            <v>57.12</v>
          </cell>
          <cell r="AT21">
            <v>300</v>
          </cell>
          <cell r="AU21">
            <v>340</v>
          </cell>
          <cell r="AV21">
            <v>297</v>
          </cell>
        </row>
        <row r="22">
          <cell r="AH22" t="str">
            <v>GS</v>
          </cell>
          <cell r="AI22" t="str">
            <v xml:space="preserve">GRAY SURFACE </v>
          </cell>
          <cell r="AJ22" t="str">
            <v>0141</v>
          </cell>
          <cell r="AK22" t="str">
            <v>501</v>
          </cell>
          <cell r="AL22" t="str">
            <v>090</v>
          </cell>
          <cell r="AM22">
            <v>1</v>
          </cell>
          <cell r="AN22">
            <v>8.1</v>
          </cell>
          <cell r="AO22">
            <v>12.1</v>
          </cell>
          <cell r="AP22">
            <v>12.6</v>
          </cell>
          <cell r="AQ22">
            <v>37.04</v>
          </cell>
          <cell r="AR22">
            <v>37.19</v>
          </cell>
          <cell r="AS22">
            <v>37.94</v>
          </cell>
          <cell r="AT22">
            <v>300</v>
          </cell>
          <cell r="AU22">
            <v>450</v>
          </cell>
          <cell r="AV22">
            <v>478</v>
          </cell>
        </row>
        <row r="23">
          <cell r="AH23" t="str">
            <v>RMP</v>
          </cell>
          <cell r="AI23" t="str">
            <v>READY-MIXED PAINT</v>
          </cell>
          <cell r="AJ23" t="str">
            <v>0151</v>
          </cell>
          <cell r="AK23" t="str">
            <v>111</v>
          </cell>
          <cell r="AL23" t="str">
            <v>100</v>
          </cell>
          <cell r="AM23">
            <v>1</v>
          </cell>
          <cell r="AN23">
            <v>10.9</v>
          </cell>
          <cell r="AO23">
            <v>9.6</v>
          </cell>
          <cell r="AP23">
            <v>10</v>
          </cell>
          <cell r="AQ23">
            <v>41.28</v>
          </cell>
          <cell r="AR23">
            <v>41.67</v>
          </cell>
          <cell r="AS23">
            <v>38</v>
          </cell>
          <cell r="AT23">
            <v>450</v>
          </cell>
          <cell r="AU23">
            <v>400</v>
          </cell>
          <cell r="AV23">
            <v>380</v>
          </cell>
        </row>
        <row r="24">
          <cell r="AH24" t="str">
            <v>FRMP</v>
          </cell>
          <cell r="AI24" t="str">
            <v xml:space="preserve">FLAT READY-MIXED PAINT </v>
          </cell>
          <cell r="AJ24" t="str">
            <v>0153</v>
          </cell>
          <cell r="AK24" t="str">
            <v>508</v>
          </cell>
          <cell r="AM24">
            <v>1</v>
          </cell>
          <cell r="AN24">
            <v>11.8</v>
          </cell>
          <cell r="AO24">
            <v>9.4</v>
          </cell>
          <cell r="AQ24">
            <v>36.44</v>
          </cell>
          <cell r="AR24">
            <v>37.229999999999997</v>
          </cell>
          <cell r="AT24">
            <v>430</v>
          </cell>
          <cell r="AU24">
            <v>350</v>
          </cell>
        </row>
        <row r="25">
          <cell r="AH25" t="str">
            <v>AE</v>
          </cell>
          <cell r="AI25" t="str">
            <v xml:space="preserve">ALKYD ENAMEL </v>
          </cell>
          <cell r="AJ25" t="str">
            <v>0162</v>
          </cell>
          <cell r="AK25" t="str">
            <v>502</v>
          </cell>
          <cell r="AL25" t="str">
            <v>110</v>
          </cell>
          <cell r="AM25">
            <v>1</v>
          </cell>
          <cell r="AN25">
            <v>11.9</v>
          </cell>
          <cell r="AO25">
            <v>12.4</v>
          </cell>
          <cell r="AP25">
            <v>12</v>
          </cell>
          <cell r="AQ25">
            <v>35.29</v>
          </cell>
          <cell r="AR25">
            <v>37.1</v>
          </cell>
          <cell r="AS25">
            <v>37.92</v>
          </cell>
          <cell r="AT25">
            <v>420</v>
          </cell>
          <cell r="AU25">
            <v>460</v>
          </cell>
          <cell r="AV25">
            <v>455</v>
          </cell>
        </row>
        <row r="26">
          <cell r="AH26" t="str">
            <v>AP</v>
          </cell>
          <cell r="AI26" t="str">
            <v>ALUMIN PAINT</v>
          </cell>
          <cell r="AJ26" t="str">
            <v>0152</v>
          </cell>
          <cell r="AK26" t="str">
            <v>103</v>
          </cell>
          <cell r="AL26" t="str">
            <v>310</v>
          </cell>
          <cell r="AM26">
            <v>1</v>
          </cell>
          <cell r="AN26">
            <v>10.9</v>
          </cell>
          <cell r="AO26">
            <v>13.5</v>
          </cell>
          <cell r="AP26">
            <v>13.5</v>
          </cell>
          <cell r="AQ26">
            <v>36.700000000000003</v>
          </cell>
          <cell r="AR26">
            <v>34.07</v>
          </cell>
          <cell r="AS26">
            <v>32.44</v>
          </cell>
          <cell r="AT26">
            <v>400</v>
          </cell>
          <cell r="AU26">
            <v>460</v>
          </cell>
          <cell r="AV26">
            <v>438</v>
          </cell>
        </row>
        <row r="27">
          <cell r="AH27" t="str">
            <v>AMF</v>
          </cell>
          <cell r="AI27" t="str">
            <v>PHEN0LIC-MODIFIED ALKYD M.I.O.FINISH</v>
          </cell>
          <cell r="AJ27" t="str">
            <v>4690(Ar-900)</v>
          </cell>
          <cell r="AL27" t="str">
            <v>800</v>
          </cell>
          <cell r="AM27">
            <v>1</v>
          </cell>
          <cell r="AN27">
            <v>19.16</v>
          </cell>
          <cell r="AP27">
            <v>17.8</v>
          </cell>
          <cell r="AQ27">
            <v>26.1</v>
          </cell>
          <cell r="AS27">
            <v>37.869999999999997</v>
          </cell>
          <cell r="AT27">
            <v>500</v>
          </cell>
          <cell r="AV27">
            <v>674</v>
          </cell>
        </row>
        <row r="28">
          <cell r="AH28" t="str">
            <v>GP</v>
          </cell>
          <cell r="AI28" t="str">
            <v xml:space="preserve">GALVAN. STEEL SHEET EHULSION PAINT </v>
          </cell>
          <cell r="AK28" t="str">
            <v>100(OM-12)</v>
          </cell>
          <cell r="AM28">
            <v>1</v>
          </cell>
          <cell r="AO28">
            <v>14.3</v>
          </cell>
          <cell r="AR28">
            <v>47.55</v>
          </cell>
          <cell r="AU28">
            <v>680</v>
          </cell>
        </row>
        <row r="29">
          <cell r="AI29" t="str">
            <v xml:space="preserve">EPOXY RESIN </v>
          </cell>
        </row>
        <row r="30">
          <cell r="AH30" t="str">
            <v>ERLP</v>
          </cell>
          <cell r="AI30" t="str">
            <v xml:space="preserve">EPOXY RED LEAD PRIMER </v>
          </cell>
          <cell r="AJ30" t="str">
            <v>0401</v>
          </cell>
          <cell r="AK30" t="str">
            <v>1007(EP-01)</v>
          </cell>
          <cell r="AM30">
            <v>1</v>
          </cell>
          <cell r="AN30">
            <v>13.7</v>
          </cell>
          <cell r="AO30">
            <v>11.9</v>
          </cell>
          <cell r="AQ30">
            <v>41.61</v>
          </cell>
          <cell r="AR30">
            <v>47.9</v>
          </cell>
          <cell r="AT30">
            <v>570</v>
          </cell>
          <cell r="AU30">
            <v>570</v>
          </cell>
        </row>
        <row r="31">
          <cell r="AH31" t="str">
            <v>EZCP</v>
          </cell>
          <cell r="AI31" t="str">
            <v xml:space="preserve">EPOXY ZINC CHROMATE PRIMER </v>
          </cell>
          <cell r="AJ31" t="str">
            <v>0411</v>
          </cell>
          <cell r="AK31" t="str">
            <v>1008(EP-09)</v>
          </cell>
          <cell r="AL31" t="str">
            <v>56</v>
          </cell>
          <cell r="AM31">
            <v>1</v>
          </cell>
          <cell r="AN31">
            <v>13.7</v>
          </cell>
          <cell r="AO31">
            <v>13.2</v>
          </cell>
          <cell r="AP31">
            <v>15.7</v>
          </cell>
          <cell r="AQ31">
            <v>41.61</v>
          </cell>
          <cell r="AR31">
            <v>43.18</v>
          </cell>
          <cell r="AS31">
            <v>57.32</v>
          </cell>
          <cell r="AT31">
            <v>570</v>
          </cell>
          <cell r="AU31">
            <v>570</v>
          </cell>
          <cell r="AV31">
            <v>900</v>
          </cell>
        </row>
        <row r="32">
          <cell r="AH32" t="str">
            <v>EZRP</v>
          </cell>
          <cell r="AI32" t="str">
            <v xml:space="preserve">EPOXY ZINC RICH PRIMER </v>
          </cell>
          <cell r="AJ32" t="str">
            <v>0416</v>
          </cell>
          <cell r="AK32" t="str">
            <v>1006(EP-03)</v>
          </cell>
          <cell r="AL32" t="str">
            <v>63</v>
          </cell>
          <cell r="AM32">
            <v>1</v>
          </cell>
          <cell r="AN32">
            <v>24.9</v>
          </cell>
          <cell r="AO32">
            <v>18.899999999999999</v>
          </cell>
          <cell r="AP32">
            <v>44.29</v>
          </cell>
          <cell r="AQ32">
            <v>44.18</v>
          </cell>
          <cell r="AR32">
            <v>52.91</v>
          </cell>
          <cell r="AS32">
            <v>29.35</v>
          </cell>
          <cell r="AT32">
            <v>1100</v>
          </cell>
          <cell r="AU32">
            <v>1000</v>
          </cell>
          <cell r="AV32">
            <v>1300</v>
          </cell>
        </row>
        <row r="33">
          <cell r="AH33" t="str">
            <v>EROP</v>
          </cell>
          <cell r="AI33" t="str">
            <v xml:space="preserve">EPOXY RED OXIDE PRIMER </v>
          </cell>
          <cell r="AJ33" t="str">
            <v>0421(Z-500)</v>
          </cell>
          <cell r="AK33" t="str">
            <v>1009(EP-02)</v>
          </cell>
          <cell r="AL33" t="str">
            <v>87</v>
          </cell>
          <cell r="AM33">
            <v>1</v>
          </cell>
          <cell r="AN33">
            <v>11.3</v>
          </cell>
          <cell r="AO33">
            <v>10.9</v>
          </cell>
          <cell r="AP33">
            <v>28.1</v>
          </cell>
          <cell r="AQ33">
            <v>41.59</v>
          </cell>
          <cell r="AR33">
            <v>43.12</v>
          </cell>
          <cell r="AS33">
            <v>39.15</v>
          </cell>
          <cell r="AT33">
            <v>470</v>
          </cell>
          <cell r="AU33">
            <v>470</v>
          </cell>
          <cell r="AV33">
            <v>1100</v>
          </cell>
        </row>
        <row r="34">
          <cell r="AH34" t="str">
            <v>EV</v>
          </cell>
          <cell r="AI34" t="str">
            <v xml:space="preserve">EPOXY VARNISH </v>
          </cell>
          <cell r="AJ34" t="str">
            <v>0450</v>
          </cell>
          <cell r="AK34" t="str">
            <v>1010</v>
          </cell>
          <cell r="AL34" t="str">
            <v>46</v>
          </cell>
          <cell r="AM34">
            <v>1</v>
          </cell>
          <cell r="AN34">
            <v>19</v>
          </cell>
          <cell r="AO34">
            <v>19.399999999999999</v>
          </cell>
          <cell r="AP34">
            <v>21.1</v>
          </cell>
          <cell r="AQ34">
            <v>28.95</v>
          </cell>
          <cell r="AR34">
            <v>28.35</v>
          </cell>
          <cell r="AS34">
            <v>26.07</v>
          </cell>
          <cell r="AT34">
            <v>550</v>
          </cell>
          <cell r="AU34">
            <v>550</v>
          </cell>
          <cell r="AV34">
            <v>550</v>
          </cell>
        </row>
        <row r="35">
          <cell r="AH35" t="str">
            <v>EFC</v>
          </cell>
          <cell r="AI35" t="str">
            <v xml:space="preserve">EPOXY FINISH COATING </v>
          </cell>
          <cell r="AJ35" t="str">
            <v>0451</v>
          </cell>
          <cell r="AK35" t="str">
            <v>1001(EP-04)</v>
          </cell>
          <cell r="AL35" t="str">
            <v>86</v>
          </cell>
          <cell r="AM35">
            <v>1</v>
          </cell>
          <cell r="AN35">
            <v>16.8</v>
          </cell>
          <cell r="AO35">
            <v>18.3</v>
          </cell>
          <cell r="AP35">
            <v>34.9</v>
          </cell>
          <cell r="AQ35">
            <v>41.67</v>
          </cell>
          <cell r="AR35">
            <v>38.25</v>
          </cell>
          <cell r="AS35">
            <v>22.92</v>
          </cell>
          <cell r="AT35">
            <v>700</v>
          </cell>
          <cell r="AU35">
            <v>700</v>
          </cell>
          <cell r="AV35">
            <v>800</v>
          </cell>
        </row>
        <row r="36">
          <cell r="AH36" t="str">
            <v>CTE</v>
          </cell>
          <cell r="AI36" t="str">
            <v xml:space="preserve">COAL TAR EPOXY HB </v>
          </cell>
          <cell r="AJ36" t="str">
            <v>0459</v>
          </cell>
          <cell r="AK36" t="str">
            <v>1004(EP-06)</v>
          </cell>
          <cell r="AL36" t="str">
            <v>58</v>
          </cell>
          <cell r="AM36">
            <v>1</v>
          </cell>
          <cell r="AN36">
            <v>7.9</v>
          </cell>
          <cell r="AO36">
            <v>7.6</v>
          </cell>
          <cell r="AQ36">
            <v>50.63</v>
          </cell>
          <cell r="AR36">
            <v>52.63</v>
          </cell>
          <cell r="AT36">
            <v>400</v>
          </cell>
          <cell r="AU36">
            <v>400</v>
          </cell>
          <cell r="AV36">
            <v>700</v>
          </cell>
        </row>
        <row r="37">
          <cell r="AH37" t="str">
            <v>IZRP</v>
          </cell>
          <cell r="AI37" t="str">
            <v xml:space="preserve">INORGANIC ZINC RICH PRIMER </v>
          </cell>
          <cell r="AJ37" t="str">
            <v>4120(Z-120HB)</v>
          </cell>
          <cell r="AK37" t="str">
            <v>1011(IZ-01)</v>
          </cell>
          <cell r="AL37" t="str">
            <v>33</v>
          </cell>
          <cell r="AM37">
            <v>1</v>
          </cell>
          <cell r="AN37">
            <v>19.399999999999999</v>
          </cell>
          <cell r="AO37">
            <v>15.6</v>
          </cell>
          <cell r="AP37">
            <v>30.3</v>
          </cell>
          <cell r="AQ37">
            <v>56.7</v>
          </cell>
          <cell r="AR37">
            <v>64.099999999999994</v>
          </cell>
          <cell r="AS37">
            <v>42.9</v>
          </cell>
          <cell r="AT37">
            <v>1100</v>
          </cell>
          <cell r="AU37">
            <v>1000</v>
          </cell>
          <cell r="AV37">
            <v>1300</v>
          </cell>
        </row>
        <row r="38">
          <cell r="AH38" t="str">
            <v>EATP</v>
          </cell>
          <cell r="AI38" t="str">
            <v>EPOXY ALUMINUM TRIPOLYPHOSPHATE PRIMER</v>
          </cell>
          <cell r="AJ38" t="str">
            <v>A-536</v>
          </cell>
          <cell r="AK38" t="str">
            <v>1075</v>
          </cell>
          <cell r="AL38" t="str">
            <v>57</v>
          </cell>
          <cell r="AM38">
            <v>1</v>
          </cell>
          <cell r="AN38">
            <v>18.7</v>
          </cell>
          <cell r="AO38">
            <v>14.7</v>
          </cell>
          <cell r="AP38">
            <v>15.5</v>
          </cell>
          <cell r="AQ38">
            <v>42.78</v>
          </cell>
          <cell r="AR38">
            <v>42.86</v>
          </cell>
          <cell r="AS38">
            <v>39.03</v>
          </cell>
          <cell r="AT38">
            <v>800</v>
          </cell>
          <cell r="AU38">
            <v>630</v>
          </cell>
          <cell r="AV38">
            <v>605</v>
          </cell>
        </row>
        <row r="39">
          <cell r="AH39" t="str">
            <v>EBZRP</v>
          </cell>
          <cell r="AI39" t="str">
            <v xml:space="preserve">EPOXY CURED BASED ZINC RICH PRIMER </v>
          </cell>
          <cell r="AJ39" t="str">
            <v>4180(Z-800)</v>
          </cell>
          <cell r="AK39" t="str">
            <v>1002</v>
          </cell>
          <cell r="AM39">
            <v>1</v>
          </cell>
          <cell r="AN39">
            <v>27.3</v>
          </cell>
          <cell r="AO39">
            <v>15.7</v>
          </cell>
          <cell r="AQ39">
            <v>40.29</v>
          </cell>
          <cell r="AR39">
            <v>38.22</v>
          </cell>
          <cell r="AT39">
            <v>1100</v>
          </cell>
          <cell r="AU39">
            <v>600</v>
          </cell>
        </row>
        <row r="40">
          <cell r="AH40" t="str">
            <v>HBEP</v>
          </cell>
          <cell r="AI40" t="str">
            <v>HIGH BUILD EPOXY POLYAMINE CURED</v>
          </cell>
          <cell r="AJ40" t="str">
            <v>4418(A-418)</v>
          </cell>
          <cell r="AK40" t="str">
            <v>1015</v>
          </cell>
          <cell r="AM40">
            <v>1</v>
          </cell>
          <cell r="AN40">
            <v>18.3</v>
          </cell>
          <cell r="AO40">
            <v>13.1</v>
          </cell>
          <cell r="AQ40">
            <v>65.569999999999993</v>
          </cell>
          <cell r="AR40">
            <v>83.97</v>
          </cell>
          <cell r="AT40">
            <v>1200</v>
          </cell>
          <cell r="AU40">
            <v>1100</v>
          </cell>
        </row>
        <row r="41">
          <cell r="AH41" t="str">
            <v>HSCP</v>
          </cell>
          <cell r="AI41" t="str">
            <v>HIGH SOILD EPOXY POLYAMINE CURED PRIMER</v>
          </cell>
          <cell r="AJ41" t="str">
            <v>4418(A-448)</v>
          </cell>
          <cell r="AK41">
            <v>1017</v>
          </cell>
          <cell r="AM41">
            <v>1</v>
          </cell>
          <cell r="AN41">
            <v>20.309999999999999</v>
          </cell>
          <cell r="AO41">
            <v>13.1</v>
          </cell>
          <cell r="AQ41">
            <v>64</v>
          </cell>
          <cell r="AR41">
            <v>83.97</v>
          </cell>
          <cell r="AT41">
            <v>1300</v>
          </cell>
          <cell r="AU41">
            <v>1100</v>
          </cell>
        </row>
        <row r="42">
          <cell r="AH42" t="str">
            <v>EEA</v>
          </cell>
          <cell r="AI42" t="str">
            <v>EPOXY ENAMEL AMINE ADDUCT CURED</v>
          </cell>
          <cell r="AJ42" t="str">
            <v>4450(A-500)</v>
          </cell>
          <cell r="AK42" t="str">
            <v>1014</v>
          </cell>
          <cell r="AM42">
            <v>1</v>
          </cell>
          <cell r="AN42">
            <v>23.8</v>
          </cell>
          <cell r="AO42">
            <v>11.4</v>
          </cell>
          <cell r="AQ42">
            <v>37.82</v>
          </cell>
          <cell r="AR42">
            <v>83.33</v>
          </cell>
          <cell r="AT42">
            <v>900</v>
          </cell>
          <cell r="AU42">
            <v>950</v>
          </cell>
        </row>
        <row r="43">
          <cell r="AH43" t="str">
            <v>NEP</v>
          </cell>
          <cell r="AI43" t="str">
            <v>NON-REACTIVE EPOXY PRIMER</v>
          </cell>
          <cell r="AJ43" t="str">
            <v>4405(A-505)</v>
          </cell>
          <cell r="AM43">
            <v>1</v>
          </cell>
          <cell r="AN43">
            <v>19.2</v>
          </cell>
          <cell r="AQ43">
            <v>41.67</v>
          </cell>
          <cell r="AT43">
            <v>800</v>
          </cell>
        </row>
        <row r="44">
          <cell r="AH44" t="str">
            <v>ZCOP</v>
          </cell>
          <cell r="AI44" t="str">
            <v xml:space="preserve">ZINC CHROMATE-RED OXIDE/EPOXY PRIMER </v>
          </cell>
          <cell r="AJ44" t="str">
            <v>4451(A-510)</v>
          </cell>
          <cell r="AK44" t="str">
            <v>1016</v>
          </cell>
          <cell r="AM44">
            <v>1</v>
          </cell>
          <cell r="AN44">
            <v>18.2</v>
          </cell>
          <cell r="AO44">
            <v>8.1999999999999993</v>
          </cell>
          <cell r="AQ44">
            <v>42.86</v>
          </cell>
          <cell r="AR44">
            <v>85.37</v>
          </cell>
          <cell r="AT44">
            <v>780</v>
          </cell>
          <cell r="AU44">
            <v>700</v>
          </cell>
        </row>
        <row r="45">
          <cell r="AH45" t="str">
            <v>EPC</v>
          </cell>
          <cell r="AI45" t="str">
            <v xml:space="preserve">EPOXY ENAMEL/POLYAMIDE CURED </v>
          </cell>
          <cell r="AJ45" t="str">
            <v>4415(A-515)</v>
          </cell>
          <cell r="AM45">
            <v>1</v>
          </cell>
          <cell r="AN45">
            <v>19.8</v>
          </cell>
          <cell r="AQ45">
            <v>42.93</v>
          </cell>
          <cell r="AT45">
            <v>850</v>
          </cell>
        </row>
        <row r="46">
          <cell r="AI46" t="str">
            <v>EPOXY NON-SKID SURFACING</v>
          </cell>
          <cell r="AJ46" t="str">
            <v>4425(A-525)</v>
          </cell>
          <cell r="AK46" t="str">
            <v>1018</v>
          </cell>
          <cell r="AM46">
            <v>1</v>
          </cell>
          <cell r="AN46">
            <v>18</v>
          </cell>
          <cell r="AO46">
            <v>31.3</v>
          </cell>
          <cell r="AQ46">
            <v>37.78</v>
          </cell>
          <cell r="AR46">
            <v>47.92</v>
          </cell>
          <cell r="AT46">
            <v>680</v>
          </cell>
          <cell r="AU46">
            <v>1500</v>
          </cell>
        </row>
        <row r="47">
          <cell r="AH47" t="str">
            <v>EPAP</v>
          </cell>
          <cell r="AI47" t="str">
            <v>EPOXY-POLYAMIDE,ALLOY PRIMER.</v>
          </cell>
          <cell r="AJ47" t="str">
            <v>4465(A-650)</v>
          </cell>
          <cell r="AK47">
            <v>1020</v>
          </cell>
          <cell r="AM47">
            <v>1</v>
          </cell>
          <cell r="AN47">
            <v>21</v>
          </cell>
          <cell r="AO47">
            <v>26.92</v>
          </cell>
          <cell r="AQ47">
            <v>42.86</v>
          </cell>
          <cell r="AR47">
            <v>13</v>
          </cell>
          <cell r="AT47">
            <v>900</v>
          </cell>
          <cell r="AU47">
            <v>350</v>
          </cell>
        </row>
        <row r="48">
          <cell r="AI48" t="str">
            <v>LEAD SILICO CHROMATE EP.PRI./POLYAMIDE CURED</v>
          </cell>
          <cell r="AJ48" t="str">
            <v>4430(A-530)</v>
          </cell>
          <cell r="AM48">
            <v>1</v>
          </cell>
          <cell r="AN48">
            <v>21.97</v>
          </cell>
          <cell r="AQ48">
            <v>37.78</v>
          </cell>
          <cell r="AT48">
            <v>830</v>
          </cell>
        </row>
        <row r="49">
          <cell r="AH49" t="str">
            <v>ERLP</v>
          </cell>
          <cell r="AI49" t="str">
            <v>EPOXY RED LEAD POLYAMIDE CURED PRIMER</v>
          </cell>
          <cell r="AJ49" t="str">
            <v>4440(A-540)</v>
          </cell>
          <cell r="AK49" t="str">
            <v>1051</v>
          </cell>
          <cell r="AM49">
            <v>1</v>
          </cell>
          <cell r="AN49">
            <v>19.399999999999999</v>
          </cell>
          <cell r="AO49">
            <v>15.8</v>
          </cell>
          <cell r="AQ49">
            <v>42.78</v>
          </cell>
          <cell r="AR49">
            <v>43.04</v>
          </cell>
          <cell r="AT49">
            <v>830</v>
          </cell>
          <cell r="AU49">
            <v>680</v>
          </cell>
        </row>
        <row r="50">
          <cell r="AH50" t="str">
            <v>EROP</v>
          </cell>
          <cell r="AI50" t="str">
            <v>RED LEAD-RED OXIDE EP./POLYAMIDE CURED PRI.</v>
          </cell>
          <cell r="AJ50" t="str">
            <v>4445(A-545)</v>
          </cell>
          <cell r="AK50" t="str">
            <v>1060</v>
          </cell>
          <cell r="AM50">
            <v>1</v>
          </cell>
          <cell r="AN50">
            <v>18.7</v>
          </cell>
          <cell r="AO50">
            <v>20.9</v>
          </cell>
          <cell r="AQ50">
            <v>42.78</v>
          </cell>
          <cell r="AR50">
            <v>28.71</v>
          </cell>
          <cell r="AT50">
            <v>800</v>
          </cell>
          <cell r="AU50">
            <v>600</v>
          </cell>
        </row>
        <row r="51">
          <cell r="AH51" t="str">
            <v>ETC</v>
          </cell>
          <cell r="AI51" t="str">
            <v>TAR EPOXY COATING/AMINE CURED</v>
          </cell>
          <cell r="AJ51" t="str">
            <v>4460(A-560)</v>
          </cell>
          <cell r="AK51" t="str">
            <v>1070(EP-10)</v>
          </cell>
          <cell r="AM51">
            <v>1</v>
          </cell>
          <cell r="AN51">
            <v>11.69</v>
          </cell>
          <cell r="AO51">
            <v>12.2</v>
          </cell>
          <cell r="AQ51">
            <v>42.78</v>
          </cell>
          <cell r="AR51">
            <v>57.38</v>
          </cell>
          <cell r="AT51">
            <v>500</v>
          </cell>
          <cell r="AU51">
            <v>700</v>
          </cell>
        </row>
        <row r="52">
          <cell r="AH52" t="str">
            <v>EWB</v>
          </cell>
          <cell r="AI52" t="str">
            <v>WATER BASE EPOXY ENAMEL/POLTAMINE CURED</v>
          </cell>
          <cell r="AJ52" t="str">
            <v>4458(A-580)</v>
          </cell>
          <cell r="AK52" t="str">
            <v>1017(EP-07)</v>
          </cell>
          <cell r="AL52" t="str">
            <v>96</v>
          </cell>
          <cell r="AM52">
            <v>1</v>
          </cell>
          <cell r="AN52">
            <v>34.4</v>
          </cell>
          <cell r="AO52">
            <v>16</v>
          </cell>
          <cell r="AP52">
            <v>32.700000000000003</v>
          </cell>
          <cell r="AQ52">
            <v>37.79</v>
          </cell>
          <cell r="AR52">
            <v>43.75</v>
          </cell>
          <cell r="AS52">
            <v>45.87</v>
          </cell>
          <cell r="AT52">
            <v>1300</v>
          </cell>
          <cell r="AU52">
            <v>700</v>
          </cell>
          <cell r="AV52">
            <v>1500</v>
          </cell>
        </row>
        <row r="53">
          <cell r="AH53" t="str">
            <v>CCTE</v>
          </cell>
          <cell r="AI53" t="str">
            <v>CATALYZED COAL TAR EPOXY POLYAMINE CURED</v>
          </cell>
          <cell r="AJ53" t="str">
            <v>4459(A-590)</v>
          </cell>
          <cell r="AK53" t="str">
            <v>SP-06</v>
          </cell>
          <cell r="AM53">
            <v>1</v>
          </cell>
          <cell r="AN53">
            <v>12.6</v>
          </cell>
          <cell r="AO53">
            <v>32.1</v>
          </cell>
          <cell r="AQ53">
            <v>55.56</v>
          </cell>
          <cell r="AR53">
            <v>42.37</v>
          </cell>
          <cell r="AT53">
            <v>700</v>
          </cell>
          <cell r="AU53">
            <v>1360</v>
          </cell>
        </row>
        <row r="54">
          <cell r="AH54" t="str">
            <v>EPF</v>
          </cell>
          <cell r="AI54" t="str">
            <v>EPOXY-POLYAMINE,FINISH</v>
          </cell>
          <cell r="AJ54" t="str">
            <v>4465(A-650)</v>
          </cell>
          <cell r="AK54" t="str">
            <v>SP-08</v>
          </cell>
          <cell r="AM54">
            <v>1</v>
          </cell>
          <cell r="AN54">
            <v>21</v>
          </cell>
          <cell r="AO54">
            <v>24.4</v>
          </cell>
          <cell r="AQ54">
            <v>42.86</v>
          </cell>
          <cell r="AR54">
            <v>25</v>
          </cell>
          <cell r="AT54">
            <v>900</v>
          </cell>
          <cell r="AU54">
            <v>610</v>
          </cell>
        </row>
        <row r="55">
          <cell r="AH55" t="str">
            <v>EPRLP</v>
          </cell>
          <cell r="AI55" t="str">
            <v>EPOXY/POLYAMINE,RED LEAD PRIMER</v>
          </cell>
          <cell r="AJ55" t="str">
            <v>4570(A-700)</v>
          </cell>
          <cell r="AK55" t="str">
            <v>SP-09</v>
          </cell>
          <cell r="AM55">
            <v>1</v>
          </cell>
          <cell r="AN55">
            <v>21</v>
          </cell>
          <cell r="AO55">
            <v>32</v>
          </cell>
          <cell r="AQ55">
            <v>42.86</v>
          </cell>
          <cell r="AR55">
            <v>23.75</v>
          </cell>
          <cell r="AT55">
            <v>900</v>
          </cell>
          <cell r="AU55">
            <v>760</v>
          </cell>
        </row>
        <row r="56">
          <cell r="AH56" t="str">
            <v>EMOP</v>
          </cell>
          <cell r="AI56" t="str">
            <v xml:space="preserve">EPOXY MIO PRIMER </v>
          </cell>
          <cell r="AJ56" t="str">
            <v>4691(Ar-910)</v>
          </cell>
          <cell r="AK56" t="str">
            <v>1050(EP-20)</v>
          </cell>
          <cell r="AL56" t="str">
            <v>76</v>
          </cell>
          <cell r="AM56">
            <v>1</v>
          </cell>
          <cell r="AN56">
            <v>17.3</v>
          </cell>
          <cell r="AO56">
            <v>9.2799999999999994</v>
          </cell>
          <cell r="AP56">
            <v>30.9</v>
          </cell>
          <cell r="AQ56">
            <v>43.35</v>
          </cell>
          <cell r="AR56">
            <v>31.25</v>
          </cell>
          <cell r="AS56">
            <v>25.89</v>
          </cell>
          <cell r="AT56">
            <v>750</v>
          </cell>
          <cell r="AU56">
            <v>290</v>
          </cell>
          <cell r="AV56">
            <v>800</v>
          </cell>
        </row>
        <row r="57">
          <cell r="AH57" t="str">
            <v>EPCP</v>
          </cell>
          <cell r="AI57" t="str">
            <v>EPOXY-PHENOLIC CURED PRIMER .</v>
          </cell>
          <cell r="AJ57" t="str">
            <v>4691(Ar-910)</v>
          </cell>
          <cell r="AK57" t="str">
            <v>1060</v>
          </cell>
          <cell r="AL57" t="str">
            <v>76</v>
          </cell>
          <cell r="AM57">
            <v>1</v>
          </cell>
          <cell r="AN57">
            <v>17.3</v>
          </cell>
          <cell r="AO57">
            <v>19.2</v>
          </cell>
          <cell r="AP57">
            <v>30.9</v>
          </cell>
          <cell r="AQ57">
            <v>43.35</v>
          </cell>
          <cell r="AR57">
            <v>31.25</v>
          </cell>
          <cell r="AS57">
            <v>25.89</v>
          </cell>
          <cell r="AT57">
            <v>750</v>
          </cell>
          <cell r="AU57">
            <v>600</v>
          </cell>
          <cell r="AV57">
            <v>800</v>
          </cell>
        </row>
        <row r="59">
          <cell r="AI59" t="str">
            <v xml:space="preserve">CHLORINATED RUBBER RESIN </v>
          </cell>
        </row>
        <row r="60">
          <cell r="AH60" t="str">
            <v>CRRLP</v>
          </cell>
          <cell r="AI60" t="str">
            <v xml:space="preserve">CALORINATED RUBBER RED LEAD PRIMER </v>
          </cell>
          <cell r="AJ60" t="str">
            <v>0201</v>
          </cell>
          <cell r="AK60" t="str">
            <v>1402(RF-63)</v>
          </cell>
          <cell r="AL60" t="str">
            <v>530</v>
          </cell>
          <cell r="AM60">
            <v>1</v>
          </cell>
          <cell r="AN60">
            <v>14.7</v>
          </cell>
          <cell r="AO60">
            <v>12.9</v>
          </cell>
          <cell r="AP60">
            <v>15.5</v>
          </cell>
          <cell r="AQ60">
            <v>32.65</v>
          </cell>
          <cell r="AR60">
            <v>37.979999999999997</v>
          </cell>
          <cell r="AS60">
            <v>36.450000000000003</v>
          </cell>
          <cell r="AT60">
            <v>480</v>
          </cell>
          <cell r="AU60">
            <v>490</v>
          </cell>
          <cell r="AV60">
            <v>565</v>
          </cell>
        </row>
        <row r="61">
          <cell r="AH61" t="str">
            <v>CRZCP</v>
          </cell>
          <cell r="AI61" t="str">
            <v>CHLORINATED RUBBER PRIMER ZINC CHROMATE PR.</v>
          </cell>
          <cell r="AJ61" t="str">
            <v>0211</v>
          </cell>
          <cell r="AK61" t="str">
            <v>1450(RF-67)</v>
          </cell>
          <cell r="AL61" t="str">
            <v>540</v>
          </cell>
          <cell r="AM61">
            <v>1</v>
          </cell>
          <cell r="AN61">
            <v>15.5</v>
          </cell>
          <cell r="AO61">
            <v>11.3</v>
          </cell>
          <cell r="AP61">
            <v>14.1</v>
          </cell>
          <cell r="AQ61">
            <v>30.97</v>
          </cell>
          <cell r="AR61">
            <v>42.48</v>
          </cell>
          <cell r="AS61">
            <v>36.450000000000003</v>
          </cell>
          <cell r="AT61">
            <v>480</v>
          </cell>
          <cell r="AU61">
            <v>480</v>
          </cell>
          <cell r="AV61">
            <v>514</v>
          </cell>
        </row>
        <row r="62">
          <cell r="AH62" t="str">
            <v>CRROP</v>
          </cell>
          <cell r="AI62" t="str">
            <v xml:space="preserve">CHLORINATED RUBBER RED OXIDE PRIMER </v>
          </cell>
          <cell r="AJ62" t="str">
            <v>0221</v>
          </cell>
          <cell r="AK62" t="str">
            <v>1403(RF-65)</v>
          </cell>
          <cell r="AL62" t="str">
            <v>510</v>
          </cell>
          <cell r="AM62">
            <v>1</v>
          </cell>
          <cell r="AN62">
            <v>14.6</v>
          </cell>
          <cell r="AO62">
            <v>12.1</v>
          </cell>
          <cell r="AP62">
            <v>31</v>
          </cell>
          <cell r="AQ62">
            <v>30.82</v>
          </cell>
          <cell r="AR62">
            <v>38.020000000000003</v>
          </cell>
          <cell r="AS62">
            <v>38.549999999999997</v>
          </cell>
          <cell r="AT62">
            <v>450</v>
          </cell>
          <cell r="AU62">
            <v>460</v>
          </cell>
          <cell r="AV62">
            <v>1195</v>
          </cell>
        </row>
        <row r="63">
          <cell r="AH63" t="str">
            <v>CRF</v>
          </cell>
          <cell r="AI63" t="str">
            <v xml:space="preserve">CHLORINATED RUBBER FINISH </v>
          </cell>
          <cell r="AJ63" t="str">
            <v>0251</v>
          </cell>
          <cell r="AK63" t="str">
            <v>1401</v>
          </cell>
          <cell r="AL63" t="str">
            <v>520</v>
          </cell>
          <cell r="AM63">
            <v>1</v>
          </cell>
          <cell r="AN63">
            <v>18.899999999999999</v>
          </cell>
          <cell r="AO63">
            <v>15.8</v>
          </cell>
          <cell r="AP63">
            <v>16.7</v>
          </cell>
          <cell r="AQ63">
            <v>31.75</v>
          </cell>
          <cell r="AR63">
            <v>34.18</v>
          </cell>
          <cell r="AS63">
            <v>33.83</v>
          </cell>
          <cell r="AT63">
            <v>600</v>
          </cell>
          <cell r="AU63">
            <v>540</v>
          </cell>
          <cell r="AV63">
            <v>565</v>
          </cell>
        </row>
        <row r="64">
          <cell r="AH64" t="str">
            <v>CRATP</v>
          </cell>
          <cell r="AI64" t="str">
            <v>C RUBBER ALUMINUM TRIPOLYPHOSPHATE PRIMER</v>
          </cell>
          <cell r="AJ64" t="str">
            <v>0203</v>
          </cell>
          <cell r="AL64" t="str">
            <v>531</v>
          </cell>
          <cell r="AM64">
            <v>1</v>
          </cell>
          <cell r="AN64">
            <v>13.4</v>
          </cell>
          <cell r="AP64">
            <v>14.5</v>
          </cell>
          <cell r="AQ64">
            <v>37.31</v>
          </cell>
          <cell r="AS64">
            <v>36.409999999999997</v>
          </cell>
          <cell r="AT64">
            <v>500</v>
          </cell>
          <cell r="AV64">
            <v>528</v>
          </cell>
        </row>
        <row r="65">
          <cell r="AH65" t="str">
            <v>PCRF</v>
          </cell>
          <cell r="AI65" t="str">
            <v>PIGMENTED CHLORINATED RUBBER FINISH</v>
          </cell>
          <cell r="AJ65" t="str">
            <v>4470(C-700)</v>
          </cell>
          <cell r="AK65" t="str">
            <v>RF-51~56</v>
          </cell>
          <cell r="AL65" t="str">
            <v>560</v>
          </cell>
          <cell r="AM65">
            <v>1</v>
          </cell>
          <cell r="AN65">
            <v>27.1</v>
          </cell>
          <cell r="AO65">
            <v>12.3</v>
          </cell>
          <cell r="AP65">
            <v>13.5</v>
          </cell>
          <cell r="AQ65">
            <v>33.21</v>
          </cell>
          <cell r="AR65">
            <v>38.21</v>
          </cell>
          <cell r="AS65">
            <v>33.78</v>
          </cell>
          <cell r="AT65">
            <v>900</v>
          </cell>
          <cell r="AU65">
            <v>470</v>
          </cell>
          <cell r="AV65">
            <v>456</v>
          </cell>
        </row>
        <row r="66">
          <cell r="AH66" t="str">
            <v>CRRLP</v>
          </cell>
          <cell r="AI66" t="str">
            <v xml:space="preserve">CHLORINATED RUBBER RED LEAD PRIMER </v>
          </cell>
          <cell r="AJ66" t="str">
            <v>4575(C-750)</v>
          </cell>
          <cell r="AL66" t="str">
            <v>500</v>
          </cell>
          <cell r="AM66">
            <v>1</v>
          </cell>
          <cell r="AN66">
            <v>17.2</v>
          </cell>
          <cell r="AP66">
            <v>15</v>
          </cell>
          <cell r="AQ66">
            <v>37.79</v>
          </cell>
          <cell r="AS66">
            <v>30.4</v>
          </cell>
          <cell r="AT66">
            <v>650</v>
          </cell>
          <cell r="AV66">
            <v>456</v>
          </cell>
        </row>
        <row r="67">
          <cell r="AH67" t="str">
            <v>CRROP</v>
          </cell>
          <cell r="AI67" t="str">
            <v xml:space="preserve">CHLORINATED RUBBER RED LEAD-RED OXIDE PRIMER </v>
          </cell>
          <cell r="AJ67" t="str">
            <v>4576(C-760)</v>
          </cell>
          <cell r="AL67" t="str">
            <v>550</v>
          </cell>
          <cell r="AM67">
            <v>1</v>
          </cell>
          <cell r="AN67">
            <v>15.9</v>
          </cell>
          <cell r="AP67">
            <v>14.8</v>
          </cell>
          <cell r="AQ67">
            <v>38.99</v>
          </cell>
          <cell r="AS67">
            <v>33.78</v>
          </cell>
          <cell r="AT67">
            <v>620</v>
          </cell>
          <cell r="AV67">
            <v>500</v>
          </cell>
        </row>
        <row r="68">
          <cell r="AI68" t="str">
            <v>CHLORINATED RUBBER BASE M.I.O.COATING</v>
          </cell>
          <cell r="AJ68" t="str">
            <v>4693(Ar-930)</v>
          </cell>
          <cell r="AK68" t="str">
            <v>1452(RF-68)</v>
          </cell>
          <cell r="AL68" t="str">
            <v>600</v>
          </cell>
          <cell r="AM68">
            <v>1</v>
          </cell>
          <cell r="AN68">
            <v>16.399999999999999</v>
          </cell>
          <cell r="AO68">
            <v>13.2</v>
          </cell>
          <cell r="AP68">
            <v>14.8</v>
          </cell>
          <cell r="AQ68">
            <v>37.799999999999997</v>
          </cell>
          <cell r="AR68">
            <v>37.880000000000003</v>
          </cell>
          <cell r="AS68">
            <v>33.72</v>
          </cell>
          <cell r="AT68">
            <v>620</v>
          </cell>
          <cell r="AU68">
            <v>500</v>
          </cell>
          <cell r="AV68">
            <v>499</v>
          </cell>
        </row>
        <row r="71">
          <cell r="AI71" t="str">
            <v xml:space="preserve">SILICONE RESIN </v>
          </cell>
        </row>
        <row r="72">
          <cell r="AH72" t="str">
            <v>HP200</v>
          </cell>
          <cell r="AI72" t="str">
            <v>HEAT-RESISTING PRIMER 200'C ,SILICONE SERIES.</v>
          </cell>
          <cell r="AJ72" t="str">
            <v>0631</v>
          </cell>
          <cell r="AK72" t="str">
            <v>1512</v>
          </cell>
          <cell r="AM72">
            <v>1</v>
          </cell>
          <cell r="AN72">
            <v>16.5</v>
          </cell>
          <cell r="AO72">
            <v>26.2</v>
          </cell>
          <cell r="AQ72">
            <v>36.36</v>
          </cell>
          <cell r="AR72">
            <v>38.17</v>
          </cell>
          <cell r="AT72">
            <v>600</v>
          </cell>
          <cell r="AU72">
            <v>1000</v>
          </cell>
        </row>
        <row r="73">
          <cell r="AH73" t="str">
            <v>HP300</v>
          </cell>
          <cell r="AI73" t="str">
            <v xml:space="preserve">HEAT-RESISTING PRIMER 300'C </v>
          </cell>
          <cell r="AJ73" t="str">
            <v>0632</v>
          </cell>
          <cell r="AK73" t="str">
            <v>1507</v>
          </cell>
          <cell r="AL73" t="str">
            <v>330-1</v>
          </cell>
          <cell r="AM73">
            <v>1</v>
          </cell>
          <cell r="AN73">
            <v>20.7</v>
          </cell>
          <cell r="AO73">
            <v>20.399999999999999</v>
          </cell>
          <cell r="AP73">
            <v>29</v>
          </cell>
          <cell r="AQ73">
            <v>36.229999999999997</v>
          </cell>
          <cell r="AR73">
            <v>38.24</v>
          </cell>
          <cell r="AS73">
            <v>33.76</v>
          </cell>
          <cell r="AT73">
            <v>750</v>
          </cell>
          <cell r="AU73">
            <v>780</v>
          </cell>
          <cell r="AV73">
            <v>979</v>
          </cell>
        </row>
        <row r="74">
          <cell r="AH74" t="str">
            <v>HP500</v>
          </cell>
          <cell r="AI74" t="str">
            <v>HEAT-RESISTING PRIMER 500'C</v>
          </cell>
          <cell r="AJ74" t="str">
            <v>0634</v>
          </cell>
          <cell r="AK74" t="str">
            <v>1501</v>
          </cell>
          <cell r="AM74">
            <v>1</v>
          </cell>
          <cell r="AN74">
            <v>35.799999999999997</v>
          </cell>
          <cell r="AO74">
            <v>34.1</v>
          </cell>
          <cell r="AQ74">
            <v>36.31</v>
          </cell>
          <cell r="AR74">
            <v>38.119999999999997</v>
          </cell>
          <cell r="AT74">
            <v>1300</v>
          </cell>
          <cell r="AU74">
            <v>1300</v>
          </cell>
        </row>
        <row r="75">
          <cell r="AH75" t="str">
            <v>HP600</v>
          </cell>
          <cell r="AI75" t="str">
            <v>HEAT-RESISTING PRIMER 600'C</v>
          </cell>
          <cell r="AJ75" t="str">
            <v>0635</v>
          </cell>
          <cell r="AK75" t="str">
            <v>1500</v>
          </cell>
          <cell r="AL75" t="str">
            <v>320-1</v>
          </cell>
          <cell r="AM75">
            <v>1</v>
          </cell>
          <cell r="AN75">
            <v>44.09</v>
          </cell>
          <cell r="AO75">
            <v>34.1</v>
          </cell>
          <cell r="AP75">
            <v>44.4</v>
          </cell>
          <cell r="AQ75">
            <v>31.75</v>
          </cell>
          <cell r="AR75">
            <v>38.119999999999997</v>
          </cell>
          <cell r="AS75">
            <v>33.78</v>
          </cell>
          <cell r="AT75">
            <v>1400</v>
          </cell>
          <cell r="AU75">
            <v>1300</v>
          </cell>
          <cell r="AV75">
            <v>1500</v>
          </cell>
        </row>
        <row r="76">
          <cell r="AH76" t="str">
            <v>HF200</v>
          </cell>
          <cell r="AI76" t="str">
            <v>HEAT-RESISTING PAINT 200'C SILICONE SREIES.</v>
          </cell>
          <cell r="AJ76" t="str">
            <v>0651</v>
          </cell>
          <cell r="AK76" t="str">
            <v>1504</v>
          </cell>
          <cell r="AM76">
            <v>1</v>
          </cell>
          <cell r="AN76">
            <v>17.5</v>
          </cell>
          <cell r="AO76">
            <v>27.3</v>
          </cell>
          <cell r="AQ76">
            <v>30.29</v>
          </cell>
          <cell r="AR76">
            <v>28.57</v>
          </cell>
          <cell r="AT76">
            <v>530</v>
          </cell>
          <cell r="AU76">
            <v>780</v>
          </cell>
        </row>
        <row r="77">
          <cell r="AH77" t="str">
            <v>HF300</v>
          </cell>
          <cell r="AI77" t="str">
            <v>HEAT-RESISTING PAINT 300'C</v>
          </cell>
          <cell r="AJ77" t="str">
            <v>0652</v>
          </cell>
          <cell r="AK77" t="str">
            <v>1505</v>
          </cell>
          <cell r="AL77" t="str">
            <v>330</v>
          </cell>
          <cell r="AM77">
            <v>1</v>
          </cell>
          <cell r="AN77">
            <v>27.6</v>
          </cell>
          <cell r="AO77">
            <v>27.3</v>
          </cell>
          <cell r="AP77">
            <v>28.4</v>
          </cell>
          <cell r="AQ77">
            <v>27.17</v>
          </cell>
          <cell r="AR77">
            <v>28.57</v>
          </cell>
          <cell r="AS77">
            <v>32.54</v>
          </cell>
          <cell r="AT77">
            <v>750</v>
          </cell>
          <cell r="AU77">
            <v>780</v>
          </cell>
          <cell r="AV77">
            <v>924</v>
          </cell>
        </row>
        <row r="78">
          <cell r="AH78" t="str">
            <v>HF400</v>
          </cell>
          <cell r="AI78" t="str">
            <v>HEAT-RESISTING PAINT 400'C ALUM. SERIES.</v>
          </cell>
          <cell r="AJ78" t="str">
            <v>0654</v>
          </cell>
          <cell r="AK78" t="str">
            <v>1503</v>
          </cell>
          <cell r="AM78">
            <v>1</v>
          </cell>
          <cell r="AN78">
            <v>51.61</v>
          </cell>
          <cell r="AO78">
            <v>59.4</v>
          </cell>
          <cell r="AQ78">
            <v>25.19</v>
          </cell>
          <cell r="AR78">
            <v>28.62</v>
          </cell>
          <cell r="AT78">
            <v>1300</v>
          </cell>
          <cell r="AU78">
            <v>1700</v>
          </cell>
        </row>
        <row r="79">
          <cell r="AH79" t="str">
            <v>HF600</v>
          </cell>
          <cell r="AI79" t="str">
            <v>HEAT-RESISTING PAINT 600'C</v>
          </cell>
          <cell r="AJ79" t="str">
            <v>0655</v>
          </cell>
          <cell r="AK79" t="str">
            <v>1508</v>
          </cell>
          <cell r="AL79" t="str">
            <v>320</v>
          </cell>
          <cell r="AM79">
            <v>1</v>
          </cell>
          <cell r="AN79">
            <v>74.400000000000006</v>
          </cell>
          <cell r="AO79">
            <v>52.39</v>
          </cell>
          <cell r="AP79">
            <v>43.5</v>
          </cell>
          <cell r="AQ79">
            <v>20.16</v>
          </cell>
          <cell r="AR79">
            <v>28.63</v>
          </cell>
          <cell r="AS79">
            <v>32.479999999999997</v>
          </cell>
          <cell r="AT79">
            <v>1500</v>
          </cell>
          <cell r="AU79">
            <v>1500</v>
          </cell>
          <cell r="AV79">
            <v>1413</v>
          </cell>
        </row>
        <row r="80">
          <cell r="AH80" t="str">
            <v>ITIP</v>
          </cell>
          <cell r="AI80" t="str">
            <v>THERMOINDICATIVE PAINT INTERBOND TEMP. INDICATING PAINT</v>
          </cell>
          <cell r="AJ80" t="str">
            <v>0654</v>
          </cell>
          <cell r="AK80" t="str">
            <v>HAA-705</v>
          </cell>
          <cell r="AM80">
            <v>1</v>
          </cell>
          <cell r="AN80">
            <v>51.61</v>
          </cell>
          <cell r="AO80">
            <v>68</v>
          </cell>
          <cell r="AQ80">
            <v>25.19</v>
          </cell>
          <cell r="AR80">
            <v>10</v>
          </cell>
          <cell r="AT80">
            <v>1300</v>
          </cell>
          <cell r="AU80">
            <v>680</v>
          </cell>
        </row>
        <row r="82">
          <cell r="AI82" t="str">
            <v xml:space="preserve">POLY-VINYL BUTYRAL RESIN (PVB) </v>
          </cell>
        </row>
        <row r="83">
          <cell r="AH83" t="str">
            <v>VRLP</v>
          </cell>
          <cell r="AI83" t="str">
            <v>VINYL RED LEAD PRIMER</v>
          </cell>
          <cell r="AJ83" t="str">
            <v>0301</v>
          </cell>
          <cell r="AK83" t="str">
            <v>SP30(VP-71)</v>
          </cell>
          <cell r="AL83" t="str">
            <v xml:space="preserve"> 21</v>
          </cell>
          <cell r="AM83">
            <v>1</v>
          </cell>
          <cell r="AN83">
            <v>21.8</v>
          </cell>
          <cell r="AO83">
            <v>25.3</v>
          </cell>
          <cell r="AP83">
            <v>64.900000000000006</v>
          </cell>
          <cell r="AQ83">
            <v>25.23</v>
          </cell>
          <cell r="AR83">
            <v>23.72</v>
          </cell>
          <cell r="AS83">
            <v>21.57</v>
          </cell>
          <cell r="AT83">
            <v>550</v>
          </cell>
          <cell r="AU83">
            <v>600</v>
          </cell>
          <cell r="AV83">
            <v>1400</v>
          </cell>
        </row>
        <row r="84">
          <cell r="AH84" t="str">
            <v>VZCP</v>
          </cell>
          <cell r="AI84" t="str">
            <v>VINYL ZINC CHRMATE PRIMER</v>
          </cell>
          <cell r="AJ84" t="str">
            <v>0311</v>
          </cell>
          <cell r="AK84" t="str">
            <v>VP-72</v>
          </cell>
          <cell r="AM84">
            <v>1</v>
          </cell>
          <cell r="AN84">
            <v>24.5</v>
          </cell>
          <cell r="AO84">
            <v>28.8</v>
          </cell>
          <cell r="AQ84">
            <v>22.04</v>
          </cell>
          <cell r="AR84">
            <v>19.79</v>
          </cell>
          <cell r="AT84">
            <v>540</v>
          </cell>
          <cell r="AU84">
            <v>570</v>
          </cell>
        </row>
        <row r="85">
          <cell r="AH85" t="str">
            <v>WP</v>
          </cell>
          <cell r="AI85" t="str">
            <v>WASH PRIMER</v>
          </cell>
          <cell r="AJ85" t="str">
            <v>0345</v>
          </cell>
          <cell r="AK85" t="str">
            <v>908(SP-02)</v>
          </cell>
          <cell r="AL85" t="str">
            <v xml:space="preserve"> 11</v>
          </cell>
          <cell r="AM85">
            <v>1</v>
          </cell>
          <cell r="AN85">
            <v>55.83</v>
          </cell>
          <cell r="AO85">
            <v>37.1</v>
          </cell>
          <cell r="AP85">
            <v>78.3</v>
          </cell>
          <cell r="AQ85">
            <v>8.06</v>
          </cell>
          <cell r="AR85">
            <v>11.86</v>
          </cell>
          <cell r="AS85">
            <v>8.94</v>
          </cell>
          <cell r="AT85">
            <v>450</v>
          </cell>
          <cell r="AU85">
            <v>440</v>
          </cell>
          <cell r="AV85">
            <v>700</v>
          </cell>
        </row>
        <row r="86">
          <cell r="AH86" t="str">
            <v>VE</v>
          </cell>
          <cell r="AI86" t="str">
            <v xml:space="preserve">VINYL ENAMEL </v>
          </cell>
          <cell r="AJ86" t="str">
            <v>0351</v>
          </cell>
          <cell r="AK86" t="str">
            <v>SP32(VA-11)</v>
          </cell>
          <cell r="AM86">
            <v>1</v>
          </cell>
          <cell r="AN86">
            <v>29.1</v>
          </cell>
          <cell r="AO86">
            <v>26.21</v>
          </cell>
          <cell r="AQ86">
            <v>18.899999999999999</v>
          </cell>
          <cell r="AR86">
            <v>19.079999999999998</v>
          </cell>
          <cell r="AT86">
            <v>550</v>
          </cell>
          <cell r="AU86">
            <v>500</v>
          </cell>
        </row>
        <row r="87">
          <cell r="AI87" t="str">
            <v>PIGMENTED PVC VINYL FINISH</v>
          </cell>
          <cell r="AJ87" t="str">
            <v>4340(U-400)</v>
          </cell>
          <cell r="AK87" t="str">
            <v>SP34(VA-51)</v>
          </cell>
          <cell r="AM87">
            <v>1</v>
          </cell>
          <cell r="AN87">
            <v>21.2</v>
          </cell>
          <cell r="AO87">
            <v>27.3</v>
          </cell>
          <cell r="AQ87">
            <v>30.19</v>
          </cell>
          <cell r="AR87">
            <v>19.78</v>
          </cell>
          <cell r="AT87">
            <v>640</v>
          </cell>
          <cell r="AU87">
            <v>540</v>
          </cell>
        </row>
        <row r="89">
          <cell r="AI89" t="str">
            <v xml:space="preserve">POLYOL POLYISOCYANATE </v>
          </cell>
        </row>
        <row r="90">
          <cell r="AH90" t="str">
            <v>PCC</v>
          </cell>
          <cell r="AI90" t="str">
            <v xml:space="preserve">POLYURETHANE COATING CLEAR </v>
          </cell>
          <cell r="AJ90" t="str">
            <v>0550</v>
          </cell>
          <cell r="AK90" t="str">
            <v>722</v>
          </cell>
          <cell r="AL90" t="str">
            <v xml:space="preserve"> 67</v>
          </cell>
          <cell r="AM90">
            <v>1</v>
          </cell>
          <cell r="AN90">
            <v>27.8</v>
          </cell>
          <cell r="AO90">
            <v>29.8</v>
          </cell>
          <cell r="AP90">
            <v>81.790000000000006</v>
          </cell>
          <cell r="AQ90">
            <v>25.18</v>
          </cell>
          <cell r="AR90">
            <v>25.17</v>
          </cell>
          <cell r="AS90">
            <v>18.34</v>
          </cell>
          <cell r="AT90">
            <v>700</v>
          </cell>
          <cell r="AU90">
            <v>750</v>
          </cell>
          <cell r="AV90">
            <v>1500</v>
          </cell>
        </row>
        <row r="91">
          <cell r="AH91" t="str">
            <v>PF</v>
          </cell>
          <cell r="AI91" t="str">
            <v>POLYURETHANE COATING</v>
          </cell>
          <cell r="AJ91" t="str">
            <v>0551</v>
          </cell>
          <cell r="AK91" t="str">
            <v>725</v>
          </cell>
          <cell r="AL91" t="str">
            <v xml:space="preserve"> 66</v>
          </cell>
          <cell r="AM91">
            <v>1</v>
          </cell>
          <cell r="AN91">
            <v>33.1</v>
          </cell>
          <cell r="AO91">
            <v>29.8</v>
          </cell>
          <cell r="AP91">
            <v>92.79</v>
          </cell>
          <cell r="AQ91">
            <v>27.19</v>
          </cell>
          <cell r="AR91">
            <v>30.2</v>
          </cell>
          <cell r="AS91">
            <v>18.32</v>
          </cell>
          <cell r="AT91">
            <v>900</v>
          </cell>
          <cell r="AU91">
            <v>900</v>
          </cell>
          <cell r="AV91">
            <v>1700</v>
          </cell>
        </row>
        <row r="92">
          <cell r="AH92" t="str">
            <v>PFC</v>
          </cell>
          <cell r="AI92" t="str">
            <v>POLYURETHANE COATING</v>
          </cell>
          <cell r="AJ92" t="str">
            <v>0551</v>
          </cell>
          <cell r="AK92" t="str">
            <v>UP-04</v>
          </cell>
          <cell r="AL92" t="str">
            <v xml:space="preserve"> 66</v>
          </cell>
          <cell r="AM92">
            <v>1</v>
          </cell>
          <cell r="AN92">
            <v>36.78</v>
          </cell>
          <cell r="AO92">
            <v>16.059999999999999</v>
          </cell>
          <cell r="AP92">
            <v>92.79</v>
          </cell>
          <cell r="AQ92">
            <v>27.19</v>
          </cell>
          <cell r="AR92">
            <v>30.2</v>
          </cell>
          <cell r="AS92">
            <v>18.32</v>
          </cell>
          <cell r="AT92">
            <v>1000</v>
          </cell>
          <cell r="AU92">
            <v>485</v>
          </cell>
          <cell r="AV92">
            <v>1700</v>
          </cell>
        </row>
        <row r="93">
          <cell r="AH93" t="str">
            <v>AICP</v>
          </cell>
          <cell r="AI93" t="str">
            <v>ALIPHATIC ISCYANATE CURED POLYURETHANE FIN.</v>
          </cell>
          <cell r="AJ93" t="str">
            <v>4231(I-300)</v>
          </cell>
          <cell r="AK93" t="str">
            <v>728</v>
          </cell>
          <cell r="AM93">
            <v>1</v>
          </cell>
          <cell r="AN93">
            <v>46.3</v>
          </cell>
          <cell r="AO93">
            <v>56.2</v>
          </cell>
          <cell r="AQ93">
            <v>30.24</v>
          </cell>
          <cell r="AR93">
            <v>30.25</v>
          </cell>
          <cell r="AT93">
            <v>1400</v>
          </cell>
          <cell r="AU93">
            <v>1700</v>
          </cell>
        </row>
        <row r="94">
          <cell r="AI94" t="str">
            <v>POLYURETHANE TANK LINING</v>
          </cell>
          <cell r="AJ94" t="str">
            <v>4230(I-310)</v>
          </cell>
          <cell r="AK94" t="str">
            <v>733</v>
          </cell>
          <cell r="AM94">
            <v>1</v>
          </cell>
          <cell r="AN94">
            <v>37</v>
          </cell>
          <cell r="AO94">
            <v>19.8</v>
          </cell>
          <cell r="AQ94">
            <v>37.840000000000003</v>
          </cell>
          <cell r="AR94">
            <v>28.79</v>
          </cell>
          <cell r="AT94">
            <v>1400</v>
          </cell>
          <cell r="AU94">
            <v>570</v>
          </cell>
        </row>
        <row r="95">
          <cell r="AI95" t="str">
            <v>NON-REACTIVE POLYURETHANE PRIMER</v>
          </cell>
          <cell r="AJ95" t="str">
            <v>4239(I-350)</v>
          </cell>
          <cell r="AM95">
            <v>1</v>
          </cell>
          <cell r="AN95">
            <v>18</v>
          </cell>
          <cell r="AQ95">
            <v>55.56</v>
          </cell>
          <cell r="AT95">
            <v>1000</v>
          </cell>
        </row>
        <row r="96">
          <cell r="AI96" t="str">
            <v>CLEAR POLYURETHANE FINISH</v>
          </cell>
          <cell r="AJ96" t="str">
            <v>4235(I-390)</v>
          </cell>
          <cell r="AK96" t="str">
            <v>1101</v>
          </cell>
          <cell r="AM96">
            <v>1</v>
          </cell>
          <cell r="AN96">
            <v>31.7</v>
          </cell>
          <cell r="AO96">
            <v>17</v>
          </cell>
          <cell r="AQ96">
            <v>37.85</v>
          </cell>
          <cell r="AR96">
            <v>26.47</v>
          </cell>
          <cell r="AT96">
            <v>1200</v>
          </cell>
          <cell r="AU96">
            <v>450</v>
          </cell>
        </row>
        <row r="97">
          <cell r="AI97" t="str">
            <v>URETHANE CHROMATE PRIMER</v>
          </cell>
          <cell r="AJ97" t="str">
            <v>4420(A-200)</v>
          </cell>
          <cell r="AK97" t="str">
            <v>1106</v>
          </cell>
          <cell r="AM97">
            <v>1</v>
          </cell>
          <cell r="AN97">
            <v>21.6</v>
          </cell>
          <cell r="AO97">
            <v>12.5</v>
          </cell>
          <cell r="AQ97">
            <v>37.04</v>
          </cell>
          <cell r="AR97">
            <v>24</v>
          </cell>
          <cell r="AT97">
            <v>800</v>
          </cell>
          <cell r="AU97">
            <v>300</v>
          </cell>
        </row>
        <row r="98">
          <cell r="AI98" t="str">
            <v>ZINC TETROXYCHROMATE BUTYRAL ETCH PRIMER</v>
          </cell>
          <cell r="AJ98" t="str">
            <v>4322(U-220)</v>
          </cell>
          <cell r="AK98" t="str">
            <v>738</v>
          </cell>
          <cell r="AM98">
            <v>1</v>
          </cell>
          <cell r="AN98">
            <v>58.41</v>
          </cell>
          <cell r="AO98">
            <v>69.59</v>
          </cell>
          <cell r="AQ98">
            <v>8.56</v>
          </cell>
          <cell r="AR98">
            <v>28.74</v>
          </cell>
          <cell r="AT98">
            <v>500</v>
          </cell>
          <cell r="AU98">
            <v>2000</v>
          </cell>
        </row>
        <row r="100">
          <cell r="AI100" t="str">
            <v>MASONRY &amp; ACRYLIC PAINT</v>
          </cell>
        </row>
        <row r="101">
          <cell r="AI101" t="str">
            <v>SOLVENT BASE MASONRY PRIMER</v>
          </cell>
          <cell r="AJ101" t="str">
            <v>1541</v>
          </cell>
          <cell r="AL101" t="str">
            <v>140</v>
          </cell>
          <cell r="AM101">
            <v>1</v>
          </cell>
          <cell r="AN101">
            <v>9.6999999999999993</v>
          </cell>
          <cell r="AP101">
            <v>14</v>
          </cell>
          <cell r="AQ101">
            <v>40.21</v>
          </cell>
          <cell r="AS101">
            <v>30.36</v>
          </cell>
          <cell r="AT101">
            <v>390</v>
          </cell>
          <cell r="AV101">
            <v>425</v>
          </cell>
        </row>
        <row r="102">
          <cell r="AI102" t="str">
            <v>WATER BASE MASONRY PRIMER</v>
          </cell>
          <cell r="AJ102" t="str">
            <v>1546</v>
          </cell>
          <cell r="AL102" t="str">
            <v>140-1</v>
          </cell>
          <cell r="AM102">
            <v>1</v>
          </cell>
          <cell r="AN102">
            <v>8.1999999999999993</v>
          </cell>
          <cell r="AP102">
            <v>12</v>
          </cell>
          <cell r="AQ102">
            <v>40.24</v>
          </cell>
          <cell r="AS102">
            <v>33.83</v>
          </cell>
          <cell r="AT102">
            <v>330</v>
          </cell>
          <cell r="AV102">
            <v>406</v>
          </cell>
        </row>
        <row r="103">
          <cell r="AI103" t="str">
            <v>WATER BASE MASONRY PAINT</v>
          </cell>
          <cell r="AJ103" t="str">
            <v>1556</v>
          </cell>
          <cell r="AM103">
            <v>1</v>
          </cell>
          <cell r="AN103">
            <v>11.9</v>
          </cell>
          <cell r="AQ103">
            <v>36.97</v>
          </cell>
          <cell r="AT103">
            <v>440</v>
          </cell>
        </row>
        <row r="104">
          <cell r="AI104" t="str">
            <v xml:space="preserve">ACRYLIC EMULSION PAINT </v>
          </cell>
          <cell r="AJ104" t="str">
            <v>1656</v>
          </cell>
          <cell r="AM104">
            <v>1</v>
          </cell>
          <cell r="AN104">
            <v>9.4</v>
          </cell>
          <cell r="AP104">
            <v>25.8</v>
          </cell>
          <cell r="AQ104">
            <v>38.299999999999997</v>
          </cell>
          <cell r="AS104">
            <v>34.880000000000003</v>
          </cell>
          <cell r="AT104">
            <v>360</v>
          </cell>
          <cell r="AV104">
            <v>900</v>
          </cell>
        </row>
        <row r="105">
          <cell r="AI105" t="str">
            <v xml:space="preserve">EMULSION PAINT </v>
          </cell>
          <cell r="AJ105" t="str">
            <v>1657</v>
          </cell>
          <cell r="AL105" t="str">
            <v>130</v>
          </cell>
          <cell r="AM105">
            <v>1</v>
          </cell>
          <cell r="AN105">
            <v>6.4</v>
          </cell>
          <cell r="AP105">
            <v>5.8</v>
          </cell>
          <cell r="AQ105">
            <v>40.630000000000003</v>
          </cell>
          <cell r="AS105">
            <v>34.83</v>
          </cell>
          <cell r="AT105">
            <v>260</v>
          </cell>
          <cell r="AV105">
            <v>202</v>
          </cell>
        </row>
        <row r="107">
          <cell r="AI107" t="str">
            <v>OTHER PAINT</v>
          </cell>
        </row>
        <row r="108">
          <cell r="AH108" t="str">
            <v>AO</v>
          </cell>
          <cell r="AI108" t="str">
            <v>AMERLOCK-400 100,</v>
          </cell>
          <cell r="AM108">
            <v>1</v>
          </cell>
          <cell r="AO108">
            <v>35</v>
          </cell>
          <cell r="AR108">
            <v>21</v>
          </cell>
          <cell r="AU108">
            <v>735</v>
          </cell>
        </row>
        <row r="109">
          <cell r="AI109" t="str">
            <v>BLACK VARNISH</v>
          </cell>
          <cell r="AJ109" t="str">
            <v>1727</v>
          </cell>
          <cell r="AL109" t="str">
            <v>170</v>
          </cell>
          <cell r="AM109">
            <v>1</v>
          </cell>
          <cell r="AN109">
            <v>5.8</v>
          </cell>
          <cell r="AP109">
            <v>6.2</v>
          </cell>
          <cell r="AQ109">
            <v>34.479999999999997</v>
          </cell>
          <cell r="AS109">
            <v>26.94</v>
          </cell>
          <cell r="AT109">
            <v>200</v>
          </cell>
          <cell r="AV109">
            <v>167</v>
          </cell>
        </row>
        <row r="110">
          <cell r="AI110" t="str">
            <v>NEO WATER PROOF COATING</v>
          </cell>
          <cell r="AJ110" t="str">
            <v>1728</v>
          </cell>
          <cell r="AL110" t="str">
            <v>160</v>
          </cell>
          <cell r="AM110">
            <v>1</v>
          </cell>
          <cell r="AN110">
            <v>4.4000000000000004</v>
          </cell>
          <cell r="AP110">
            <v>6.7</v>
          </cell>
          <cell r="AQ110">
            <v>227.27</v>
          </cell>
          <cell r="AS110">
            <v>28.81</v>
          </cell>
          <cell r="AT110">
            <v>1000</v>
          </cell>
          <cell r="AV110">
            <v>193</v>
          </cell>
        </row>
      </sheetData>
    </sheetDataSet>
  </externalBook>
</externalLink>
</file>

<file path=xl/externalLinks/externalLink10.xml><?xml version="1.0" encoding="utf-8"?>
<externalLink xmlns="http://schemas.openxmlformats.org/spreadsheetml/2006/main">
  <externalBook xmlns:r="http://schemas.openxmlformats.org/officeDocument/2006/relationships" r:id="rId1">
    <sheetNames>
      <sheetName val="切割 MTL"/>
      <sheetName val="切割 DI"/>
      <sheetName val="ESTI."/>
      <sheetName val="DI-ESTI"/>
    </sheetNames>
    <sheetDataSet>
      <sheetData sheetId="0" refreshError="1"/>
      <sheetData sheetId="1" refreshError="1"/>
      <sheetData sheetId="2" refreshError="1">
        <row r="1">
          <cell r="A1" t="str">
            <v>STATISTICAL ESTIMATION OF FITTINGS AND VALVES FOR PIPING WORK</v>
          </cell>
        </row>
        <row r="2">
          <cell r="A2" t="str">
            <v xml:space="preserve">PROJECT NO : </v>
          </cell>
        </row>
        <row r="3">
          <cell r="A3" t="str">
            <v>Fc =</v>
          </cell>
          <cell r="B3">
            <v>1</v>
          </cell>
          <cell r="C3" t="str">
            <v>Fp =</v>
          </cell>
          <cell r="D3">
            <v>0.1</v>
          </cell>
        </row>
        <row r="4">
          <cell r="F4" t="str">
            <v>FITTING NO</v>
          </cell>
          <cell r="N4" t="str">
            <v>VALVE NO</v>
          </cell>
          <cell r="R4" t="str">
            <v>TOTAL</v>
          </cell>
          <cell r="S4" t="str">
            <v>TOTAL</v>
          </cell>
          <cell r="T4" t="str">
            <v>J/M</v>
          </cell>
          <cell r="U4" t="str">
            <v>J/M</v>
          </cell>
        </row>
        <row r="5">
          <cell r="A5" t="str">
            <v>NO</v>
          </cell>
          <cell r="B5" t="str">
            <v>SIZE</v>
          </cell>
          <cell r="C5" t="str">
            <v>SCH</v>
          </cell>
          <cell r="D5" t="str">
            <v>LG (M)</v>
          </cell>
          <cell r="E5" t="str">
            <v>IN-M</v>
          </cell>
          <cell r="F5" t="str">
            <v>90 ELL</v>
          </cell>
          <cell r="G5" t="str">
            <v>45 ELL</v>
          </cell>
          <cell r="H5" t="str">
            <v>TEE</v>
          </cell>
          <cell r="I5" t="str">
            <v>RED</v>
          </cell>
          <cell r="J5" t="str">
            <v>FLG</v>
          </cell>
          <cell r="K5" t="str">
            <v>CPLG</v>
          </cell>
          <cell r="L5" t="str">
            <v>CAP</v>
          </cell>
          <cell r="M5" t="str">
            <v>TOTAL</v>
          </cell>
          <cell r="N5" t="str">
            <v>BLOCK</v>
          </cell>
          <cell r="O5" t="str">
            <v>CHECK</v>
          </cell>
          <cell r="P5" t="str">
            <v>GLOBE</v>
          </cell>
          <cell r="Q5" t="str">
            <v>TOTAL</v>
          </cell>
          <cell r="R5" t="str">
            <v>JOINT</v>
          </cell>
          <cell r="S5" t="str">
            <v>DI</v>
          </cell>
          <cell r="T5" t="str">
            <v>(JOINT)</v>
          </cell>
          <cell r="U5" t="str">
            <v>(DI)</v>
          </cell>
        </row>
        <row r="6">
          <cell r="A6">
            <v>1</v>
          </cell>
          <cell r="B6">
            <v>0.5</v>
          </cell>
          <cell r="E6" t="str">
            <v xml:space="preserve"> </v>
          </cell>
          <cell r="F6">
            <v>0</v>
          </cell>
          <cell r="G6">
            <v>0</v>
          </cell>
          <cell r="H6">
            <v>0</v>
          </cell>
          <cell r="I6">
            <v>0</v>
          </cell>
          <cell r="J6">
            <v>0</v>
          </cell>
          <cell r="K6">
            <v>0</v>
          </cell>
          <cell r="L6">
            <v>0</v>
          </cell>
          <cell r="M6">
            <v>0</v>
          </cell>
          <cell r="N6">
            <v>0</v>
          </cell>
          <cell r="O6">
            <v>0</v>
          </cell>
          <cell r="P6">
            <v>0</v>
          </cell>
          <cell r="Q6">
            <v>0</v>
          </cell>
          <cell r="R6">
            <v>0</v>
          </cell>
          <cell r="S6">
            <v>0</v>
          </cell>
          <cell r="T6" t="str">
            <v xml:space="preserve"> </v>
          </cell>
          <cell r="U6" t="str">
            <v xml:space="preserve"> </v>
          </cell>
        </row>
        <row r="7">
          <cell r="A7">
            <v>2</v>
          </cell>
          <cell r="B7">
            <v>0.75</v>
          </cell>
          <cell r="E7" t="str">
            <v xml:space="preserve"> </v>
          </cell>
          <cell r="F7">
            <v>0</v>
          </cell>
          <cell r="G7">
            <v>0</v>
          </cell>
          <cell r="H7">
            <v>0</v>
          </cell>
          <cell r="I7">
            <v>0</v>
          </cell>
          <cell r="J7">
            <v>0</v>
          </cell>
          <cell r="K7">
            <v>0</v>
          </cell>
          <cell r="L7">
            <v>0</v>
          </cell>
          <cell r="M7">
            <v>0</v>
          </cell>
          <cell r="N7">
            <v>0</v>
          </cell>
          <cell r="O7">
            <v>0</v>
          </cell>
          <cell r="P7">
            <v>0</v>
          </cell>
          <cell r="Q7">
            <v>0</v>
          </cell>
          <cell r="R7">
            <v>0</v>
          </cell>
          <cell r="S7">
            <v>0</v>
          </cell>
          <cell r="T7" t="str">
            <v xml:space="preserve"> </v>
          </cell>
          <cell r="U7" t="str">
            <v xml:space="preserve"> </v>
          </cell>
        </row>
        <row r="8">
          <cell r="A8">
            <v>3</v>
          </cell>
          <cell r="B8">
            <v>1</v>
          </cell>
          <cell r="E8" t="str">
            <v xml:space="preserve"> </v>
          </cell>
          <cell r="F8">
            <v>0</v>
          </cell>
          <cell r="G8">
            <v>0</v>
          </cell>
          <cell r="H8">
            <v>0</v>
          </cell>
          <cell r="I8">
            <v>0</v>
          </cell>
          <cell r="J8">
            <v>0</v>
          </cell>
          <cell r="K8">
            <v>0</v>
          </cell>
          <cell r="L8">
            <v>0</v>
          </cell>
          <cell r="M8">
            <v>0</v>
          </cell>
          <cell r="N8">
            <v>0</v>
          </cell>
          <cell r="O8">
            <v>0</v>
          </cell>
          <cell r="P8">
            <v>0</v>
          </cell>
          <cell r="Q8">
            <v>0</v>
          </cell>
          <cell r="R8">
            <v>0</v>
          </cell>
          <cell r="S8">
            <v>0</v>
          </cell>
          <cell r="T8" t="str">
            <v xml:space="preserve"> </v>
          </cell>
          <cell r="U8" t="str">
            <v xml:space="preserve"> </v>
          </cell>
        </row>
        <row r="9">
          <cell r="A9">
            <v>4</v>
          </cell>
          <cell r="B9">
            <v>1.5</v>
          </cell>
          <cell r="E9" t="str">
            <v xml:space="preserve"> </v>
          </cell>
          <cell r="F9">
            <v>0</v>
          </cell>
          <cell r="G9">
            <v>0</v>
          </cell>
          <cell r="H9">
            <v>0</v>
          </cell>
          <cell r="I9">
            <v>0</v>
          </cell>
          <cell r="J9">
            <v>0</v>
          </cell>
          <cell r="K9">
            <v>0</v>
          </cell>
          <cell r="L9">
            <v>0</v>
          </cell>
          <cell r="M9">
            <v>0</v>
          </cell>
          <cell r="N9">
            <v>0</v>
          </cell>
          <cell r="O9">
            <v>0</v>
          </cell>
          <cell r="P9">
            <v>0</v>
          </cell>
          <cell r="Q9">
            <v>0</v>
          </cell>
          <cell r="R9">
            <v>0</v>
          </cell>
          <cell r="S9">
            <v>0</v>
          </cell>
          <cell r="T9" t="str">
            <v xml:space="preserve"> </v>
          </cell>
          <cell r="U9" t="str">
            <v xml:space="preserve"> </v>
          </cell>
        </row>
        <row r="10">
          <cell r="A10">
            <v>5</v>
          </cell>
          <cell r="B10">
            <v>2</v>
          </cell>
          <cell r="E10" t="str">
            <v xml:space="preserve"> </v>
          </cell>
          <cell r="F10">
            <v>0</v>
          </cell>
          <cell r="G10">
            <v>0</v>
          </cell>
          <cell r="H10">
            <v>0</v>
          </cell>
          <cell r="I10">
            <v>0</v>
          </cell>
          <cell r="J10">
            <v>0</v>
          </cell>
          <cell r="K10">
            <v>0</v>
          </cell>
          <cell r="L10">
            <v>0</v>
          </cell>
          <cell r="M10">
            <v>0</v>
          </cell>
          <cell r="N10">
            <v>0</v>
          </cell>
          <cell r="O10">
            <v>0</v>
          </cell>
          <cell r="P10">
            <v>0</v>
          </cell>
          <cell r="Q10">
            <v>0</v>
          </cell>
          <cell r="R10">
            <v>0</v>
          </cell>
          <cell r="S10">
            <v>0</v>
          </cell>
          <cell r="T10" t="str">
            <v xml:space="preserve"> </v>
          </cell>
          <cell r="U10" t="str">
            <v xml:space="preserve"> </v>
          </cell>
        </row>
        <row r="11">
          <cell r="A11">
            <v>6</v>
          </cell>
          <cell r="B11">
            <v>2.5</v>
          </cell>
          <cell r="E11" t="str">
            <v xml:space="preserve"> </v>
          </cell>
          <cell r="F11">
            <v>0</v>
          </cell>
          <cell r="G11">
            <v>0</v>
          </cell>
          <cell r="H11">
            <v>0</v>
          </cell>
          <cell r="I11">
            <v>0</v>
          </cell>
          <cell r="J11">
            <v>0</v>
          </cell>
          <cell r="K11">
            <v>0</v>
          </cell>
          <cell r="L11">
            <v>0</v>
          </cell>
          <cell r="M11">
            <v>0</v>
          </cell>
          <cell r="N11">
            <v>0</v>
          </cell>
          <cell r="O11">
            <v>0</v>
          </cell>
          <cell r="P11">
            <v>0</v>
          </cell>
          <cell r="Q11">
            <v>0</v>
          </cell>
          <cell r="R11">
            <v>0</v>
          </cell>
          <cell r="S11">
            <v>0</v>
          </cell>
          <cell r="T11" t="str">
            <v xml:space="preserve"> </v>
          </cell>
          <cell r="U11" t="str">
            <v xml:space="preserve"> </v>
          </cell>
        </row>
        <row r="12">
          <cell r="A12">
            <v>7</v>
          </cell>
          <cell r="B12">
            <v>3</v>
          </cell>
          <cell r="E12" t="str">
            <v xml:space="preserve"> </v>
          </cell>
          <cell r="F12">
            <v>0</v>
          </cell>
          <cell r="G12">
            <v>0</v>
          </cell>
          <cell r="H12">
            <v>0</v>
          </cell>
          <cell r="I12">
            <v>0</v>
          </cell>
          <cell r="J12">
            <v>0</v>
          </cell>
          <cell r="K12">
            <v>0</v>
          </cell>
          <cell r="L12">
            <v>0</v>
          </cell>
          <cell r="M12">
            <v>0</v>
          </cell>
          <cell r="N12">
            <v>0</v>
          </cell>
          <cell r="O12">
            <v>0</v>
          </cell>
          <cell r="P12">
            <v>0</v>
          </cell>
          <cell r="Q12">
            <v>0</v>
          </cell>
          <cell r="R12">
            <v>0</v>
          </cell>
          <cell r="S12">
            <v>0</v>
          </cell>
          <cell r="T12" t="str">
            <v xml:space="preserve"> </v>
          </cell>
          <cell r="U12" t="str">
            <v xml:space="preserve"> </v>
          </cell>
        </row>
        <row r="13">
          <cell r="A13">
            <v>8</v>
          </cell>
          <cell r="B13">
            <v>4</v>
          </cell>
          <cell r="E13" t="str">
            <v xml:space="preserve"> </v>
          </cell>
          <cell r="F13">
            <v>0</v>
          </cell>
          <cell r="G13">
            <v>0</v>
          </cell>
          <cell r="H13">
            <v>0</v>
          </cell>
          <cell r="I13">
            <v>0</v>
          </cell>
          <cell r="J13">
            <v>0</v>
          </cell>
          <cell r="K13">
            <v>0</v>
          </cell>
          <cell r="L13">
            <v>0</v>
          </cell>
          <cell r="M13">
            <v>0</v>
          </cell>
          <cell r="N13">
            <v>0</v>
          </cell>
          <cell r="O13">
            <v>0</v>
          </cell>
          <cell r="P13">
            <v>0</v>
          </cell>
          <cell r="Q13">
            <v>0</v>
          </cell>
          <cell r="R13">
            <v>0</v>
          </cell>
          <cell r="S13">
            <v>0</v>
          </cell>
          <cell r="T13" t="str">
            <v xml:space="preserve"> </v>
          </cell>
          <cell r="U13" t="str">
            <v xml:space="preserve"> </v>
          </cell>
        </row>
        <row r="14">
          <cell r="A14">
            <v>9</v>
          </cell>
          <cell r="B14">
            <v>5</v>
          </cell>
          <cell r="E14" t="str">
            <v xml:space="preserve"> </v>
          </cell>
          <cell r="F14">
            <v>0</v>
          </cell>
          <cell r="G14">
            <v>0</v>
          </cell>
          <cell r="H14">
            <v>0</v>
          </cell>
          <cell r="I14">
            <v>0</v>
          </cell>
          <cell r="J14">
            <v>0</v>
          </cell>
          <cell r="K14">
            <v>0</v>
          </cell>
          <cell r="L14">
            <v>0</v>
          </cell>
          <cell r="M14">
            <v>0</v>
          </cell>
          <cell r="N14">
            <v>0</v>
          </cell>
          <cell r="O14">
            <v>0</v>
          </cell>
          <cell r="P14">
            <v>0</v>
          </cell>
          <cell r="Q14">
            <v>0</v>
          </cell>
          <cell r="R14">
            <v>0</v>
          </cell>
          <cell r="S14">
            <v>0</v>
          </cell>
          <cell r="T14" t="str">
            <v xml:space="preserve"> </v>
          </cell>
          <cell r="U14" t="str">
            <v xml:space="preserve"> </v>
          </cell>
        </row>
        <row r="15">
          <cell r="A15">
            <v>10</v>
          </cell>
          <cell r="B15">
            <v>6</v>
          </cell>
          <cell r="E15" t="str">
            <v xml:space="preserve"> </v>
          </cell>
          <cell r="F15">
            <v>0</v>
          </cell>
          <cell r="G15">
            <v>0</v>
          </cell>
          <cell r="H15">
            <v>0</v>
          </cell>
          <cell r="I15">
            <v>0</v>
          </cell>
          <cell r="J15">
            <v>0</v>
          </cell>
          <cell r="K15">
            <v>0</v>
          </cell>
          <cell r="L15">
            <v>0</v>
          </cell>
          <cell r="M15">
            <v>0</v>
          </cell>
          <cell r="N15">
            <v>0</v>
          </cell>
          <cell r="O15">
            <v>0</v>
          </cell>
          <cell r="P15">
            <v>0</v>
          </cell>
          <cell r="Q15">
            <v>0</v>
          </cell>
          <cell r="R15">
            <v>0</v>
          </cell>
          <cell r="S15">
            <v>0</v>
          </cell>
          <cell r="T15" t="str">
            <v xml:space="preserve"> </v>
          </cell>
          <cell r="U15" t="str">
            <v xml:space="preserve"> </v>
          </cell>
        </row>
        <row r="16">
          <cell r="A16">
            <v>11</v>
          </cell>
          <cell r="B16">
            <v>8</v>
          </cell>
          <cell r="E16" t="str">
            <v xml:space="preserve"> </v>
          </cell>
          <cell r="F16">
            <v>0</v>
          </cell>
          <cell r="G16">
            <v>0</v>
          </cell>
          <cell r="H16">
            <v>0</v>
          </cell>
          <cell r="I16">
            <v>0</v>
          </cell>
          <cell r="J16">
            <v>0</v>
          </cell>
          <cell r="K16">
            <v>0</v>
          </cell>
          <cell r="L16">
            <v>0</v>
          </cell>
          <cell r="M16">
            <v>0</v>
          </cell>
          <cell r="N16">
            <v>0</v>
          </cell>
          <cell r="O16">
            <v>0</v>
          </cell>
          <cell r="P16">
            <v>0</v>
          </cell>
          <cell r="Q16">
            <v>0</v>
          </cell>
          <cell r="R16">
            <v>0</v>
          </cell>
          <cell r="S16">
            <v>0</v>
          </cell>
          <cell r="T16" t="str">
            <v xml:space="preserve"> </v>
          </cell>
          <cell r="U16" t="str">
            <v xml:space="preserve"> </v>
          </cell>
        </row>
        <row r="17">
          <cell r="A17">
            <v>12</v>
          </cell>
          <cell r="B17">
            <v>10</v>
          </cell>
          <cell r="E17" t="str">
            <v xml:space="preserve"> </v>
          </cell>
          <cell r="F17">
            <v>0</v>
          </cell>
          <cell r="G17">
            <v>0</v>
          </cell>
          <cell r="H17">
            <v>0</v>
          </cell>
          <cell r="I17">
            <v>0</v>
          </cell>
          <cell r="J17">
            <v>0</v>
          </cell>
          <cell r="L17">
            <v>0</v>
          </cell>
          <cell r="M17">
            <v>0</v>
          </cell>
          <cell r="N17">
            <v>0</v>
          </cell>
          <cell r="O17">
            <v>0</v>
          </cell>
          <cell r="P17">
            <v>0</v>
          </cell>
          <cell r="Q17">
            <v>0</v>
          </cell>
          <cell r="R17">
            <v>0</v>
          </cell>
          <cell r="S17">
            <v>0</v>
          </cell>
          <cell r="T17" t="str">
            <v xml:space="preserve"> </v>
          </cell>
          <cell r="U17" t="str">
            <v xml:space="preserve"> </v>
          </cell>
        </row>
        <row r="18">
          <cell r="A18">
            <v>13</v>
          </cell>
          <cell r="B18">
            <v>12</v>
          </cell>
          <cell r="E18" t="str">
            <v xml:space="preserve"> </v>
          </cell>
          <cell r="F18">
            <v>0</v>
          </cell>
          <cell r="G18">
            <v>0</v>
          </cell>
          <cell r="H18">
            <v>0</v>
          </cell>
          <cell r="I18">
            <v>0</v>
          </cell>
          <cell r="J18">
            <v>0</v>
          </cell>
          <cell r="L18">
            <v>0</v>
          </cell>
          <cell r="M18">
            <v>0</v>
          </cell>
          <cell r="N18">
            <v>0</v>
          </cell>
          <cell r="O18">
            <v>0</v>
          </cell>
          <cell r="P18">
            <v>0</v>
          </cell>
          <cell r="Q18">
            <v>0</v>
          </cell>
          <cell r="R18">
            <v>0</v>
          </cell>
          <cell r="S18">
            <v>0</v>
          </cell>
          <cell r="T18" t="str">
            <v xml:space="preserve"> </v>
          </cell>
          <cell r="U18" t="str">
            <v xml:space="preserve"> </v>
          </cell>
        </row>
        <row r="19">
          <cell r="A19">
            <v>14</v>
          </cell>
          <cell r="B19">
            <v>14</v>
          </cell>
          <cell r="E19" t="str">
            <v xml:space="preserve"> </v>
          </cell>
          <cell r="F19">
            <v>0</v>
          </cell>
          <cell r="G19">
            <v>0</v>
          </cell>
          <cell r="H19">
            <v>0</v>
          </cell>
          <cell r="I19">
            <v>0</v>
          </cell>
          <cell r="J19">
            <v>0</v>
          </cell>
          <cell r="L19">
            <v>0</v>
          </cell>
          <cell r="M19">
            <v>0</v>
          </cell>
          <cell r="N19">
            <v>0</v>
          </cell>
          <cell r="O19">
            <v>0</v>
          </cell>
          <cell r="P19">
            <v>0</v>
          </cell>
          <cell r="Q19">
            <v>0</v>
          </cell>
          <cell r="R19">
            <v>0</v>
          </cell>
          <cell r="S19">
            <v>0</v>
          </cell>
          <cell r="T19" t="str">
            <v xml:space="preserve"> </v>
          </cell>
          <cell r="U19" t="str">
            <v xml:space="preserve"> </v>
          </cell>
        </row>
        <row r="20">
          <cell r="A20">
            <v>15</v>
          </cell>
          <cell r="B20">
            <v>16</v>
          </cell>
          <cell r="E20" t="str">
            <v xml:space="preserve"> </v>
          </cell>
          <cell r="F20">
            <v>0</v>
          </cell>
          <cell r="G20">
            <v>0</v>
          </cell>
          <cell r="H20">
            <v>0</v>
          </cell>
          <cell r="I20">
            <v>0</v>
          </cell>
          <cell r="J20">
            <v>0</v>
          </cell>
          <cell r="K20">
            <v>0</v>
          </cell>
          <cell r="L20">
            <v>0</v>
          </cell>
          <cell r="M20">
            <v>0</v>
          </cell>
          <cell r="N20">
            <v>0</v>
          </cell>
          <cell r="O20">
            <v>0</v>
          </cell>
          <cell r="P20">
            <v>0</v>
          </cell>
          <cell r="Q20">
            <v>0</v>
          </cell>
          <cell r="R20">
            <v>0</v>
          </cell>
          <cell r="S20">
            <v>0</v>
          </cell>
          <cell r="T20" t="str">
            <v xml:space="preserve"> </v>
          </cell>
          <cell r="U20" t="str">
            <v xml:space="preserve"> </v>
          </cell>
        </row>
        <row r="21">
          <cell r="A21">
            <v>16</v>
          </cell>
          <cell r="B21">
            <v>18</v>
          </cell>
          <cell r="E21" t="str">
            <v xml:space="preserve"> </v>
          </cell>
          <cell r="F21">
            <v>0</v>
          </cell>
          <cell r="G21">
            <v>0</v>
          </cell>
          <cell r="H21">
            <v>0</v>
          </cell>
          <cell r="I21">
            <v>0</v>
          </cell>
          <cell r="J21">
            <v>0</v>
          </cell>
          <cell r="L21">
            <v>0</v>
          </cell>
          <cell r="M21">
            <v>0</v>
          </cell>
          <cell r="N21">
            <v>0</v>
          </cell>
          <cell r="O21">
            <v>0</v>
          </cell>
          <cell r="P21">
            <v>0</v>
          </cell>
          <cell r="Q21">
            <v>0</v>
          </cell>
          <cell r="R21">
            <v>0</v>
          </cell>
          <cell r="S21">
            <v>0</v>
          </cell>
          <cell r="T21" t="str">
            <v xml:space="preserve"> </v>
          </cell>
          <cell r="U21" t="str">
            <v xml:space="preserve"> </v>
          </cell>
        </row>
        <row r="22">
          <cell r="A22">
            <v>17</v>
          </cell>
          <cell r="B22">
            <v>20</v>
          </cell>
          <cell r="E22" t="str">
            <v xml:space="preserve"> </v>
          </cell>
          <cell r="F22">
            <v>0</v>
          </cell>
          <cell r="G22">
            <v>0</v>
          </cell>
          <cell r="H22">
            <v>0</v>
          </cell>
          <cell r="I22">
            <v>0</v>
          </cell>
          <cell r="J22">
            <v>0</v>
          </cell>
          <cell r="L22">
            <v>0</v>
          </cell>
          <cell r="M22">
            <v>0</v>
          </cell>
          <cell r="N22">
            <v>0</v>
          </cell>
          <cell r="O22">
            <v>0</v>
          </cell>
          <cell r="P22">
            <v>0</v>
          </cell>
          <cell r="Q22">
            <v>0</v>
          </cell>
          <cell r="R22">
            <v>0</v>
          </cell>
          <cell r="S22">
            <v>0</v>
          </cell>
          <cell r="T22" t="str">
            <v xml:space="preserve"> </v>
          </cell>
          <cell r="U22" t="str">
            <v xml:space="preserve"> </v>
          </cell>
        </row>
        <row r="23">
          <cell r="A23">
            <v>18</v>
          </cell>
          <cell r="B23">
            <v>22</v>
          </cell>
          <cell r="E23" t="str">
            <v xml:space="preserve"> </v>
          </cell>
          <cell r="F23">
            <v>0</v>
          </cell>
          <cell r="G23">
            <v>0</v>
          </cell>
          <cell r="H23">
            <v>0</v>
          </cell>
          <cell r="I23">
            <v>0</v>
          </cell>
          <cell r="J23">
            <v>0</v>
          </cell>
          <cell r="L23">
            <v>0</v>
          </cell>
          <cell r="M23">
            <v>0</v>
          </cell>
          <cell r="N23">
            <v>0</v>
          </cell>
          <cell r="O23">
            <v>0</v>
          </cell>
          <cell r="P23">
            <v>0</v>
          </cell>
          <cell r="Q23">
            <v>0</v>
          </cell>
          <cell r="R23">
            <v>0</v>
          </cell>
          <cell r="S23">
            <v>0</v>
          </cell>
          <cell r="T23" t="str">
            <v xml:space="preserve"> </v>
          </cell>
          <cell r="U23" t="str">
            <v xml:space="preserve"> </v>
          </cell>
        </row>
        <row r="24">
          <cell r="A24">
            <v>19</v>
          </cell>
          <cell r="B24">
            <v>24</v>
          </cell>
          <cell r="E24" t="str">
            <v xml:space="preserve"> </v>
          </cell>
          <cell r="F24">
            <v>0</v>
          </cell>
          <cell r="G24">
            <v>0</v>
          </cell>
          <cell r="H24">
            <v>0</v>
          </cell>
          <cell r="I24">
            <v>0</v>
          </cell>
          <cell r="J24">
            <v>0</v>
          </cell>
          <cell r="L24">
            <v>0</v>
          </cell>
          <cell r="M24">
            <v>0</v>
          </cell>
          <cell r="N24">
            <v>0</v>
          </cell>
          <cell r="O24">
            <v>0</v>
          </cell>
          <cell r="P24">
            <v>0</v>
          </cell>
          <cell r="Q24">
            <v>0</v>
          </cell>
          <cell r="R24">
            <v>0</v>
          </cell>
          <cell r="S24">
            <v>0</v>
          </cell>
          <cell r="T24" t="str">
            <v xml:space="preserve"> </v>
          </cell>
          <cell r="U24" t="str">
            <v xml:space="preserve"> </v>
          </cell>
        </row>
        <row r="25">
          <cell r="A25">
            <v>20</v>
          </cell>
          <cell r="B25">
            <v>26</v>
          </cell>
          <cell r="E25" t="str">
            <v xml:space="preserve"> </v>
          </cell>
          <cell r="F25">
            <v>0</v>
          </cell>
          <cell r="G25">
            <v>0</v>
          </cell>
          <cell r="H25">
            <v>0</v>
          </cell>
          <cell r="I25">
            <v>0</v>
          </cell>
          <cell r="J25">
            <v>0</v>
          </cell>
          <cell r="L25">
            <v>0</v>
          </cell>
          <cell r="M25">
            <v>0</v>
          </cell>
          <cell r="N25">
            <v>0</v>
          </cell>
          <cell r="O25">
            <v>0</v>
          </cell>
          <cell r="P25">
            <v>0</v>
          </cell>
          <cell r="Q25">
            <v>0</v>
          </cell>
          <cell r="R25">
            <v>0</v>
          </cell>
          <cell r="S25">
            <v>0</v>
          </cell>
          <cell r="T25" t="str">
            <v xml:space="preserve"> </v>
          </cell>
          <cell r="U25" t="str">
            <v xml:space="preserve"> </v>
          </cell>
        </row>
        <row r="26">
          <cell r="A26">
            <v>21</v>
          </cell>
          <cell r="B26">
            <v>28</v>
          </cell>
          <cell r="E26" t="str">
            <v xml:space="preserve"> </v>
          </cell>
          <cell r="F26">
            <v>0</v>
          </cell>
          <cell r="G26">
            <v>0</v>
          </cell>
          <cell r="H26">
            <v>0</v>
          </cell>
          <cell r="I26">
            <v>0</v>
          </cell>
          <cell r="J26">
            <v>0</v>
          </cell>
          <cell r="L26">
            <v>0</v>
          </cell>
          <cell r="M26">
            <v>0</v>
          </cell>
          <cell r="N26">
            <v>0</v>
          </cell>
          <cell r="O26">
            <v>0</v>
          </cell>
          <cell r="P26">
            <v>0</v>
          </cell>
          <cell r="Q26">
            <v>0</v>
          </cell>
          <cell r="R26">
            <v>0</v>
          </cell>
          <cell r="S26">
            <v>0</v>
          </cell>
          <cell r="T26" t="str">
            <v xml:space="preserve"> </v>
          </cell>
          <cell r="U26" t="str">
            <v xml:space="preserve"> </v>
          </cell>
        </row>
        <row r="27">
          <cell r="A27">
            <v>22</v>
          </cell>
          <cell r="B27">
            <v>30</v>
          </cell>
          <cell r="E27" t="str">
            <v xml:space="preserve"> </v>
          </cell>
          <cell r="F27">
            <v>0</v>
          </cell>
          <cell r="G27">
            <v>0</v>
          </cell>
          <cell r="H27">
            <v>0</v>
          </cell>
          <cell r="I27">
            <v>0</v>
          </cell>
          <cell r="J27">
            <v>0</v>
          </cell>
          <cell r="L27">
            <v>0</v>
          </cell>
          <cell r="M27">
            <v>0</v>
          </cell>
          <cell r="N27">
            <v>0</v>
          </cell>
          <cell r="O27">
            <v>0</v>
          </cell>
          <cell r="P27">
            <v>0</v>
          </cell>
          <cell r="Q27">
            <v>0</v>
          </cell>
          <cell r="R27">
            <v>0</v>
          </cell>
          <cell r="S27">
            <v>0</v>
          </cell>
          <cell r="T27" t="str">
            <v xml:space="preserve"> </v>
          </cell>
          <cell r="U27" t="str">
            <v xml:space="preserve"> </v>
          </cell>
        </row>
        <row r="28">
          <cell r="A28">
            <v>23</v>
          </cell>
          <cell r="B28">
            <v>32</v>
          </cell>
          <cell r="E28" t="str">
            <v xml:space="preserve"> </v>
          </cell>
          <cell r="F28">
            <v>0</v>
          </cell>
          <cell r="G28">
            <v>0</v>
          </cell>
          <cell r="H28">
            <v>0</v>
          </cell>
          <cell r="I28">
            <v>0</v>
          </cell>
          <cell r="J28">
            <v>0</v>
          </cell>
          <cell r="L28">
            <v>0</v>
          </cell>
          <cell r="M28">
            <v>0</v>
          </cell>
          <cell r="N28">
            <v>0</v>
          </cell>
          <cell r="O28">
            <v>0</v>
          </cell>
          <cell r="P28">
            <v>0</v>
          </cell>
          <cell r="Q28">
            <v>0</v>
          </cell>
          <cell r="R28">
            <v>0</v>
          </cell>
          <cell r="S28">
            <v>0</v>
          </cell>
          <cell r="T28" t="str">
            <v xml:space="preserve"> </v>
          </cell>
          <cell r="U28" t="str">
            <v xml:space="preserve"> </v>
          </cell>
        </row>
        <row r="29">
          <cell r="A29">
            <v>24</v>
          </cell>
          <cell r="B29">
            <v>34</v>
          </cell>
          <cell r="E29" t="str">
            <v xml:space="preserve"> </v>
          </cell>
          <cell r="F29">
            <v>0</v>
          </cell>
          <cell r="G29">
            <v>0</v>
          </cell>
          <cell r="H29">
            <v>0</v>
          </cell>
          <cell r="I29">
            <v>0</v>
          </cell>
          <cell r="J29">
            <v>0</v>
          </cell>
          <cell r="L29">
            <v>0</v>
          </cell>
          <cell r="M29">
            <v>0</v>
          </cell>
          <cell r="N29">
            <v>0</v>
          </cell>
          <cell r="O29">
            <v>0</v>
          </cell>
          <cell r="P29">
            <v>0</v>
          </cell>
          <cell r="Q29">
            <v>0</v>
          </cell>
          <cell r="R29">
            <v>0</v>
          </cell>
          <cell r="S29">
            <v>0</v>
          </cell>
          <cell r="T29" t="str">
            <v xml:space="preserve"> </v>
          </cell>
          <cell r="U29" t="str">
            <v xml:space="preserve"> </v>
          </cell>
        </row>
        <row r="30">
          <cell r="A30">
            <v>25</v>
          </cell>
          <cell r="B30">
            <v>36</v>
          </cell>
          <cell r="E30" t="str">
            <v xml:space="preserve"> </v>
          </cell>
          <cell r="F30">
            <v>0</v>
          </cell>
          <cell r="G30">
            <v>0</v>
          </cell>
          <cell r="H30">
            <v>0</v>
          </cell>
          <cell r="I30">
            <v>0</v>
          </cell>
          <cell r="J30">
            <v>0</v>
          </cell>
          <cell r="L30">
            <v>0</v>
          </cell>
          <cell r="M30">
            <v>0</v>
          </cell>
          <cell r="N30">
            <v>0</v>
          </cell>
          <cell r="O30">
            <v>0</v>
          </cell>
          <cell r="P30">
            <v>0</v>
          </cell>
          <cell r="Q30">
            <v>0</v>
          </cell>
          <cell r="R30">
            <v>0</v>
          </cell>
          <cell r="S30">
            <v>0</v>
          </cell>
          <cell r="T30" t="str">
            <v xml:space="preserve"> </v>
          </cell>
          <cell r="U30" t="str">
            <v xml:space="preserve"> </v>
          </cell>
        </row>
        <row r="31">
          <cell r="A31">
            <v>26</v>
          </cell>
          <cell r="B31">
            <v>38</v>
          </cell>
          <cell r="E31" t="str">
            <v xml:space="preserve"> </v>
          </cell>
          <cell r="F31">
            <v>0</v>
          </cell>
          <cell r="G31">
            <v>0</v>
          </cell>
          <cell r="H31">
            <v>0</v>
          </cell>
          <cell r="I31">
            <v>0</v>
          </cell>
          <cell r="J31">
            <v>0</v>
          </cell>
          <cell r="L31">
            <v>0</v>
          </cell>
          <cell r="M31">
            <v>0</v>
          </cell>
          <cell r="N31">
            <v>0</v>
          </cell>
          <cell r="O31">
            <v>0</v>
          </cell>
          <cell r="P31">
            <v>0</v>
          </cell>
          <cell r="Q31">
            <v>0</v>
          </cell>
          <cell r="R31">
            <v>0</v>
          </cell>
          <cell r="S31">
            <v>0</v>
          </cell>
          <cell r="T31" t="str">
            <v xml:space="preserve"> </v>
          </cell>
          <cell r="U31" t="str">
            <v xml:space="preserve"> </v>
          </cell>
        </row>
        <row r="32">
          <cell r="A32">
            <v>27</v>
          </cell>
          <cell r="B32">
            <v>40</v>
          </cell>
          <cell r="E32" t="str">
            <v xml:space="preserve"> </v>
          </cell>
          <cell r="F32">
            <v>0</v>
          </cell>
          <cell r="G32">
            <v>0</v>
          </cell>
          <cell r="H32">
            <v>0</v>
          </cell>
          <cell r="I32">
            <v>0</v>
          </cell>
          <cell r="J32">
            <v>0</v>
          </cell>
          <cell r="L32">
            <v>0</v>
          </cell>
          <cell r="M32">
            <v>0</v>
          </cell>
          <cell r="N32">
            <v>0</v>
          </cell>
          <cell r="O32">
            <v>0</v>
          </cell>
          <cell r="P32">
            <v>0</v>
          </cell>
          <cell r="Q32">
            <v>0</v>
          </cell>
          <cell r="R32">
            <v>0</v>
          </cell>
          <cell r="S32">
            <v>0</v>
          </cell>
          <cell r="T32" t="str">
            <v xml:space="preserve"> </v>
          </cell>
          <cell r="U32" t="str">
            <v xml:space="preserve"> </v>
          </cell>
        </row>
        <row r="33">
          <cell r="A33">
            <v>28</v>
          </cell>
          <cell r="B33">
            <v>42</v>
          </cell>
          <cell r="E33" t="str">
            <v xml:space="preserve"> </v>
          </cell>
          <cell r="F33">
            <v>0</v>
          </cell>
          <cell r="G33">
            <v>0</v>
          </cell>
          <cell r="H33">
            <v>0</v>
          </cell>
          <cell r="I33">
            <v>0</v>
          </cell>
          <cell r="J33">
            <v>0</v>
          </cell>
          <cell r="L33">
            <v>0</v>
          </cell>
          <cell r="M33">
            <v>0</v>
          </cell>
          <cell r="N33">
            <v>0</v>
          </cell>
          <cell r="O33">
            <v>0</v>
          </cell>
          <cell r="P33">
            <v>0</v>
          </cell>
          <cell r="Q33">
            <v>0</v>
          </cell>
          <cell r="R33">
            <v>0</v>
          </cell>
          <cell r="S33">
            <v>0</v>
          </cell>
          <cell r="T33" t="str">
            <v xml:space="preserve"> </v>
          </cell>
          <cell r="U33" t="str">
            <v xml:space="preserve"> </v>
          </cell>
        </row>
        <row r="34">
          <cell r="A34">
            <v>29</v>
          </cell>
          <cell r="B34">
            <v>44</v>
          </cell>
          <cell r="E34" t="str">
            <v xml:space="preserve"> </v>
          </cell>
          <cell r="F34">
            <v>0</v>
          </cell>
          <cell r="G34">
            <v>0</v>
          </cell>
          <cell r="H34">
            <v>0</v>
          </cell>
          <cell r="I34">
            <v>0</v>
          </cell>
          <cell r="J34">
            <v>0</v>
          </cell>
          <cell r="L34">
            <v>0</v>
          </cell>
          <cell r="M34">
            <v>0</v>
          </cell>
          <cell r="N34">
            <v>0</v>
          </cell>
          <cell r="O34">
            <v>0</v>
          </cell>
          <cell r="P34">
            <v>0</v>
          </cell>
          <cell r="Q34">
            <v>0</v>
          </cell>
          <cell r="R34">
            <v>0</v>
          </cell>
          <cell r="S34">
            <v>0</v>
          </cell>
          <cell r="T34" t="str">
            <v xml:space="preserve"> </v>
          </cell>
          <cell r="U34" t="str">
            <v xml:space="preserve"> </v>
          </cell>
        </row>
        <row r="35">
          <cell r="A35">
            <v>30</v>
          </cell>
          <cell r="B35">
            <v>46</v>
          </cell>
          <cell r="E35" t="str">
            <v xml:space="preserve"> </v>
          </cell>
          <cell r="F35">
            <v>0</v>
          </cell>
          <cell r="G35">
            <v>0</v>
          </cell>
          <cell r="H35">
            <v>0</v>
          </cell>
          <cell r="I35">
            <v>0</v>
          </cell>
          <cell r="J35">
            <v>0</v>
          </cell>
          <cell r="L35">
            <v>0</v>
          </cell>
          <cell r="M35">
            <v>0</v>
          </cell>
          <cell r="N35">
            <v>0</v>
          </cell>
          <cell r="O35">
            <v>0</v>
          </cell>
          <cell r="P35">
            <v>0</v>
          </cell>
          <cell r="Q35">
            <v>0</v>
          </cell>
          <cell r="R35">
            <v>0</v>
          </cell>
          <cell r="S35">
            <v>0</v>
          </cell>
          <cell r="T35" t="str">
            <v xml:space="preserve"> </v>
          </cell>
          <cell r="U35" t="str">
            <v xml:space="preserve"> </v>
          </cell>
        </row>
        <row r="36">
          <cell r="A36">
            <v>31</v>
          </cell>
          <cell r="B36">
            <v>48</v>
          </cell>
          <cell r="E36" t="str">
            <v xml:space="preserve"> </v>
          </cell>
          <cell r="F36">
            <v>0</v>
          </cell>
          <cell r="G36">
            <v>0</v>
          </cell>
          <cell r="H36">
            <v>0</v>
          </cell>
          <cell r="I36">
            <v>0</v>
          </cell>
          <cell r="J36">
            <v>0</v>
          </cell>
          <cell r="L36">
            <v>0</v>
          </cell>
          <cell r="M36">
            <v>0</v>
          </cell>
          <cell r="N36">
            <v>0</v>
          </cell>
          <cell r="O36">
            <v>0</v>
          </cell>
          <cell r="P36">
            <v>0</v>
          </cell>
          <cell r="Q36">
            <v>0</v>
          </cell>
          <cell r="R36">
            <v>0</v>
          </cell>
          <cell r="S36">
            <v>0</v>
          </cell>
          <cell r="T36" t="str">
            <v xml:space="preserve"> </v>
          </cell>
          <cell r="U36" t="str">
            <v xml:space="preserve"> </v>
          </cell>
        </row>
        <row r="37">
          <cell r="A37">
            <v>32</v>
          </cell>
          <cell r="B37">
            <v>52</v>
          </cell>
          <cell r="E37" t="str">
            <v xml:space="preserve"> </v>
          </cell>
          <cell r="F37">
            <v>0</v>
          </cell>
          <cell r="G37">
            <v>0</v>
          </cell>
          <cell r="H37">
            <v>0</v>
          </cell>
          <cell r="I37">
            <v>0</v>
          </cell>
          <cell r="J37">
            <v>0</v>
          </cell>
          <cell r="L37">
            <v>0</v>
          </cell>
          <cell r="M37">
            <v>0</v>
          </cell>
          <cell r="N37">
            <v>0</v>
          </cell>
          <cell r="O37">
            <v>0</v>
          </cell>
          <cell r="P37">
            <v>0</v>
          </cell>
          <cell r="Q37">
            <v>0</v>
          </cell>
          <cell r="R37">
            <v>0</v>
          </cell>
          <cell r="S37">
            <v>0</v>
          </cell>
          <cell r="T37" t="str">
            <v xml:space="preserve"> </v>
          </cell>
          <cell r="U37" t="str">
            <v xml:space="preserve"> </v>
          </cell>
        </row>
        <row r="38">
          <cell r="A38">
            <v>33</v>
          </cell>
          <cell r="B38">
            <v>56</v>
          </cell>
          <cell r="E38" t="str">
            <v xml:space="preserve"> </v>
          </cell>
          <cell r="F38">
            <v>0</v>
          </cell>
          <cell r="G38">
            <v>0</v>
          </cell>
          <cell r="H38">
            <v>0</v>
          </cell>
          <cell r="I38">
            <v>0</v>
          </cell>
          <cell r="J38">
            <v>0</v>
          </cell>
          <cell r="L38">
            <v>0</v>
          </cell>
          <cell r="M38">
            <v>0</v>
          </cell>
          <cell r="N38">
            <v>0</v>
          </cell>
          <cell r="O38">
            <v>0</v>
          </cell>
          <cell r="P38">
            <v>0</v>
          </cell>
          <cell r="Q38">
            <v>0</v>
          </cell>
          <cell r="R38">
            <v>0</v>
          </cell>
          <cell r="S38">
            <v>0</v>
          </cell>
          <cell r="T38" t="str">
            <v xml:space="preserve"> </v>
          </cell>
          <cell r="U38" t="str">
            <v xml:space="preserve"> </v>
          </cell>
        </row>
        <row r="39">
          <cell r="A39">
            <v>34</v>
          </cell>
          <cell r="B39">
            <v>60</v>
          </cell>
          <cell r="E39" t="str">
            <v xml:space="preserve"> </v>
          </cell>
          <cell r="F39">
            <v>0</v>
          </cell>
          <cell r="G39">
            <v>0</v>
          </cell>
          <cell r="H39">
            <v>0</v>
          </cell>
          <cell r="I39">
            <v>0</v>
          </cell>
          <cell r="J39">
            <v>0</v>
          </cell>
          <cell r="L39">
            <v>0</v>
          </cell>
          <cell r="M39">
            <v>0</v>
          </cell>
          <cell r="N39">
            <v>0</v>
          </cell>
          <cell r="O39">
            <v>0</v>
          </cell>
          <cell r="P39">
            <v>0</v>
          </cell>
          <cell r="Q39">
            <v>0</v>
          </cell>
          <cell r="R39">
            <v>0</v>
          </cell>
          <cell r="S39">
            <v>0</v>
          </cell>
          <cell r="T39" t="str">
            <v xml:space="preserve"> </v>
          </cell>
          <cell r="U39" t="str">
            <v xml:space="preserve"> </v>
          </cell>
        </row>
        <row r="40">
          <cell r="A40">
            <v>35</v>
          </cell>
          <cell r="B40">
            <v>64</v>
          </cell>
          <cell r="E40" t="str">
            <v xml:space="preserve"> </v>
          </cell>
          <cell r="F40">
            <v>0</v>
          </cell>
          <cell r="G40">
            <v>0</v>
          </cell>
          <cell r="H40">
            <v>0</v>
          </cell>
          <cell r="I40">
            <v>0</v>
          </cell>
          <cell r="J40">
            <v>0</v>
          </cell>
          <cell r="L40">
            <v>0</v>
          </cell>
          <cell r="M40">
            <v>0</v>
          </cell>
          <cell r="N40">
            <v>0</v>
          </cell>
          <cell r="O40">
            <v>0</v>
          </cell>
          <cell r="P40">
            <v>0</v>
          </cell>
          <cell r="Q40">
            <v>0</v>
          </cell>
          <cell r="R40">
            <v>0</v>
          </cell>
          <cell r="S40">
            <v>0</v>
          </cell>
          <cell r="T40" t="str">
            <v xml:space="preserve"> </v>
          </cell>
          <cell r="U40" t="str">
            <v xml:space="preserve"> </v>
          </cell>
        </row>
        <row r="41">
          <cell r="A41">
            <v>36</v>
          </cell>
          <cell r="B41">
            <v>68</v>
          </cell>
          <cell r="E41" t="str">
            <v xml:space="preserve"> </v>
          </cell>
          <cell r="F41">
            <v>0</v>
          </cell>
          <cell r="G41">
            <v>0</v>
          </cell>
          <cell r="H41">
            <v>0</v>
          </cell>
          <cell r="I41">
            <v>0</v>
          </cell>
          <cell r="J41">
            <v>0</v>
          </cell>
          <cell r="L41">
            <v>0</v>
          </cell>
          <cell r="M41">
            <v>0</v>
          </cell>
          <cell r="N41">
            <v>0</v>
          </cell>
          <cell r="O41">
            <v>0</v>
          </cell>
          <cell r="P41">
            <v>0</v>
          </cell>
          <cell r="Q41">
            <v>0</v>
          </cell>
          <cell r="R41">
            <v>0</v>
          </cell>
          <cell r="S41">
            <v>0</v>
          </cell>
          <cell r="T41" t="str">
            <v xml:space="preserve"> </v>
          </cell>
          <cell r="U41" t="str">
            <v xml:space="preserve"> </v>
          </cell>
        </row>
        <row r="42">
          <cell r="A42">
            <v>37</v>
          </cell>
          <cell r="B42">
            <v>72</v>
          </cell>
          <cell r="E42" t="str">
            <v xml:space="preserve"> </v>
          </cell>
          <cell r="F42">
            <v>0</v>
          </cell>
          <cell r="G42">
            <v>0</v>
          </cell>
          <cell r="H42">
            <v>0</v>
          </cell>
          <cell r="I42">
            <v>0</v>
          </cell>
          <cell r="J42">
            <v>0</v>
          </cell>
          <cell r="L42">
            <v>0</v>
          </cell>
          <cell r="M42">
            <v>0</v>
          </cell>
          <cell r="N42">
            <v>0</v>
          </cell>
          <cell r="O42">
            <v>0</v>
          </cell>
          <cell r="P42">
            <v>0</v>
          </cell>
          <cell r="Q42">
            <v>0</v>
          </cell>
          <cell r="R42">
            <v>0</v>
          </cell>
          <cell r="S42">
            <v>0</v>
          </cell>
          <cell r="T42" t="str">
            <v xml:space="preserve"> </v>
          </cell>
          <cell r="U42" t="str">
            <v xml:space="preserve"> </v>
          </cell>
        </row>
        <row r="43">
          <cell r="A43">
            <v>38</v>
          </cell>
          <cell r="B43">
            <v>76</v>
          </cell>
          <cell r="E43" t="str">
            <v xml:space="preserve"> </v>
          </cell>
          <cell r="F43">
            <v>0</v>
          </cell>
          <cell r="G43">
            <v>0</v>
          </cell>
          <cell r="H43">
            <v>0</v>
          </cell>
          <cell r="I43">
            <v>0</v>
          </cell>
          <cell r="J43">
            <v>0</v>
          </cell>
          <cell r="L43">
            <v>0</v>
          </cell>
          <cell r="M43">
            <v>0</v>
          </cell>
          <cell r="N43">
            <v>0</v>
          </cell>
          <cell r="O43">
            <v>0</v>
          </cell>
          <cell r="P43">
            <v>0</v>
          </cell>
          <cell r="Q43">
            <v>0</v>
          </cell>
          <cell r="R43">
            <v>0</v>
          </cell>
          <cell r="S43">
            <v>0</v>
          </cell>
          <cell r="T43" t="str">
            <v xml:space="preserve"> </v>
          </cell>
          <cell r="U43" t="str">
            <v xml:space="preserve"> </v>
          </cell>
        </row>
        <row r="44">
          <cell r="A44">
            <v>39</v>
          </cell>
          <cell r="B44">
            <v>80</v>
          </cell>
          <cell r="E44" t="str">
            <v xml:space="preserve"> </v>
          </cell>
          <cell r="F44">
            <v>0</v>
          </cell>
          <cell r="G44">
            <v>0</v>
          </cell>
          <cell r="H44">
            <v>0</v>
          </cell>
          <cell r="I44">
            <v>0</v>
          </cell>
          <cell r="J44">
            <v>0</v>
          </cell>
          <cell r="L44">
            <v>0</v>
          </cell>
          <cell r="M44">
            <v>0</v>
          </cell>
          <cell r="N44">
            <v>0</v>
          </cell>
          <cell r="O44">
            <v>0</v>
          </cell>
          <cell r="P44">
            <v>0</v>
          </cell>
          <cell r="Q44">
            <v>0</v>
          </cell>
          <cell r="R44">
            <v>0</v>
          </cell>
          <cell r="S44">
            <v>0</v>
          </cell>
          <cell r="T44" t="str">
            <v xml:space="preserve"> </v>
          </cell>
          <cell r="U44" t="str">
            <v xml:space="preserve"> </v>
          </cell>
        </row>
        <row r="45">
          <cell r="A45" t="str">
            <v>AVE.</v>
          </cell>
          <cell r="B45" t="str">
            <v xml:space="preserve"> </v>
          </cell>
          <cell r="D45">
            <v>0</v>
          </cell>
          <cell r="E45">
            <v>0</v>
          </cell>
          <cell r="F45">
            <v>0</v>
          </cell>
          <cell r="G45">
            <v>0</v>
          </cell>
          <cell r="H45">
            <v>0</v>
          </cell>
          <cell r="I45">
            <v>0</v>
          </cell>
          <cell r="J45">
            <v>0</v>
          </cell>
          <cell r="K45">
            <v>0</v>
          </cell>
          <cell r="L45">
            <v>0</v>
          </cell>
          <cell r="M45">
            <v>0</v>
          </cell>
          <cell r="N45">
            <v>0</v>
          </cell>
          <cell r="O45">
            <v>0</v>
          </cell>
          <cell r="P45">
            <v>0</v>
          </cell>
          <cell r="Q45">
            <v>0</v>
          </cell>
          <cell r="R45">
            <v>0</v>
          </cell>
          <cell r="S45">
            <v>0</v>
          </cell>
          <cell r="T45" t="str">
            <v xml:space="preserve"> </v>
          </cell>
          <cell r="U45" t="str">
            <v xml:space="preserve"> </v>
          </cell>
        </row>
        <row r="47">
          <cell r="A47" t="str">
            <v>*** Reference Paper : Predict Fittings For Piping Systems ***</v>
          </cell>
          <cell r="K47" t="str">
            <v>Fc = 0.25  Utility Supply Lines, OSBL</v>
          </cell>
          <cell r="R47" t="str">
            <v>Fc = 2.00  Manifold Type Piping</v>
          </cell>
        </row>
        <row r="48">
          <cell r="D48" t="str">
            <v xml:space="preserve">   By William B. Hooper , Monsanto Co.</v>
          </cell>
          <cell r="K48" t="str">
            <v xml:space="preserve">        (PIPE JOINT FACTOR Fp = 100%)</v>
          </cell>
          <cell r="R48" t="str">
            <v xml:space="preserve">        (PIPE JOINT FACTOR Fp = 0%)</v>
          </cell>
        </row>
        <row r="49">
          <cell r="K49" t="str">
            <v>Fc = 0.50  Long, Straight Piping Run</v>
          </cell>
          <cell r="R49" t="str">
            <v>Fc = 4.00  Very Complex Manifolds</v>
          </cell>
        </row>
        <row r="50">
          <cell r="A50" t="str">
            <v>The number and types of pipe fittings can be estimated by this method</v>
          </cell>
          <cell r="K50" t="str">
            <v xml:space="preserve">        (PIPE JOINT FACTOR Fp = 100%)</v>
          </cell>
          <cell r="R50" t="str">
            <v xml:space="preserve">        (PIPE JOINT FACTOR Fp = 0%)</v>
          </cell>
        </row>
        <row r="51">
          <cell r="A51" t="str">
            <v>long before the piping isometrics are done. Pipe size and a general idea</v>
          </cell>
          <cell r="K51" t="str">
            <v>Fc = 1.00  Normal Piping</v>
          </cell>
        </row>
        <row r="52">
          <cell r="A52" t="str">
            <v>of the system's complexity are all that is needed.</v>
          </cell>
          <cell r="K52" t="str">
            <v xml:space="preserve">        (PIPE JOINT FACTOR Fp = 10%)</v>
          </cell>
        </row>
      </sheetData>
      <sheetData sheetId="3" refreshError="1">
        <row r="8">
          <cell r="B8" t="str">
            <v>5S</v>
          </cell>
          <cell r="C8">
            <v>0.5</v>
          </cell>
          <cell r="D8">
            <v>1.65</v>
          </cell>
          <cell r="E8">
            <v>1</v>
          </cell>
          <cell r="I8">
            <v>7.0000000000000007E-2</v>
          </cell>
          <cell r="J8">
            <v>0</v>
          </cell>
          <cell r="K8">
            <v>7.0000000000000007E-2</v>
          </cell>
          <cell r="P8">
            <v>2</v>
          </cell>
        </row>
        <row r="9">
          <cell r="B9" t="str">
            <v>5S</v>
          </cell>
          <cell r="C9">
            <v>0.5</v>
          </cell>
          <cell r="D9">
            <v>1.65</v>
          </cell>
          <cell r="E9">
            <v>1</v>
          </cell>
          <cell r="I9">
            <v>7.0000000000000007E-2</v>
          </cell>
          <cell r="J9">
            <v>0</v>
          </cell>
          <cell r="K9">
            <v>7.0000000000000007E-2</v>
          </cell>
          <cell r="P9">
            <v>2</v>
          </cell>
        </row>
        <row r="10">
          <cell r="B10" t="str">
            <v>5S</v>
          </cell>
          <cell r="C10">
            <v>0.5</v>
          </cell>
          <cell r="D10">
            <v>1.65</v>
          </cell>
          <cell r="E10">
            <v>1</v>
          </cell>
          <cell r="I10">
            <v>7.0000000000000007E-2</v>
          </cell>
          <cell r="J10">
            <v>0</v>
          </cell>
          <cell r="K10">
            <v>7.0000000000000007E-2</v>
          </cell>
          <cell r="P10">
            <v>2</v>
          </cell>
        </row>
        <row r="11">
          <cell r="B11" t="str">
            <v>5S</v>
          </cell>
          <cell r="C11">
            <v>0.75</v>
          </cell>
          <cell r="D11">
            <v>1.65</v>
          </cell>
          <cell r="E11">
            <v>1</v>
          </cell>
          <cell r="I11">
            <v>7.0000000000000007E-2</v>
          </cell>
          <cell r="J11">
            <v>0</v>
          </cell>
          <cell r="K11">
            <v>7.0000000000000007E-2</v>
          </cell>
          <cell r="P11">
            <v>2</v>
          </cell>
        </row>
        <row r="12">
          <cell r="B12" t="str">
            <v>5S</v>
          </cell>
          <cell r="C12">
            <v>0.75</v>
          </cell>
          <cell r="D12">
            <v>1.65</v>
          </cell>
          <cell r="E12">
            <v>1</v>
          </cell>
          <cell r="I12">
            <v>7.0000000000000007E-2</v>
          </cell>
          <cell r="J12">
            <v>0</v>
          </cell>
          <cell r="K12">
            <v>7.0000000000000007E-2</v>
          </cell>
          <cell r="P12">
            <v>2</v>
          </cell>
        </row>
        <row r="13">
          <cell r="B13" t="str">
            <v>5S</v>
          </cell>
          <cell r="C13">
            <v>0.75</v>
          </cell>
          <cell r="D13">
            <v>1.65</v>
          </cell>
          <cell r="E13">
            <v>1</v>
          </cell>
          <cell r="I13">
            <v>7.0000000000000007E-2</v>
          </cell>
          <cell r="J13">
            <v>0</v>
          </cell>
          <cell r="K13">
            <v>7.0000000000000007E-2</v>
          </cell>
          <cell r="P13">
            <v>2</v>
          </cell>
        </row>
        <row r="14">
          <cell r="B14" t="str">
            <v>5S</v>
          </cell>
          <cell r="C14">
            <v>1</v>
          </cell>
          <cell r="D14">
            <v>1.65</v>
          </cell>
          <cell r="E14">
            <v>1</v>
          </cell>
          <cell r="I14">
            <v>0.12</v>
          </cell>
          <cell r="J14">
            <v>0</v>
          </cell>
          <cell r="K14">
            <v>0.12</v>
          </cell>
          <cell r="P14">
            <v>2</v>
          </cell>
        </row>
        <row r="15">
          <cell r="B15" t="str">
            <v>5S</v>
          </cell>
          <cell r="C15">
            <v>1</v>
          </cell>
          <cell r="D15">
            <v>1.65</v>
          </cell>
          <cell r="E15">
            <v>1</v>
          </cell>
          <cell r="I15">
            <v>0.12</v>
          </cell>
          <cell r="J15">
            <v>0</v>
          </cell>
          <cell r="K15">
            <v>0.12</v>
          </cell>
          <cell r="P15">
            <v>2</v>
          </cell>
        </row>
        <row r="16">
          <cell r="B16" t="str">
            <v>5S</v>
          </cell>
          <cell r="C16">
            <v>1</v>
          </cell>
          <cell r="D16">
            <v>1.65</v>
          </cell>
          <cell r="E16">
            <v>1</v>
          </cell>
          <cell r="I16">
            <v>0.12</v>
          </cell>
          <cell r="J16">
            <v>0</v>
          </cell>
          <cell r="K16">
            <v>0.12</v>
          </cell>
          <cell r="P16">
            <v>2</v>
          </cell>
        </row>
        <row r="17">
          <cell r="B17" t="str">
            <v>5S</v>
          </cell>
          <cell r="C17">
            <v>1.25</v>
          </cell>
          <cell r="D17">
            <v>1.65</v>
          </cell>
          <cell r="E17">
            <v>1</v>
          </cell>
          <cell r="I17">
            <v>0.15</v>
          </cell>
          <cell r="K17">
            <v>0.15</v>
          </cell>
          <cell r="P17">
            <v>2</v>
          </cell>
        </row>
        <row r="18">
          <cell r="B18" t="str">
            <v>5S</v>
          </cell>
          <cell r="C18">
            <v>1.25</v>
          </cell>
          <cell r="D18">
            <v>1.65</v>
          </cell>
          <cell r="E18">
            <v>1</v>
          </cell>
          <cell r="I18">
            <v>0.15</v>
          </cell>
          <cell r="K18">
            <v>0.15</v>
          </cell>
          <cell r="P18">
            <v>2</v>
          </cell>
        </row>
        <row r="19">
          <cell r="B19" t="str">
            <v>5S</v>
          </cell>
          <cell r="C19">
            <v>1.25</v>
          </cell>
          <cell r="D19">
            <v>1.65</v>
          </cell>
          <cell r="E19">
            <v>1</v>
          </cell>
          <cell r="I19">
            <v>0.15</v>
          </cell>
          <cell r="K19">
            <v>0.15</v>
          </cell>
          <cell r="P19">
            <v>2</v>
          </cell>
        </row>
        <row r="20">
          <cell r="B20" t="str">
            <v>5S</v>
          </cell>
          <cell r="C20">
            <v>1.5</v>
          </cell>
          <cell r="D20">
            <v>1.65</v>
          </cell>
          <cell r="E20">
            <v>1</v>
          </cell>
          <cell r="I20">
            <v>0.15</v>
          </cell>
          <cell r="J20">
            <v>0</v>
          </cell>
          <cell r="K20">
            <v>0.15</v>
          </cell>
          <cell r="P20">
            <v>2</v>
          </cell>
        </row>
        <row r="21">
          <cell r="B21" t="str">
            <v>5S</v>
          </cell>
          <cell r="C21">
            <v>1.5</v>
          </cell>
          <cell r="D21">
            <v>1.65</v>
          </cell>
          <cell r="E21">
            <v>1</v>
          </cell>
          <cell r="I21">
            <v>0.15</v>
          </cell>
          <cell r="J21">
            <v>0</v>
          </cell>
          <cell r="K21">
            <v>0.15</v>
          </cell>
          <cell r="P21">
            <v>2</v>
          </cell>
        </row>
        <row r="22">
          <cell r="B22" t="str">
            <v>5S</v>
          </cell>
          <cell r="C22">
            <v>1.5</v>
          </cell>
          <cell r="D22">
            <v>1.65</v>
          </cell>
          <cell r="E22">
            <v>1</v>
          </cell>
          <cell r="I22">
            <v>0.15</v>
          </cell>
          <cell r="J22">
            <v>0</v>
          </cell>
          <cell r="K22">
            <v>0.15</v>
          </cell>
          <cell r="P22">
            <v>2</v>
          </cell>
        </row>
        <row r="23">
          <cell r="B23" t="str">
            <v>5S</v>
          </cell>
          <cell r="C23">
            <v>2</v>
          </cell>
          <cell r="D23">
            <v>1.65</v>
          </cell>
          <cell r="E23">
            <v>1</v>
          </cell>
          <cell r="I23">
            <v>0.15</v>
          </cell>
          <cell r="J23">
            <v>0</v>
          </cell>
          <cell r="K23">
            <v>0.15</v>
          </cell>
          <cell r="P23">
            <v>2</v>
          </cell>
        </row>
        <row r="24">
          <cell r="B24" t="str">
            <v>5S</v>
          </cell>
          <cell r="C24">
            <v>2</v>
          </cell>
          <cell r="D24">
            <v>1.65</v>
          </cell>
          <cell r="E24">
            <v>1</v>
          </cell>
          <cell r="I24">
            <v>0.15</v>
          </cell>
          <cell r="J24">
            <v>0</v>
          </cell>
          <cell r="K24">
            <v>0.15</v>
          </cell>
          <cell r="P24">
            <v>2</v>
          </cell>
        </row>
        <row r="25">
          <cell r="B25" t="str">
            <v>5S</v>
          </cell>
          <cell r="C25">
            <v>2</v>
          </cell>
          <cell r="D25">
            <v>1.65</v>
          </cell>
          <cell r="E25">
            <v>1</v>
          </cell>
          <cell r="I25">
            <v>0.15</v>
          </cell>
          <cell r="J25">
            <v>0</v>
          </cell>
          <cell r="K25">
            <v>0.15</v>
          </cell>
          <cell r="P25">
            <v>2</v>
          </cell>
        </row>
        <row r="26">
          <cell r="B26" t="str">
            <v>5S</v>
          </cell>
          <cell r="C26">
            <v>2.5</v>
          </cell>
          <cell r="D26">
            <v>2.11</v>
          </cell>
          <cell r="E26">
            <v>1</v>
          </cell>
          <cell r="I26">
            <v>0.15</v>
          </cell>
          <cell r="J26">
            <v>0</v>
          </cell>
          <cell r="K26">
            <v>0.15</v>
          </cell>
          <cell r="P26">
            <v>2</v>
          </cell>
        </row>
        <row r="27">
          <cell r="B27" t="str">
            <v>5S</v>
          </cell>
          <cell r="C27">
            <v>3</v>
          </cell>
          <cell r="D27">
            <v>2.11</v>
          </cell>
          <cell r="E27">
            <v>1</v>
          </cell>
          <cell r="I27">
            <v>0.3</v>
          </cell>
          <cell r="J27">
            <v>0</v>
          </cell>
          <cell r="K27">
            <v>0.3</v>
          </cell>
          <cell r="P27">
            <v>2</v>
          </cell>
        </row>
        <row r="28">
          <cell r="B28" t="str">
            <v>5S</v>
          </cell>
          <cell r="C28">
            <v>3.5</v>
          </cell>
          <cell r="D28">
            <v>2.11</v>
          </cell>
          <cell r="E28">
            <v>1</v>
          </cell>
          <cell r="I28">
            <v>0.3</v>
          </cell>
          <cell r="K28">
            <v>0.3</v>
          </cell>
          <cell r="P28">
            <v>3</v>
          </cell>
        </row>
        <row r="29">
          <cell r="B29" t="str">
            <v>5S</v>
          </cell>
          <cell r="C29">
            <v>4</v>
          </cell>
          <cell r="D29">
            <v>2.11</v>
          </cell>
          <cell r="E29">
            <v>1</v>
          </cell>
          <cell r="I29">
            <v>0.3</v>
          </cell>
          <cell r="J29">
            <v>0</v>
          </cell>
          <cell r="K29">
            <v>0.3</v>
          </cell>
          <cell r="P29">
            <v>3</v>
          </cell>
        </row>
        <row r="30">
          <cell r="B30" t="str">
            <v>5S</v>
          </cell>
          <cell r="C30">
            <v>5</v>
          </cell>
          <cell r="D30">
            <v>2.77</v>
          </cell>
          <cell r="E30">
            <v>1</v>
          </cell>
          <cell r="I30">
            <v>0.3</v>
          </cell>
          <cell r="K30">
            <v>0.3</v>
          </cell>
          <cell r="P30">
            <v>4</v>
          </cell>
        </row>
        <row r="31">
          <cell r="B31" t="str">
            <v>5S</v>
          </cell>
          <cell r="C31">
            <v>6</v>
          </cell>
          <cell r="D31">
            <v>2.77</v>
          </cell>
          <cell r="E31">
            <v>1</v>
          </cell>
          <cell r="I31">
            <v>0.45</v>
          </cell>
          <cell r="J31">
            <v>0</v>
          </cell>
          <cell r="K31">
            <v>0.45</v>
          </cell>
          <cell r="P31">
            <v>4</v>
          </cell>
        </row>
        <row r="32">
          <cell r="B32" t="str">
            <v>5S</v>
          </cell>
          <cell r="C32">
            <v>8</v>
          </cell>
          <cell r="D32">
            <v>2.77</v>
          </cell>
          <cell r="E32">
            <v>1</v>
          </cell>
          <cell r="I32">
            <v>0.45</v>
          </cell>
          <cell r="J32">
            <v>0</v>
          </cell>
          <cell r="K32">
            <v>0.45</v>
          </cell>
          <cell r="P32">
            <v>4</v>
          </cell>
        </row>
        <row r="33">
          <cell r="B33" t="str">
            <v>5S</v>
          </cell>
          <cell r="C33">
            <v>10</v>
          </cell>
          <cell r="D33">
            <v>3.4</v>
          </cell>
          <cell r="E33">
            <v>1</v>
          </cell>
          <cell r="I33">
            <v>0.9</v>
          </cell>
          <cell r="J33">
            <v>0</v>
          </cell>
          <cell r="K33">
            <v>0.9</v>
          </cell>
          <cell r="P33">
            <v>4</v>
          </cell>
        </row>
        <row r="34">
          <cell r="B34" t="str">
            <v>5S</v>
          </cell>
          <cell r="C34">
            <v>12</v>
          </cell>
          <cell r="D34">
            <v>3.96</v>
          </cell>
          <cell r="E34">
            <v>1</v>
          </cell>
          <cell r="I34">
            <v>1.2</v>
          </cell>
          <cell r="J34">
            <v>0</v>
          </cell>
          <cell r="K34">
            <v>1.2</v>
          </cell>
          <cell r="P34">
            <v>6</v>
          </cell>
        </row>
        <row r="35">
          <cell r="B35" t="str">
            <v>5S</v>
          </cell>
          <cell r="C35">
            <v>14</v>
          </cell>
          <cell r="D35">
            <v>3.96</v>
          </cell>
          <cell r="E35">
            <v>1</v>
          </cell>
          <cell r="I35">
            <v>1.34</v>
          </cell>
          <cell r="J35">
            <v>0</v>
          </cell>
          <cell r="K35">
            <v>1.34</v>
          </cell>
          <cell r="P35">
            <v>6</v>
          </cell>
        </row>
        <row r="36">
          <cell r="B36" t="str">
            <v>5S</v>
          </cell>
          <cell r="C36">
            <v>16</v>
          </cell>
          <cell r="D36">
            <v>4.1900000000000004</v>
          </cell>
          <cell r="E36">
            <v>1</v>
          </cell>
          <cell r="I36">
            <v>1.65</v>
          </cell>
          <cell r="J36">
            <v>0</v>
          </cell>
          <cell r="K36">
            <v>1.65</v>
          </cell>
          <cell r="P36">
            <v>6</v>
          </cell>
        </row>
        <row r="37">
          <cell r="B37" t="str">
            <v>5S</v>
          </cell>
          <cell r="C37">
            <v>18</v>
          </cell>
          <cell r="D37">
            <v>4.1900000000000004</v>
          </cell>
          <cell r="E37">
            <v>1</v>
          </cell>
          <cell r="I37">
            <v>1.8</v>
          </cell>
          <cell r="J37">
            <v>0</v>
          </cell>
          <cell r="K37">
            <v>1.8</v>
          </cell>
          <cell r="P37">
            <v>6</v>
          </cell>
        </row>
        <row r="38">
          <cell r="B38" t="str">
            <v>5S</v>
          </cell>
          <cell r="C38">
            <v>20</v>
          </cell>
          <cell r="D38">
            <v>4.78</v>
          </cell>
          <cell r="E38">
            <v>1</v>
          </cell>
          <cell r="I38">
            <v>2.54</v>
          </cell>
          <cell r="J38">
            <v>0</v>
          </cell>
          <cell r="K38">
            <v>2.54</v>
          </cell>
          <cell r="P38">
            <v>7</v>
          </cell>
        </row>
        <row r="39">
          <cell r="B39" t="str">
            <v>5S</v>
          </cell>
          <cell r="C39">
            <v>22</v>
          </cell>
          <cell r="D39">
            <v>4.78</v>
          </cell>
          <cell r="E39">
            <v>1</v>
          </cell>
          <cell r="I39">
            <v>2.69</v>
          </cell>
          <cell r="J39">
            <v>0</v>
          </cell>
          <cell r="K39">
            <v>2.69</v>
          </cell>
          <cell r="P39">
            <v>8</v>
          </cell>
        </row>
        <row r="40">
          <cell r="B40" t="str">
            <v>5S</v>
          </cell>
          <cell r="C40">
            <v>24</v>
          </cell>
          <cell r="D40">
            <v>5.54</v>
          </cell>
          <cell r="E40">
            <v>1</v>
          </cell>
          <cell r="I40">
            <v>2.4300000000000002</v>
          </cell>
          <cell r="J40">
            <v>1.47</v>
          </cell>
          <cell r="K40">
            <v>3.9000000000000004</v>
          </cell>
          <cell r="P40">
            <v>8</v>
          </cell>
        </row>
        <row r="41">
          <cell r="B41" t="str">
            <v>5S</v>
          </cell>
          <cell r="C41">
            <v>30</v>
          </cell>
          <cell r="D41">
            <v>6.35</v>
          </cell>
          <cell r="E41">
            <v>1</v>
          </cell>
          <cell r="I41">
            <v>3.04</v>
          </cell>
          <cell r="J41">
            <v>3.11</v>
          </cell>
          <cell r="K41">
            <v>6.15</v>
          </cell>
          <cell r="P41">
            <v>10</v>
          </cell>
        </row>
        <row r="42">
          <cell r="B42">
            <v>10</v>
          </cell>
          <cell r="C42">
            <v>14</v>
          </cell>
          <cell r="D42">
            <v>6.35</v>
          </cell>
          <cell r="E42">
            <v>1</v>
          </cell>
          <cell r="I42">
            <v>1.42</v>
          </cell>
          <cell r="J42">
            <v>1.27</v>
          </cell>
          <cell r="K42">
            <v>2.69</v>
          </cell>
          <cell r="P42">
            <v>6</v>
          </cell>
        </row>
        <row r="43">
          <cell r="B43">
            <v>10</v>
          </cell>
          <cell r="C43">
            <v>16</v>
          </cell>
          <cell r="D43">
            <v>6.35</v>
          </cell>
          <cell r="E43">
            <v>1</v>
          </cell>
          <cell r="I43">
            <v>1.62</v>
          </cell>
          <cell r="J43">
            <v>1.38</v>
          </cell>
          <cell r="K43">
            <v>3</v>
          </cell>
          <cell r="P43">
            <v>6</v>
          </cell>
        </row>
        <row r="44">
          <cell r="B44">
            <v>10</v>
          </cell>
          <cell r="C44">
            <v>18</v>
          </cell>
          <cell r="D44">
            <v>6.35</v>
          </cell>
          <cell r="E44">
            <v>1</v>
          </cell>
          <cell r="I44">
            <v>1.82</v>
          </cell>
          <cell r="J44">
            <v>1.48</v>
          </cell>
          <cell r="K44">
            <v>3.3</v>
          </cell>
          <cell r="P44">
            <v>6</v>
          </cell>
        </row>
        <row r="45">
          <cell r="B45">
            <v>10</v>
          </cell>
          <cell r="C45">
            <v>20</v>
          </cell>
          <cell r="D45">
            <v>6.35</v>
          </cell>
          <cell r="E45">
            <v>1</v>
          </cell>
          <cell r="I45">
            <v>2.0299999999999998</v>
          </cell>
          <cell r="J45">
            <v>1.72</v>
          </cell>
          <cell r="K45">
            <v>3.75</v>
          </cell>
          <cell r="P45">
            <v>7</v>
          </cell>
        </row>
        <row r="46">
          <cell r="B46">
            <v>10</v>
          </cell>
          <cell r="C46">
            <v>22</v>
          </cell>
          <cell r="D46">
            <v>6.35</v>
          </cell>
          <cell r="E46">
            <v>1</v>
          </cell>
          <cell r="I46">
            <v>2.23</v>
          </cell>
          <cell r="J46">
            <v>2.27</v>
          </cell>
          <cell r="K46">
            <v>4.5</v>
          </cell>
          <cell r="P46">
            <v>8</v>
          </cell>
        </row>
        <row r="47">
          <cell r="B47">
            <v>10</v>
          </cell>
          <cell r="C47">
            <v>24</v>
          </cell>
          <cell r="D47">
            <v>6.35</v>
          </cell>
          <cell r="E47">
            <v>1</v>
          </cell>
          <cell r="I47">
            <v>2.4300000000000002</v>
          </cell>
          <cell r="J47">
            <v>2.0699999999999998</v>
          </cell>
          <cell r="K47">
            <v>4.5</v>
          </cell>
          <cell r="P47">
            <v>8</v>
          </cell>
        </row>
        <row r="48">
          <cell r="B48">
            <v>10</v>
          </cell>
          <cell r="C48">
            <v>26</v>
          </cell>
          <cell r="D48">
            <v>7.92</v>
          </cell>
          <cell r="E48">
            <v>1</v>
          </cell>
          <cell r="I48">
            <v>2.64</v>
          </cell>
          <cell r="J48">
            <v>4.8600000000000003</v>
          </cell>
          <cell r="K48">
            <v>7.5</v>
          </cell>
          <cell r="P48">
            <v>9</v>
          </cell>
        </row>
        <row r="49">
          <cell r="B49">
            <v>10</v>
          </cell>
          <cell r="C49">
            <v>28</v>
          </cell>
          <cell r="D49">
            <v>7.92</v>
          </cell>
          <cell r="E49">
            <v>1</v>
          </cell>
          <cell r="I49">
            <v>2.84</v>
          </cell>
          <cell r="J49">
            <v>5.26</v>
          </cell>
          <cell r="K49">
            <v>8.1</v>
          </cell>
          <cell r="P49">
            <v>9</v>
          </cell>
        </row>
        <row r="50">
          <cell r="B50">
            <v>10</v>
          </cell>
          <cell r="C50">
            <v>30</v>
          </cell>
          <cell r="D50">
            <v>7.92</v>
          </cell>
          <cell r="E50">
            <v>1</v>
          </cell>
          <cell r="I50">
            <v>3.04</v>
          </cell>
          <cell r="J50">
            <v>5.66</v>
          </cell>
          <cell r="K50">
            <v>8.6999999999999993</v>
          </cell>
          <cell r="P50">
            <v>10</v>
          </cell>
        </row>
        <row r="51">
          <cell r="B51">
            <v>10</v>
          </cell>
          <cell r="C51">
            <v>32</v>
          </cell>
          <cell r="D51">
            <v>7.92</v>
          </cell>
          <cell r="E51">
            <v>1</v>
          </cell>
          <cell r="I51">
            <v>3.24</v>
          </cell>
          <cell r="J51">
            <v>6.06</v>
          </cell>
          <cell r="K51">
            <v>9.3000000000000007</v>
          </cell>
          <cell r="P51">
            <v>11</v>
          </cell>
        </row>
        <row r="52">
          <cell r="B52">
            <v>10</v>
          </cell>
          <cell r="C52">
            <v>34</v>
          </cell>
          <cell r="D52">
            <v>7.92</v>
          </cell>
          <cell r="E52">
            <v>1</v>
          </cell>
          <cell r="I52">
            <v>3.45</v>
          </cell>
          <cell r="J52">
            <v>6.44</v>
          </cell>
          <cell r="K52">
            <v>9.89</v>
          </cell>
          <cell r="P52">
            <v>12</v>
          </cell>
        </row>
        <row r="53">
          <cell r="B53">
            <v>10</v>
          </cell>
          <cell r="C53">
            <v>36</v>
          </cell>
          <cell r="D53">
            <v>7.92</v>
          </cell>
          <cell r="E53">
            <v>1</v>
          </cell>
          <cell r="I53">
            <v>3.65</v>
          </cell>
          <cell r="J53">
            <v>6.84</v>
          </cell>
          <cell r="K53">
            <v>10.49</v>
          </cell>
          <cell r="P53">
            <v>12</v>
          </cell>
        </row>
        <row r="54">
          <cell r="B54" t="str">
            <v>10S</v>
          </cell>
          <cell r="C54">
            <v>0.125</v>
          </cell>
          <cell r="D54">
            <v>1.24</v>
          </cell>
          <cell r="E54">
            <v>1</v>
          </cell>
          <cell r="I54">
            <v>7.0000000000000007E-2</v>
          </cell>
          <cell r="K54">
            <v>7.0000000000000007E-2</v>
          </cell>
          <cell r="P54">
            <v>2</v>
          </cell>
        </row>
        <row r="55">
          <cell r="B55" t="str">
            <v>10S</v>
          </cell>
          <cell r="C55">
            <v>0.125</v>
          </cell>
          <cell r="D55">
            <v>1.24</v>
          </cell>
          <cell r="E55">
            <v>1</v>
          </cell>
          <cell r="I55">
            <v>7.0000000000000007E-2</v>
          </cell>
          <cell r="K55">
            <v>7.0000000000000007E-2</v>
          </cell>
          <cell r="P55">
            <v>2</v>
          </cell>
        </row>
        <row r="56">
          <cell r="B56" t="str">
            <v>10S</v>
          </cell>
          <cell r="C56">
            <v>0.125</v>
          </cell>
          <cell r="D56">
            <v>1.24</v>
          </cell>
          <cell r="E56">
            <v>1</v>
          </cell>
          <cell r="I56">
            <v>7.0000000000000007E-2</v>
          </cell>
          <cell r="K56">
            <v>7.0000000000000007E-2</v>
          </cell>
          <cell r="P56">
            <v>2</v>
          </cell>
        </row>
        <row r="57">
          <cell r="B57" t="str">
            <v>10S</v>
          </cell>
          <cell r="C57">
            <v>0.25</v>
          </cell>
          <cell r="D57">
            <v>1.65</v>
          </cell>
          <cell r="E57">
            <v>1</v>
          </cell>
          <cell r="I57">
            <v>7.0000000000000007E-2</v>
          </cell>
          <cell r="K57">
            <v>7.0000000000000007E-2</v>
          </cell>
          <cell r="P57">
            <v>2</v>
          </cell>
        </row>
        <row r="58">
          <cell r="B58" t="str">
            <v>10S</v>
          </cell>
          <cell r="C58">
            <v>0.25</v>
          </cell>
          <cell r="D58">
            <v>1.65</v>
          </cell>
          <cell r="E58">
            <v>1</v>
          </cell>
          <cell r="I58">
            <v>7.0000000000000007E-2</v>
          </cell>
          <cell r="K58">
            <v>7.0000000000000007E-2</v>
          </cell>
          <cell r="P58">
            <v>2</v>
          </cell>
        </row>
        <row r="59">
          <cell r="B59" t="str">
            <v>10S</v>
          </cell>
          <cell r="C59">
            <v>0.25</v>
          </cell>
          <cell r="D59">
            <v>1.65</v>
          </cell>
          <cell r="E59">
            <v>1</v>
          </cell>
          <cell r="I59">
            <v>7.0000000000000007E-2</v>
          </cell>
          <cell r="K59">
            <v>7.0000000000000007E-2</v>
          </cell>
          <cell r="P59">
            <v>2</v>
          </cell>
        </row>
        <row r="60">
          <cell r="B60" t="str">
            <v>10S</v>
          </cell>
          <cell r="C60">
            <v>0.375</v>
          </cell>
          <cell r="D60">
            <v>1.65</v>
          </cell>
          <cell r="E60">
            <v>1</v>
          </cell>
          <cell r="I60">
            <v>7.0000000000000007E-2</v>
          </cell>
          <cell r="J60">
            <v>0</v>
          </cell>
          <cell r="K60">
            <v>7.0000000000000007E-2</v>
          </cell>
          <cell r="P60">
            <v>2</v>
          </cell>
        </row>
        <row r="61">
          <cell r="B61" t="str">
            <v>10S</v>
          </cell>
          <cell r="C61">
            <v>0.375</v>
          </cell>
          <cell r="D61">
            <v>1.65</v>
          </cell>
          <cell r="E61">
            <v>1</v>
          </cell>
          <cell r="I61">
            <v>7.0000000000000007E-2</v>
          </cell>
          <cell r="J61">
            <v>0</v>
          </cell>
          <cell r="K61">
            <v>7.0000000000000007E-2</v>
          </cell>
          <cell r="P61">
            <v>2</v>
          </cell>
        </row>
        <row r="62">
          <cell r="B62" t="str">
            <v>10S</v>
          </cell>
          <cell r="C62">
            <v>0.375</v>
          </cell>
          <cell r="D62">
            <v>1.65</v>
          </cell>
          <cell r="E62">
            <v>1</v>
          </cell>
          <cell r="I62">
            <v>7.0000000000000007E-2</v>
          </cell>
          <cell r="J62">
            <v>0</v>
          </cell>
          <cell r="K62">
            <v>7.0000000000000007E-2</v>
          </cell>
          <cell r="P62">
            <v>2</v>
          </cell>
        </row>
        <row r="63">
          <cell r="B63" t="str">
            <v>10S</v>
          </cell>
          <cell r="C63">
            <v>0.5</v>
          </cell>
          <cell r="D63">
            <v>2.11</v>
          </cell>
          <cell r="E63">
            <v>1</v>
          </cell>
          <cell r="I63">
            <v>7.0000000000000007E-2</v>
          </cell>
          <cell r="J63">
            <v>0</v>
          </cell>
          <cell r="K63">
            <v>7.0000000000000007E-2</v>
          </cell>
          <cell r="P63">
            <v>2</v>
          </cell>
        </row>
        <row r="64">
          <cell r="B64" t="str">
            <v>10S</v>
          </cell>
          <cell r="C64">
            <v>0.5</v>
          </cell>
          <cell r="D64">
            <v>2.11</v>
          </cell>
          <cell r="E64">
            <v>1</v>
          </cell>
          <cell r="I64">
            <v>7.0000000000000007E-2</v>
          </cell>
          <cell r="J64">
            <v>0</v>
          </cell>
          <cell r="K64">
            <v>7.0000000000000007E-2</v>
          </cell>
          <cell r="P64">
            <v>2</v>
          </cell>
        </row>
        <row r="65">
          <cell r="B65" t="str">
            <v>10S</v>
          </cell>
          <cell r="C65">
            <v>0.5</v>
          </cell>
          <cell r="D65">
            <v>2.11</v>
          </cell>
          <cell r="E65">
            <v>1</v>
          </cell>
          <cell r="I65">
            <v>7.0000000000000007E-2</v>
          </cell>
          <cell r="J65">
            <v>0</v>
          </cell>
          <cell r="K65">
            <v>7.0000000000000007E-2</v>
          </cell>
          <cell r="P65">
            <v>2</v>
          </cell>
        </row>
        <row r="66">
          <cell r="B66" t="str">
            <v>10S</v>
          </cell>
          <cell r="C66">
            <v>0.75</v>
          </cell>
          <cell r="D66">
            <v>2.11</v>
          </cell>
          <cell r="E66">
            <v>1</v>
          </cell>
          <cell r="I66">
            <v>7.0000000000000007E-2</v>
          </cell>
          <cell r="J66">
            <v>0</v>
          </cell>
          <cell r="K66">
            <v>7.0000000000000007E-2</v>
          </cell>
          <cell r="P66">
            <v>2</v>
          </cell>
        </row>
        <row r="67">
          <cell r="B67" t="str">
            <v>10S</v>
          </cell>
          <cell r="C67">
            <v>0.75</v>
          </cell>
          <cell r="D67">
            <v>2.11</v>
          </cell>
          <cell r="E67">
            <v>1</v>
          </cell>
          <cell r="I67">
            <v>7.0000000000000007E-2</v>
          </cell>
          <cell r="J67">
            <v>0</v>
          </cell>
          <cell r="K67">
            <v>7.0000000000000007E-2</v>
          </cell>
          <cell r="P67">
            <v>2</v>
          </cell>
        </row>
        <row r="68">
          <cell r="B68" t="str">
            <v>10S</v>
          </cell>
          <cell r="C68">
            <v>0.75</v>
          </cell>
          <cell r="D68">
            <v>2.11</v>
          </cell>
          <cell r="E68">
            <v>1</v>
          </cell>
          <cell r="I68">
            <v>7.0000000000000007E-2</v>
          </cell>
          <cell r="J68">
            <v>0</v>
          </cell>
          <cell r="K68">
            <v>7.0000000000000007E-2</v>
          </cell>
          <cell r="P68">
            <v>2</v>
          </cell>
        </row>
        <row r="69">
          <cell r="B69" t="str">
            <v>10S</v>
          </cell>
          <cell r="C69">
            <v>1</v>
          </cell>
          <cell r="D69">
            <v>2.77</v>
          </cell>
          <cell r="E69">
            <v>1</v>
          </cell>
          <cell r="I69">
            <v>0.12</v>
          </cell>
          <cell r="J69">
            <v>0</v>
          </cell>
          <cell r="K69">
            <v>0.12</v>
          </cell>
          <cell r="P69">
            <v>2</v>
          </cell>
        </row>
        <row r="70">
          <cell r="B70" t="str">
            <v>10S</v>
          </cell>
          <cell r="C70">
            <v>1</v>
          </cell>
          <cell r="D70">
            <v>2.77</v>
          </cell>
          <cell r="E70">
            <v>1</v>
          </cell>
          <cell r="I70">
            <v>0.12</v>
          </cell>
          <cell r="J70">
            <v>0</v>
          </cell>
          <cell r="K70">
            <v>0.12</v>
          </cell>
          <cell r="P70">
            <v>2</v>
          </cell>
        </row>
        <row r="71">
          <cell r="B71" t="str">
            <v>10S</v>
          </cell>
          <cell r="C71">
            <v>1</v>
          </cell>
          <cell r="D71">
            <v>2.77</v>
          </cell>
          <cell r="E71">
            <v>1</v>
          </cell>
          <cell r="I71">
            <v>0.12</v>
          </cell>
          <cell r="J71">
            <v>0</v>
          </cell>
          <cell r="K71">
            <v>0.12</v>
          </cell>
          <cell r="P71">
            <v>2</v>
          </cell>
        </row>
        <row r="72">
          <cell r="B72" t="str">
            <v>10S</v>
          </cell>
          <cell r="C72">
            <v>1.25</v>
          </cell>
          <cell r="D72">
            <v>2.77</v>
          </cell>
          <cell r="E72">
            <v>1</v>
          </cell>
          <cell r="I72">
            <v>0.15</v>
          </cell>
          <cell r="K72">
            <v>0.15</v>
          </cell>
          <cell r="P72">
            <v>2</v>
          </cell>
        </row>
        <row r="73">
          <cell r="B73" t="str">
            <v>10S</v>
          </cell>
          <cell r="C73">
            <v>1.25</v>
          </cell>
          <cell r="D73">
            <v>2.77</v>
          </cell>
          <cell r="E73">
            <v>1</v>
          </cell>
          <cell r="I73">
            <v>0.15</v>
          </cell>
          <cell r="K73">
            <v>0.15</v>
          </cell>
          <cell r="P73">
            <v>2</v>
          </cell>
        </row>
        <row r="74">
          <cell r="B74" t="str">
            <v>10S</v>
          </cell>
          <cell r="C74">
            <v>1.25</v>
          </cell>
          <cell r="D74">
            <v>2.77</v>
          </cell>
          <cell r="E74">
            <v>1</v>
          </cell>
          <cell r="I74">
            <v>0.15</v>
          </cell>
          <cell r="K74">
            <v>0.15</v>
          </cell>
          <cell r="P74">
            <v>2</v>
          </cell>
        </row>
        <row r="75">
          <cell r="B75" t="str">
            <v>10S</v>
          </cell>
          <cell r="C75">
            <v>1.5</v>
          </cell>
          <cell r="D75">
            <v>2.77</v>
          </cell>
          <cell r="E75">
            <v>1</v>
          </cell>
          <cell r="I75">
            <v>0.15</v>
          </cell>
          <cell r="J75">
            <v>0</v>
          </cell>
          <cell r="K75">
            <v>0.15</v>
          </cell>
          <cell r="P75">
            <v>2</v>
          </cell>
        </row>
        <row r="76">
          <cell r="B76" t="str">
            <v>10S</v>
          </cell>
          <cell r="C76">
            <v>1.5</v>
          </cell>
          <cell r="D76">
            <v>2.77</v>
          </cell>
          <cell r="E76">
            <v>1</v>
          </cell>
          <cell r="I76">
            <v>0.15</v>
          </cell>
          <cell r="J76">
            <v>0</v>
          </cell>
          <cell r="K76">
            <v>0.15</v>
          </cell>
          <cell r="P76">
            <v>2</v>
          </cell>
        </row>
        <row r="77">
          <cell r="B77" t="str">
            <v>10S</v>
          </cell>
          <cell r="C77">
            <v>1.5</v>
          </cell>
          <cell r="D77">
            <v>2.77</v>
          </cell>
          <cell r="E77">
            <v>1</v>
          </cell>
          <cell r="I77">
            <v>0.15</v>
          </cell>
          <cell r="J77">
            <v>0</v>
          </cell>
          <cell r="K77">
            <v>0.15</v>
          </cell>
          <cell r="P77">
            <v>2</v>
          </cell>
        </row>
        <row r="78">
          <cell r="B78" t="str">
            <v>10S</v>
          </cell>
          <cell r="C78">
            <v>2</v>
          </cell>
          <cell r="D78">
            <v>2.77</v>
          </cell>
          <cell r="E78">
            <v>1</v>
          </cell>
          <cell r="I78">
            <v>0.15</v>
          </cell>
          <cell r="J78">
            <v>0</v>
          </cell>
          <cell r="K78">
            <v>0.15</v>
          </cell>
          <cell r="P78">
            <v>2</v>
          </cell>
        </row>
        <row r="79">
          <cell r="B79" t="str">
            <v>10S</v>
          </cell>
          <cell r="C79">
            <v>2</v>
          </cell>
          <cell r="D79">
            <v>2.77</v>
          </cell>
          <cell r="E79">
            <v>1</v>
          </cell>
          <cell r="I79">
            <v>0.15</v>
          </cell>
          <cell r="J79">
            <v>0</v>
          </cell>
          <cell r="K79">
            <v>0.15</v>
          </cell>
          <cell r="P79">
            <v>2</v>
          </cell>
        </row>
        <row r="80">
          <cell r="B80" t="str">
            <v>10S</v>
          </cell>
          <cell r="C80">
            <v>2</v>
          </cell>
          <cell r="D80">
            <v>2.77</v>
          </cell>
          <cell r="E80">
            <v>1</v>
          </cell>
          <cell r="I80">
            <v>0.15</v>
          </cell>
          <cell r="J80">
            <v>0</v>
          </cell>
          <cell r="K80">
            <v>0.15</v>
          </cell>
          <cell r="P80">
            <v>2</v>
          </cell>
        </row>
        <row r="81">
          <cell r="B81" t="str">
            <v>10S</v>
          </cell>
          <cell r="C81">
            <v>2.5</v>
          </cell>
          <cell r="D81">
            <v>3.05</v>
          </cell>
          <cell r="E81">
            <v>1</v>
          </cell>
          <cell r="I81">
            <v>0.15</v>
          </cell>
          <cell r="J81">
            <v>0</v>
          </cell>
          <cell r="K81">
            <v>0.15</v>
          </cell>
          <cell r="P81">
            <v>2</v>
          </cell>
        </row>
        <row r="82">
          <cell r="B82" t="str">
            <v>10S</v>
          </cell>
          <cell r="C82">
            <v>3</v>
          </cell>
          <cell r="D82">
            <v>3.05</v>
          </cell>
          <cell r="E82">
            <v>1</v>
          </cell>
          <cell r="I82">
            <v>0.3</v>
          </cell>
          <cell r="J82">
            <v>0</v>
          </cell>
          <cell r="K82">
            <v>0.3</v>
          </cell>
          <cell r="P82">
            <v>2</v>
          </cell>
        </row>
        <row r="83">
          <cell r="B83" t="str">
            <v>10S</v>
          </cell>
          <cell r="C83">
            <v>3.5</v>
          </cell>
          <cell r="D83">
            <v>3.05</v>
          </cell>
          <cell r="E83">
            <v>1</v>
          </cell>
          <cell r="I83">
            <v>0.3</v>
          </cell>
          <cell r="K83">
            <v>0.3</v>
          </cell>
          <cell r="P83">
            <v>3</v>
          </cell>
        </row>
        <row r="84">
          <cell r="B84" t="str">
            <v>10S</v>
          </cell>
          <cell r="C84">
            <v>4</v>
          </cell>
          <cell r="D84">
            <v>3.05</v>
          </cell>
          <cell r="E84">
            <v>1</v>
          </cell>
          <cell r="I84">
            <v>0.45</v>
          </cell>
          <cell r="J84">
            <v>0</v>
          </cell>
          <cell r="K84">
            <v>0.45</v>
          </cell>
          <cell r="P84">
            <v>3</v>
          </cell>
        </row>
        <row r="85">
          <cell r="B85" t="str">
            <v>10S</v>
          </cell>
          <cell r="C85">
            <v>5</v>
          </cell>
          <cell r="D85">
            <v>3.4</v>
          </cell>
          <cell r="E85">
            <v>1</v>
          </cell>
          <cell r="I85">
            <v>0.45</v>
          </cell>
          <cell r="K85">
            <v>0.45</v>
          </cell>
          <cell r="P85">
            <v>4</v>
          </cell>
        </row>
        <row r="86">
          <cell r="B86" t="str">
            <v>10S</v>
          </cell>
          <cell r="C86">
            <v>6</v>
          </cell>
          <cell r="D86">
            <v>3.4</v>
          </cell>
          <cell r="E86">
            <v>1</v>
          </cell>
          <cell r="I86">
            <v>0.6</v>
          </cell>
          <cell r="J86">
            <v>0</v>
          </cell>
          <cell r="K86">
            <v>0.6</v>
          </cell>
          <cell r="P86">
            <v>4</v>
          </cell>
        </row>
        <row r="87">
          <cell r="B87" t="str">
            <v>10S</v>
          </cell>
          <cell r="C87">
            <v>8</v>
          </cell>
          <cell r="D87">
            <v>3.76</v>
          </cell>
          <cell r="E87">
            <v>1</v>
          </cell>
          <cell r="I87">
            <v>0.6</v>
          </cell>
          <cell r="J87">
            <v>0</v>
          </cell>
          <cell r="K87">
            <v>0.6</v>
          </cell>
          <cell r="P87">
            <v>4</v>
          </cell>
        </row>
        <row r="88">
          <cell r="B88" t="str">
            <v>10S</v>
          </cell>
          <cell r="C88">
            <v>10</v>
          </cell>
          <cell r="D88">
            <v>4.1900000000000004</v>
          </cell>
          <cell r="E88">
            <v>1</v>
          </cell>
          <cell r="I88">
            <v>1.2</v>
          </cell>
          <cell r="J88">
            <v>0</v>
          </cell>
          <cell r="K88">
            <v>1.2</v>
          </cell>
          <cell r="P88">
            <v>4</v>
          </cell>
        </row>
        <row r="89">
          <cell r="B89" t="str">
            <v>10S</v>
          </cell>
          <cell r="C89">
            <v>12</v>
          </cell>
          <cell r="D89">
            <v>4.57</v>
          </cell>
          <cell r="E89">
            <v>1</v>
          </cell>
          <cell r="I89">
            <v>1.5</v>
          </cell>
          <cell r="J89">
            <v>0</v>
          </cell>
          <cell r="K89">
            <v>1.5</v>
          </cell>
          <cell r="P89">
            <v>6</v>
          </cell>
        </row>
        <row r="90">
          <cell r="B90" t="str">
            <v>10S</v>
          </cell>
          <cell r="C90">
            <v>14</v>
          </cell>
          <cell r="D90">
            <v>4.78</v>
          </cell>
          <cell r="E90">
            <v>1</v>
          </cell>
          <cell r="I90">
            <v>1.65</v>
          </cell>
          <cell r="J90">
            <v>0</v>
          </cell>
          <cell r="K90">
            <v>1.65</v>
          </cell>
          <cell r="P90">
            <v>6</v>
          </cell>
        </row>
        <row r="91">
          <cell r="B91" t="str">
            <v>10S</v>
          </cell>
          <cell r="C91">
            <v>16</v>
          </cell>
          <cell r="D91">
            <v>4.78</v>
          </cell>
          <cell r="E91">
            <v>1</v>
          </cell>
          <cell r="I91">
            <v>1.95</v>
          </cell>
          <cell r="J91">
            <v>0</v>
          </cell>
          <cell r="K91">
            <v>1.95</v>
          </cell>
          <cell r="P91">
            <v>6</v>
          </cell>
        </row>
        <row r="92">
          <cell r="B92" t="str">
            <v>10S</v>
          </cell>
          <cell r="C92">
            <v>18</v>
          </cell>
          <cell r="D92">
            <v>4.78</v>
          </cell>
          <cell r="E92">
            <v>1</v>
          </cell>
          <cell r="I92">
            <v>2.25</v>
          </cell>
          <cell r="J92">
            <v>0</v>
          </cell>
          <cell r="K92">
            <v>2.25</v>
          </cell>
          <cell r="P92">
            <v>6</v>
          </cell>
        </row>
        <row r="93">
          <cell r="B93" t="str">
            <v>10S</v>
          </cell>
          <cell r="C93">
            <v>20</v>
          </cell>
          <cell r="D93">
            <v>5.54</v>
          </cell>
          <cell r="E93">
            <v>1</v>
          </cell>
          <cell r="I93">
            <v>2.0299999999999998</v>
          </cell>
          <cell r="J93">
            <v>1.1200000000000001</v>
          </cell>
          <cell r="K93">
            <v>3.15</v>
          </cell>
          <cell r="P93">
            <v>7</v>
          </cell>
        </row>
        <row r="94">
          <cell r="B94" t="str">
            <v>10S</v>
          </cell>
          <cell r="C94">
            <v>22</v>
          </cell>
          <cell r="D94">
            <v>5.54</v>
          </cell>
          <cell r="E94">
            <v>1</v>
          </cell>
          <cell r="I94">
            <v>2.23</v>
          </cell>
          <cell r="J94">
            <v>1.37</v>
          </cell>
          <cell r="K94">
            <v>3.6</v>
          </cell>
          <cell r="P94">
            <v>8</v>
          </cell>
        </row>
        <row r="95">
          <cell r="B95" t="str">
            <v>10S</v>
          </cell>
          <cell r="C95">
            <v>24</v>
          </cell>
          <cell r="D95">
            <v>6.35</v>
          </cell>
          <cell r="E95">
            <v>1</v>
          </cell>
          <cell r="I95">
            <v>2.4300000000000002</v>
          </cell>
          <cell r="J95">
            <v>2.0699999999999998</v>
          </cell>
          <cell r="K95">
            <v>4.5</v>
          </cell>
          <cell r="P95">
            <v>8</v>
          </cell>
        </row>
        <row r="96">
          <cell r="B96" t="str">
            <v>10S</v>
          </cell>
          <cell r="C96">
            <v>30</v>
          </cell>
          <cell r="D96">
            <v>7.92</v>
          </cell>
          <cell r="E96">
            <v>1</v>
          </cell>
          <cell r="I96">
            <v>3.04</v>
          </cell>
          <cell r="J96">
            <v>5.66</v>
          </cell>
          <cell r="K96">
            <v>8.6999999999999993</v>
          </cell>
          <cell r="P96">
            <v>10</v>
          </cell>
        </row>
        <row r="97">
          <cell r="B97">
            <v>20</v>
          </cell>
          <cell r="C97">
            <v>8</v>
          </cell>
          <cell r="D97">
            <v>6.35</v>
          </cell>
          <cell r="E97">
            <v>1</v>
          </cell>
          <cell r="I97">
            <v>0.81</v>
          </cell>
          <cell r="J97">
            <v>0.99</v>
          </cell>
          <cell r="K97">
            <v>1.8</v>
          </cell>
          <cell r="P97">
            <v>4</v>
          </cell>
        </row>
        <row r="98">
          <cell r="B98">
            <v>20</v>
          </cell>
          <cell r="C98">
            <v>10</v>
          </cell>
          <cell r="D98">
            <v>6.35</v>
          </cell>
          <cell r="E98">
            <v>1</v>
          </cell>
          <cell r="I98">
            <v>1.01</v>
          </cell>
          <cell r="J98">
            <v>1.0900000000000001</v>
          </cell>
          <cell r="K98">
            <v>2.1</v>
          </cell>
          <cell r="P98">
            <v>4</v>
          </cell>
        </row>
        <row r="99">
          <cell r="B99">
            <v>20</v>
          </cell>
          <cell r="C99">
            <v>12</v>
          </cell>
          <cell r="D99">
            <v>6.35</v>
          </cell>
          <cell r="E99">
            <v>1</v>
          </cell>
          <cell r="I99">
            <v>1.22</v>
          </cell>
          <cell r="J99">
            <v>1.32</v>
          </cell>
          <cell r="K99">
            <v>2.54</v>
          </cell>
          <cell r="P99">
            <v>6</v>
          </cell>
        </row>
        <row r="100">
          <cell r="B100">
            <v>20</v>
          </cell>
          <cell r="C100">
            <v>14</v>
          </cell>
          <cell r="D100">
            <v>7.92</v>
          </cell>
          <cell r="E100">
            <v>1</v>
          </cell>
          <cell r="I100">
            <v>1.42</v>
          </cell>
          <cell r="J100">
            <v>2.48</v>
          </cell>
          <cell r="K100">
            <v>3.9</v>
          </cell>
          <cell r="P100">
            <v>6</v>
          </cell>
        </row>
        <row r="101">
          <cell r="B101">
            <v>20</v>
          </cell>
          <cell r="C101">
            <v>16</v>
          </cell>
          <cell r="D101">
            <v>7.92</v>
          </cell>
          <cell r="E101">
            <v>1</v>
          </cell>
          <cell r="I101">
            <v>1.62</v>
          </cell>
          <cell r="J101">
            <v>2.73</v>
          </cell>
          <cell r="K101">
            <v>4.3499999999999996</v>
          </cell>
          <cell r="P101">
            <v>6</v>
          </cell>
        </row>
        <row r="102">
          <cell r="B102">
            <v>20</v>
          </cell>
          <cell r="C102">
            <v>18</v>
          </cell>
          <cell r="D102">
            <v>7.92</v>
          </cell>
          <cell r="E102">
            <v>1</v>
          </cell>
          <cell r="I102">
            <v>1.82</v>
          </cell>
          <cell r="J102">
            <v>3.12</v>
          </cell>
          <cell r="K102">
            <v>4.9400000000000004</v>
          </cell>
          <cell r="P102">
            <v>6</v>
          </cell>
        </row>
        <row r="103">
          <cell r="B103">
            <v>20</v>
          </cell>
          <cell r="C103">
            <v>20</v>
          </cell>
          <cell r="D103">
            <v>9.5299999999999994</v>
          </cell>
          <cell r="E103">
            <v>1</v>
          </cell>
          <cell r="I103">
            <v>2.0299999999999998</v>
          </cell>
          <cell r="J103">
            <v>5.47</v>
          </cell>
          <cell r="K103">
            <v>7.5</v>
          </cell>
          <cell r="P103">
            <v>7</v>
          </cell>
        </row>
        <row r="104">
          <cell r="B104">
            <v>20</v>
          </cell>
          <cell r="C104">
            <v>22</v>
          </cell>
          <cell r="D104">
            <v>9.5299999999999994</v>
          </cell>
          <cell r="E104">
            <v>1</v>
          </cell>
          <cell r="I104">
            <v>2.23</v>
          </cell>
          <cell r="J104">
            <v>6.47</v>
          </cell>
          <cell r="K104">
            <v>8.6999999999999993</v>
          </cell>
          <cell r="P104">
            <v>8</v>
          </cell>
        </row>
        <row r="105">
          <cell r="B105">
            <v>20</v>
          </cell>
          <cell r="C105">
            <v>24</v>
          </cell>
          <cell r="D105">
            <v>9.5299999999999994</v>
          </cell>
          <cell r="E105">
            <v>1</v>
          </cell>
          <cell r="I105">
            <v>2.4300000000000002</v>
          </cell>
          <cell r="J105">
            <v>6.57</v>
          </cell>
          <cell r="K105">
            <v>9</v>
          </cell>
          <cell r="P105">
            <v>8</v>
          </cell>
        </row>
        <row r="106">
          <cell r="B106">
            <v>20</v>
          </cell>
          <cell r="C106">
            <v>26</v>
          </cell>
          <cell r="D106">
            <v>12.7</v>
          </cell>
          <cell r="E106">
            <v>1.25</v>
          </cell>
          <cell r="I106">
            <v>2.64</v>
          </cell>
          <cell r="J106">
            <v>13.86</v>
          </cell>
          <cell r="K106">
            <v>16.5</v>
          </cell>
          <cell r="P106">
            <v>9</v>
          </cell>
        </row>
        <row r="107">
          <cell r="B107">
            <v>20</v>
          </cell>
          <cell r="C107">
            <v>28</v>
          </cell>
          <cell r="D107">
            <v>12.7</v>
          </cell>
          <cell r="E107">
            <v>1.25</v>
          </cell>
          <cell r="I107">
            <v>2.84</v>
          </cell>
          <cell r="J107">
            <v>15.16</v>
          </cell>
          <cell r="K107">
            <v>18</v>
          </cell>
          <cell r="P107">
            <v>9</v>
          </cell>
        </row>
        <row r="108">
          <cell r="B108">
            <v>20</v>
          </cell>
          <cell r="C108">
            <v>30</v>
          </cell>
          <cell r="D108">
            <v>12.7</v>
          </cell>
          <cell r="E108">
            <v>1.25</v>
          </cell>
          <cell r="I108">
            <v>3.04</v>
          </cell>
          <cell r="J108">
            <v>16.45</v>
          </cell>
          <cell r="K108">
            <v>19.489999999999998</v>
          </cell>
          <cell r="P108">
            <v>10</v>
          </cell>
        </row>
        <row r="109">
          <cell r="B109">
            <v>20</v>
          </cell>
          <cell r="C109">
            <v>32</v>
          </cell>
          <cell r="D109">
            <v>12.7</v>
          </cell>
          <cell r="E109">
            <v>1.25</v>
          </cell>
          <cell r="I109">
            <v>3.24</v>
          </cell>
          <cell r="J109">
            <v>17.75</v>
          </cell>
          <cell r="K109">
            <v>20.990000000000002</v>
          </cell>
          <cell r="P109">
            <v>11</v>
          </cell>
        </row>
        <row r="110">
          <cell r="B110">
            <v>20</v>
          </cell>
          <cell r="C110">
            <v>34</v>
          </cell>
          <cell r="D110">
            <v>12.7</v>
          </cell>
          <cell r="E110">
            <v>1.25</v>
          </cell>
          <cell r="I110">
            <v>3.45</v>
          </cell>
          <cell r="J110">
            <v>18.54</v>
          </cell>
          <cell r="K110">
            <v>21.99</v>
          </cell>
          <cell r="P110">
            <v>12</v>
          </cell>
        </row>
        <row r="111">
          <cell r="B111">
            <v>20</v>
          </cell>
          <cell r="C111">
            <v>36</v>
          </cell>
          <cell r="D111">
            <v>12.7</v>
          </cell>
          <cell r="E111">
            <v>1.25</v>
          </cell>
          <cell r="I111">
            <v>3.65</v>
          </cell>
          <cell r="J111">
            <v>18.84</v>
          </cell>
          <cell r="K111">
            <v>22.49</v>
          </cell>
          <cell r="P111">
            <v>12</v>
          </cell>
        </row>
        <row r="112">
          <cell r="B112">
            <v>30</v>
          </cell>
          <cell r="C112">
            <v>8</v>
          </cell>
          <cell r="D112">
            <v>7.04</v>
          </cell>
          <cell r="E112">
            <v>1</v>
          </cell>
          <cell r="I112">
            <v>0.81</v>
          </cell>
          <cell r="J112">
            <v>1.1399999999999999</v>
          </cell>
          <cell r="K112">
            <v>1.95</v>
          </cell>
          <cell r="P112">
            <v>4</v>
          </cell>
        </row>
        <row r="113">
          <cell r="B113">
            <v>30</v>
          </cell>
          <cell r="C113">
            <v>10</v>
          </cell>
          <cell r="D113">
            <v>7.8</v>
          </cell>
          <cell r="E113">
            <v>1</v>
          </cell>
          <cell r="I113">
            <v>1.01</v>
          </cell>
          <cell r="J113">
            <v>1.99</v>
          </cell>
          <cell r="K113">
            <v>3</v>
          </cell>
          <cell r="P113">
            <v>4</v>
          </cell>
        </row>
        <row r="114">
          <cell r="B114">
            <v>30</v>
          </cell>
          <cell r="C114">
            <v>12</v>
          </cell>
          <cell r="D114">
            <v>8.3800000000000008</v>
          </cell>
          <cell r="E114">
            <v>1</v>
          </cell>
          <cell r="I114">
            <v>1.22</v>
          </cell>
          <cell r="J114">
            <v>2.68</v>
          </cell>
          <cell r="K114">
            <v>3.9000000000000004</v>
          </cell>
          <cell r="P114">
            <v>6</v>
          </cell>
        </row>
        <row r="115">
          <cell r="B115">
            <v>30</v>
          </cell>
          <cell r="C115">
            <v>14</v>
          </cell>
          <cell r="D115">
            <v>9.5299999999999994</v>
          </cell>
          <cell r="E115">
            <v>1</v>
          </cell>
          <cell r="I115">
            <v>1.42</v>
          </cell>
          <cell r="J115">
            <v>3.97</v>
          </cell>
          <cell r="K115">
            <v>5.3900000000000006</v>
          </cell>
          <cell r="P115">
            <v>6</v>
          </cell>
        </row>
        <row r="116">
          <cell r="B116">
            <v>30</v>
          </cell>
          <cell r="C116">
            <v>16</v>
          </cell>
          <cell r="D116">
            <v>9.5299999999999994</v>
          </cell>
          <cell r="E116">
            <v>1</v>
          </cell>
          <cell r="I116">
            <v>1.62</v>
          </cell>
          <cell r="J116">
            <v>4.68</v>
          </cell>
          <cell r="K116">
            <v>6.3</v>
          </cell>
          <cell r="P116">
            <v>6</v>
          </cell>
        </row>
        <row r="117">
          <cell r="B117">
            <v>30</v>
          </cell>
          <cell r="C117">
            <v>18</v>
          </cell>
          <cell r="D117">
            <v>11.13</v>
          </cell>
          <cell r="E117">
            <v>1.25</v>
          </cell>
          <cell r="I117">
            <v>1.82</v>
          </cell>
          <cell r="J117">
            <v>6.88</v>
          </cell>
          <cell r="K117">
            <v>8.6999999999999993</v>
          </cell>
          <cell r="P117">
            <v>6</v>
          </cell>
        </row>
        <row r="118">
          <cell r="B118">
            <v>30</v>
          </cell>
          <cell r="C118">
            <v>20</v>
          </cell>
          <cell r="D118">
            <v>12.7</v>
          </cell>
          <cell r="E118">
            <v>1.25</v>
          </cell>
          <cell r="I118">
            <v>2.0299999999999998</v>
          </cell>
          <cell r="J118">
            <v>10.42</v>
          </cell>
          <cell r="K118">
            <v>12.45</v>
          </cell>
          <cell r="P118">
            <v>7</v>
          </cell>
        </row>
        <row r="119">
          <cell r="B119">
            <v>30</v>
          </cell>
          <cell r="C119">
            <v>22</v>
          </cell>
          <cell r="D119">
            <v>12.7</v>
          </cell>
          <cell r="E119">
            <v>1.25</v>
          </cell>
          <cell r="I119">
            <v>2.23</v>
          </cell>
          <cell r="J119">
            <v>11.72</v>
          </cell>
          <cell r="K119">
            <v>13.950000000000001</v>
          </cell>
          <cell r="P119">
            <v>8</v>
          </cell>
        </row>
        <row r="120">
          <cell r="B120">
            <v>30</v>
          </cell>
          <cell r="C120">
            <v>24</v>
          </cell>
          <cell r="D120">
            <v>14.27</v>
          </cell>
          <cell r="E120">
            <v>1.25</v>
          </cell>
          <cell r="I120">
            <v>2.4300000000000002</v>
          </cell>
          <cell r="J120">
            <v>15.57</v>
          </cell>
          <cell r="K120">
            <v>18</v>
          </cell>
          <cell r="P120">
            <v>8</v>
          </cell>
        </row>
        <row r="121">
          <cell r="B121">
            <v>30</v>
          </cell>
          <cell r="C121">
            <v>28</v>
          </cell>
          <cell r="D121">
            <v>15.88</v>
          </cell>
          <cell r="E121">
            <v>1.5</v>
          </cell>
          <cell r="I121">
            <v>2.84</v>
          </cell>
          <cell r="J121">
            <v>22.65</v>
          </cell>
          <cell r="K121">
            <v>25.49</v>
          </cell>
          <cell r="P121">
            <v>9</v>
          </cell>
        </row>
        <row r="122">
          <cell r="B122">
            <v>30</v>
          </cell>
          <cell r="C122">
            <v>30</v>
          </cell>
          <cell r="D122">
            <v>15.88</v>
          </cell>
          <cell r="E122">
            <v>1.5</v>
          </cell>
          <cell r="I122">
            <v>3.04</v>
          </cell>
          <cell r="J122">
            <v>23.96</v>
          </cell>
          <cell r="K122">
            <v>27</v>
          </cell>
          <cell r="P122">
            <v>10</v>
          </cell>
        </row>
        <row r="123">
          <cell r="B123">
            <v>30</v>
          </cell>
          <cell r="C123">
            <v>32</v>
          </cell>
          <cell r="D123">
            <v>15.88</v>
          </cell>
          <cell r="E123">
            <v>1.5</v>
          </cell>
          <cell r="I123">
            <v>3.24</v>
          </cell>
          <cell r="J123">
            <v>26.76</v>
          </cell>
          <cell r="K123">
            <v>30</v>
          </cell>
          <cell r="P123">
            <v>11</v>
          </cell>
        </row>
        <row r="124">
          <cell r="B124">
            <v>30</v>
          </cell>
          <cell r="C124">
            <v>34</v>
          </cell>
          <cell r="D124">
            <v>15.88</v>
          </cell>
          <cell r="E124">
            <v>1.5</v>
          </cell>
          <cell r="I124">
            <v>3.45</v>
          </cell>
          <cell r="J124">
            <v>28.05</v>
          </cell>
          <cell r="K124">
            <v>31.5</v>
          </cell>
          <cell r="P124">
            <v>12</v>
          </cell>
        </row>
        <row r="125">
          <cell r="B125">
            <v>30</v>
          </cell>
          <cell r="C125">
            <v>36</v>
          </cell>
          <cell r="D125">
            <v>15.88</v>
          </cell>
          <cell r="E125">
            <v>1.5</v>
          </cell>
          <cell r="I125">
            <v>3.65</v>
          </cell>
          <cell r="J125">
            <v>29.35</v>
          </cell>
          <cell r="K125">
            <v>33</v>
          </cell>
          <cell r="P125">
            <v>12</v>
          </cell>
        </row>
        <row r="126">
          <cell r="B126">
            <v>40</v>
          </cell>
          <cell r="C126">
            <v>0.125</v>
          </cell>
          <cell r="D126">
            <v>1.73</v>
          </cell>
          <cell r="E126">
            <v>1</v>
          </cell>
          <cell r="I126">
            <v>7.0000000000000007E-2</v>
          </cell>
          <cell r="K126">
            <v>7.0000000000000007E-2</v>
          </cell>
          <cell r="P126">
            <v>2</v>
          </cell>
        </row>
        <row r="127">
          <cell r="B127">
            <v>40</v>
          </cell>
          <cell r="C127">
            <v>0.125</v>
          </cell>
          <cell r="D127">
            <v>1.73</v>
          </cell>
          <cell r="E127">
            <v>1</v>
          </cell>
          <cell r="I127">
            <v>7.0000000000000007E-2</v>
          </cell>
          <cell r="K127">
            <v>7.0000000000000007E-2</v>
          </cell>
          <cell r="P127">
            <v>2</v>
          </cell>
        </row>
        <row r="128">
          <cell r="B128">
            <v>40</v>
          </cell>
          <cell r="C128">
            <v>0.125</v>
          </cell>
          <cell r="D128">
            <v>1.73</v>
          </cell>
          <cell r="E128">
            <v>1</v>
          </cell>
          <cell r="I128">
            <v>7.0000000000000007E-2</v>
          </cell>
          <cell r="K128">
            <v>7.0000000000000007E-2</v>
          </cell>
          <cell r="P128">
            <v>2</v>
          </cell>
        </row>
        <row r="129">
          <cell r="B129">
            <v>40</v>
          </cell>
          <cell r="C129">
            <v>0.25</v>
          </cell>
          <cell r="D129">
            <v>2.2400000000000002</v>
          </cell>
          <cell r="E129">
            <v>1</v>
          </cell>
          <cell r="I129">
            <v>7.0000000000000007E-2</v>
          </cell>
          <cell r="K129">
            <v>7.0000000000000007E-2</v>
          </cell>
          <cell r="P129">
            <v>2</v>
          </cell>
        </row>
        <row r="130">
          <cell r="B130">
            <v>40</v>
          </cell>
          <cell r="C130">
            <v>0.25</v>
          </cell>
          <cell r="D130">
            <v>2.2400000000000002</v>
          </cell>
          <cell r="E130">
            <v>1</v>
          </cell>
          <cell r="I130">
            <v>7.0000000000000007E-2</v>
          </cell>
          <cell r="K130">
            <v>7.0000000000000007E-2</v>
          </cell>
          <cell r="P130">
            <v>2</v>
          </cell>
        </row>
        <row r="131">
          <cell r="B131">
            <v>40</v>
          </cell>
          <cell r="C131">
            <v>0.25</v>
          </cell>
          <cell r="D131">
            <v>2.2400000000000002</v>
          </cell>
          <cell r="E131">
            <v>1</v>
          </cell>
          <cell r="I131">
            <v>7.0000000000000007E-2</v>
          </cell>
          <cell r="K131">
            <v>7.0000000000000007E-2</v>
          </cell>
          <cell r="P131">
            <v>2</v>
          </cell>
        </row>
        <row r="132">
          <cell r="B132">
            <v>40</v>
          </cell>
          <cell r="C132">
            <v>0.375</v>
          </cell>
          <cell r="D132">
            <v>2.31</v>
          </cell>
          <cell r="E132">
            <v>1</v>
          </cell>
          <cell r="I132">
            <v>7.0000000000000007E-2</v>
          </cell>
          <cell r="J132">
            <v>0</v>
          </cell>
          <cell r="K132">
            <v>7.0000000000000007E-2</v>
          </cell>
          <cell r="P132">
            <v>2</v>
          </cell>
        </row>
        <row r="133">
          <cell r="B133">
            <v>40</v>
          </cell>
          <cell r="C133">
            <v>0.375</v>
          </cell>
          <cell r="D133">
            <v>2.31</v>
          </cell>
          <cell r="E133">
            <v>1</v>
          </cell>
          <cell r="I133">
            <v>7.0000000000000007E-2</v>
          </cell>
          <cell r="J133">
            <v>0</v>
          </cell>
          <cell r="K133">
            <v>7.0000000000000007E-2</v>
          </cell>
          <cell r="P133">
            <v>2</v>
          </cell>
        </row>
        <row r="134">
          <cell r="B134">
            <v>40</v>
          </cell>
          <cell r="C134">
            <v>0.375</v>
          </cell>
          <cell r="D134">
            <v>2.31</v>
          </cell>
          <cell r="E134">
            <v>1</v>
          </cell>
          <cell r="I134">
            <v>7.0000000000000007E-2</v>
          </cell>
          <cell r="J134">
            <v>0</v>
          </cell>
          <cell r="K134">
            <v>7.0000000000000007E-2</v>
          </cell>
          <cell r="P134">
            <v>2</v>
          </cell>
        </row>
        <row r="135">
          <cell r="B135">
            <v>40</v>
          </cell>
          <cell r="C135">
            <v>0.5</v>
          </cell>
          <cell r="D135">
            <v>2.77</v>
          </cell>
          <cell r="E135">
            <v>1</v>
          </cell>
          <cell r="I135">
            <v>7.0000000000000007E-2</v>
          </cell>
          <cell r="J135">
            <v>0</v>
          </cell>
          <cell r="K135">
            <v>7.0000000000000007E-2</v>
          </cell>
          <cell r="P135">
            <v>2</v>
          </cell>
        </row>
        <row r="136">
          <cell r="B136">
            <v>40</v>
          </cell>
          <cell r="C136">
            <v>0.5</v>
          </cell>
          <cell r="D136">
            <v>2.77</v>
          </cell>
          <cell r="E136">
            <v>1</v>
          </cell>
          <cell r="I136">
            <v>7.0000000000000007E-2</v>
          </cell>
          <cell r="J136">
            <v>0</v>
          </cell>
          <cell r="K136">
            <v>7.0000000000000007E-2</v>
          </cell>
          <cell r="P136">
            <v>2</v>
          </cell>
        </row>
        <row r="137">
          <cell r="B137">
            <v>40</v>
          </cell>
          <cell r="C137">
            <v>0.5</v>
          </cell>
          <cell r="D137">
            <v>2.77</v>
          </cell>
          <cell r="E137">
            <v>1</v>
          </cell>
          <cell r="I137">
            <v>7.0000000000000007E-2</v>
          </cell>
          <cell r="J137">
            <v>0</v>
          </cell>
          <cell r="K137">
            <v>7.0000000000000007E-2</v>
          </cell>
          <cell r="P137">
            <v>2</v>
          </cell>
        </row>
        <row r="138">
          <cell r="B138">
            <v>40</v>
          </cell>
          <cell r="C138">
            <v>0.75</v>
          </cell>
          <cell r="D138">
            <v>2.87</v>
          </cell>
          <cell r="E138">
            <v>1</v>
          </cell>
          <cell r="I138">
            <v>7.0000000000000007E-2</v>
          </cell>
          <cell r="J138">
            <v>0</v>
          </cell>
          <cell r="K138">
            <v>7.0000000000000007E-2</v>
          </cell>
          <cell r="P138">
            <v>2</v>
          </cell>
        </row>
        <row r="139">
          <cell r="B139">
            <v>40</v>
          </cell>
          <cell r="C139">
            <v>0.75</v>
          </cell>
          <cell r="D139">
            <v>2.87</v>
          </cell>
          <cell r="E139">
            <v>1</v>
          </cell>
          <cell r="I139">
            <v>7.0000000000000007E-2</v>
          </cell>
          <cell r="J139">
            <v>0</v>
          </cell>
          <cell r="K139">
            <v>7.0000000000000007E-2</v>
          </cell>
          <cell r="P139">
            <v>2</v>
          </cell>
        </row>
        <row r="140">
          <cell r="B140">
            <v>40</v>
          </cell>
          <cell r="C140">
            <v>0.75</v>
          </cell>
          <cell r="D140">
            <v>2.87</v>
          </cell>
          <cell r="E140">
            <v>1</v>
          </cell>
          <cell r="I140">
            <v>7.0000000000000007E-2</v>
          </cell>
          <cell r="J140">
            <v>0</v>
          </cell>
          <cell r="K140">
            <v>7.0000000000000007E-2</v>
          </cell>
          <cell r="P140">
            <v>2</v>
          </cell>
        </row>
        <row r="141">
          <cell r="B141">
            <v>40</v>
          </cell>
          <cell r="C141">
            <v>1</v>
          </cell>
          <cell r="D141">
            <v>3.38</v>
          </cell>
          <cell r="E141">
            <v>1</v>
          </cell>
          <cell r="I141">
            <v>0.12</v>
          </cell>
          <cell r="J141">
            <v>0</v>
          </cell>
          <cell r="K141">
            <v>0.12</v>
          </cell>
          <cell r="P141">
            <v>2</v>
          </cell>
        </row>
        <row r="142">
          <cell r="B142">
            <v>40</v>
          </cell>
          <cell r="C142">
            <v>1</v>
          </cell>
          <cell r="D142">
            <v>3.38</v>
          </cell>
          <cell r="E142">
            <v>1</v>
          </cell>
          <cell r="I142">
            <v>0.12</v>
          </cell>
          <cell r="J142">
            <v>0</v>
          </cell>
          <cell r="K142">
            <v>0.12</v>
          </cell>
          <cell r="P142">
            <v>2</v>
          </cell>
        </row>
        <row r="143">
          <cell r="B143">
            <v>40</v>
          </cell>
          <cell r="C143">
            <v>1</v>
          </cell>
          <cell r="D143">
            <v>3.38</v>
          </cell>
          <cell r="E143">
            <v>1</v>
          </cell>
          <cell r="I143">
            <v>0.12</v>
          </cell>
          <cell r="J143">
            <v>0</v>
          </cell>
          <cell r="K143">
            <v>0.12</v>
          </cell>
          <cell r="P143">
            <v>2</v>
          </cell>
        </row>
        <row r="144">
          <cell r="B144">
            <v>40</v>
          </cell>
          <cell r="C144">
            <v>1.25</v>
          </cell>
          <cell r="D144">
            <v>3.56</v>
          </cell>
          <cell r="E144">
            <v>1</v>
          </cell>
          <cell r="I144">
            <v>0.15</v>
          </cell>
          <cell r="K144">
            <v>0.15</v>
          </cell>
          <cell r="P144">
            <v>2</v>
          </cell>
        </row>
        <row r="145">
          <cell r="B145">
            <v>40</v>
          </cell>
          <cell r="C145">
            <v>1.25</v>
          </cell>
          <cell r="D145">
            <v>3.56</v>
          </cell>
          <cell r="E145">
            <v>1</v>
          </cell>
          <cell r="I145">
            <v>0.15</v>
          </cell>
          <cell r="K145">
            <v>0.15</v>
          </cell>
          <cell r="P145">
            <v>2</v>
          </cell>
        </row>
        <row r="146">
          <cell r="B146">
            <v>40</v>
          </cell>
          <cell r="C146">
            <v>1.25</v>
          </cell>
          <cell r="D146">
            <v>3.56</v>
          </cell>
          <cell r="E146">
            <v>1</v>
          </cell>
          <cell r="I146">
            <v>0.15</v>
          </cell>
          <cell r="K146">
            <v>0.15</v>
          </cell>
          <cell r="P146">
            <v>2</v>
          </cell>
        </row>
        <row r="147">
          <cell r="B147">
            <v>40</v>
          </cell>
          <cell r="C147">
            <v>1.5</v>
          </cell>
          <cell r="D147">
            <v>3.68</v>
          </cell>
          <cell r="E147">
            <v>1</v>
          </cell>
          <cell r="I147">
            <v>0.15</v>
          </cell>
          <cell r="J147">
            <v>0</v>
          </cell>
          <cell r="K147">
            <v>0.15</v>
          </cell>
          <cell r="P147">
            <v>2</v>
          </cell>
        </row>
        <row r="148">
          <cell r="B148">
            <v>40</v>
          </cell>
          <cell r="C148">
            <v>1.5</v>
          </cell>
          <cell r="D148">
            <v>3.68</v>
          </cell>
          <cell r="E148">
            <v>1</v>
          </cell>
          <cell r="I148">
            <v>0.15</v>
          </cell>
          <cell r="J148">
            <v>0</v>
          </cell>
          <cell r="K148">
            <v>0.15</v>
          </cell>
          <cell r="P148">
            <v>2</v>
          </cell>
        </row>
        <row r="149">
          <cell r="B149">
            <v>40</v>
          </cell>
          <cell r="C149">
            <v>1.5</v>
          </cell>
          <cell r="D149">
            <v>3.68</v>
          </cell>
          <cell r="E149">
            <v>1</v>
          </cell>
          <cell r="I149">
            <v>0.15</v>
          </cell>
          <cell r="J149">
            <v>0</v>
          </cell>
          <cell r="K149">
            <v>0.15</v>
          </cell>
          <cell r="P149">
            <v>2</v>
          </cell>
        </row>
        <row r="150">
          <cell r="B150">
            <v>40</v>
          </cell>
          <cell r="C150">
            <v>2</v>
          </cell>
          <cell r="D150">
            <v>3.91</v>
          </cell>
          <cell r="E150">
            <v>1</v>
          </cell>
          <cell r="I150">
            <v>0.3</v>
          </cell>
          <cell r="J150">
            <v>0</v>
          </cell>
          <cell r="K150">
            <v>0.3</v>
          </cell>
          <cell r="P150">
            <v>2</v>
          </cell>
        </row>
        <row r="151">
          <cell r="B151">
            <v>40</v>
          </cell>
          <cell r="C151">
            <v>2</v>
          </cell>
          <cell r="D151">
            <v>3.91</v>
          </cell>
          <cell r="E151">
            <v>1</v>
          </cell>
          <cell r="I151">
            <v>0.3</v>
          </cell>
          <cell r="J151">
            <v>0</v>
          </cell>
          <cell r="K151">
            <v>0.3</v>
          </cell>
          <cell r="P151">
            <v>2</v>
          </cell>
        </row>
        <row r="152">
          <cell r="B152">
            <v>40</v>
          </cell>
          <cell r="C152">
            <v>2</v>
          </cell>
          <cell r="D152">
            <v>3.91</v>
          </cell>
          <cell r="E152">
            <v>1</v>
          </cell>
          <cell r="I152">
            <v>0.3</v>
          </cell>
          <cell r="J152">
            <v>0</v>
          </cell>
          <cell r="K152">
            <v>0.3</v>
          </cell>
          <cell r="P152">
            <v>2</v>
          </cell>
        </row>
        <row r="153">
          <cell r="B153">
            <v>40</v>
          </cell>
          <cell r="C153">
            <v>2.5</v>
          </cell>
          <cell r="D153">
            <v>5.16</v>
          </cell>
          <cell r="E153">
            <v>1</v>
          </cell>
          <cell r="I153">
            <v>0.25</v>
          </cell>
          <cell r="J153">
            <v>0.2</v>
          </cell>
          <cell r="K153">
            <v>0.45</v>
          </cell>
          <cell r="P153">
            <v>2</v>
          </cell>
        </row>
        <row r="154">
          <cell r="B154">
            <v>40</v>
          </cell>
          <cell r="C154">
            <v>3</v>
          </cell>
          <cell r="D154">
            <v>5.49</v>
          </cell>
          <cell r="E154">
            <v>1</v>
          </cell>
          <cell r="I154">
            <v>0.3</v>
          </cell>
          <cell r="J154">
            <v>0.3</v>
          </cell>
          <cell r="K154">
            <v>0.6</v>
          </cell>
          <cell r="P154">
            <v>2</v>
          </cell>
        </row>
        <row r="155">
          <cell r="B155">
            <v>40</v>
          </cell>
          <cell r="C155">
            <v>3.5</v>
          </cell>
          <cell r="D155">
            <v>5.74</v>
          </cell>
          <cell r="E155">
            <v>1</v>
          </cell>
          <cell r="I155">
            <v>0.35</v>
          </cell>
          <cell r="J155">
            <v>0.4</v>
          </cell>
          <cell r="K155">
            <v>0.75</v>
          </cell>
          <cell r="P155">
            <v>3</v>
          </cell>
        </row>
        <row r="156">
          <cell r="B156">
            <v>40</v>
          </cell>
          <cell r="C156">
            <v>4</v>
          </cell>
          <cell r="D156">
            <v>6.02</v>
          </cell>
          <cell r="E156">
            <v>1</v>
          </cell>
          <cell r="I156">
            <v>0.41</v>
          </cell>
          <cell r="J156">
            <v>0.49</v>
          </cell>
          <cell r="K156">
            <v>0.89999999999999991</v>
          </cell>
          <cell r="P156">
            <v>3</v>
          </cell>
        </row>
        <row r="157">
          <cell r="B157">
            <v>40</v>
          </cell>
          <cell r="C157">
            <v>5</v>
          </cell>
          <cell r="D157">
            <v>6.55</v>
          </cell>
          <cell r="E157">
            <v>1</v>
          </cell>
          <cell r="I157">
            <v>0.51</v>
          </cell>
          <cell r="J157">
            <v>0.54</v>
          </cell>
          <cell r="K157">
            <v>1.05</v>
          </cell>
          <cell r="P157">
            <v>4</v>
          </cell>
        </row>
        <row r="158">
          <cell r="B158">
            <v>40</v>
          </cell>
          <cell r="C158">
            <v>6</v>
          </cell>
          <cell r="D158">
            <v>7.11</v>
          </cell>
          <cell r="E158">
            <v>1</v>
          </cell>
          <cell r="I158">
            <v>0.61</v>
          </cell>
          <cell r="J158">
            <v>1.04</v>
          </cell>
          <cell r="K158">
            <v>1.65</v>
          </cell>
          <cell r="P158">
            <v>4</v>
          </cell>
        </row>
        <row r="159">
          <cell r="B159">
            <v>40</v>
          </cell>
          <cell r="C159">
            <v>8</v>
          </cell>
          <cell r="D159">
            <v>8.18</v>
          </cell>
          <cell r="E159">
            <v>1</v>
          </cell>
          <cell r="I159">
            <v>0.81</v>
          </cell>
          <cell r="J159">
            <v>1.73</v>
          </cell>
          <cell r="K159">
            <v>2.54</v>
          </cell>
          <cell r="P159">
            <v>4</v>
          </cell>
        </row>
        <row r="160">
          <cell r="B160">
            <v>40</v>
          </cell>
          <cell r="C160">
            <v>10</v>
          </cell>
          <cell r="D160">
            <v>9.27</v>
          </cell>
          <cell r="E160">
            <v>1</v>
          </cell>
          <cell r="I160">
            <v>1.01</v>
          </cell>
          <cell r="J160">
            <v>3.04</v>
          </cell>
          <cell r="K160">
            <v>4.05</v>
          </cell>
          <cell r="P160">
            <v>4</v>
          </cell>
        </row>
        <row r="161">
          <cell r="B161">
            <v>40</v>
          </cell>
          <cell r="C161">
            <v>12</v>
          </cell>
          <cell r="D161">
            <v>10.31</v>
          </cell>
          <cell r="E161">
            <v>1.25</v>
          </cell>
          <cell r="I161">
            <v>1.22</v>
          </cell>
          <cell r="J161">
            <v>4.0199999999999996</v>
          </cell>
          <cell r="K161">
            <v>5.2399999999999993</v>
          </cell>
          <cell r="P161">
            <v>6</v>
          </cell>
        </row>
        <row r="162">
          <cell r="B162">
            <v>40</v>
          </cell>
          <cell r="C162">
            <v>14</v>
          </cell>
          <cell r="D162">
            <v>11.13</v>
          </cell>
          <cell r="E162">
            <v>1.25</v>
          </cell>
          <cell r="I162">
            <v>1.42</v>
          </cell>
          <cell r="J162">
            <v>5.33</v>
          </cell>
          <cell r="K162">
            <v>6.75</v>
          </cell>
          <cell r="P162">
            <v>6</v>
          </cell>
        </row>
        <row r="163">
          <cell r="B163">
            <v>40</v>
          </cell>
          <cell r="C163">
            <v>16</v>
          </cell>
          <cell r="D163">
            <v>12.7</v>
          </cell>
          <cell r="E163">
            <v>1.25</v>
          </cell>
          <cell r="I163">
            <v>1.62</v>
          </cell>
          <cell r="J163">
            <v>8.42</v>
          </cell>
          <cell r="K163">
            <v>10.039999999999999</v>
          </cell>
          <cell r="P163">
            <v>6</v>
          </cell>
        </row>
        <row r="164">
          <cell r="B164">
            <v>40</v>
          </cell>
          <cell r="C164">
            <v>18</v>
          </cell>
          <cell r="D164">
            <v>14.27</v>
          </cell>
          <cell r="E164">
            <v>1.25</v>
          </cell>
          <cell r="I164">
            <v>1.82</v>
          </cell>
          <cell r="J164">
            <v>11.53</v>
          </cell>
          <cell r="K164">
            <v>13.35</v>
          </cell>
          <cell r="P164">
            <v>6</v>
          </cell>
        </row>
        <row r="165">
          <cell r="B165">
            <v>40</v>
          </cell>
          <cell r="C165">
            <v>20</v>
          </cell>
          <cell r="D165">
            <v>15.09</v>
          </cell>
          <cell r="E165">
            <v>1.5</v>
          </cell>
          <cell r="I165">
            <v>2.0299999999999998</v>
          </cell>
          <cell r="J165">
            <v>14.47</v>
          </cell>
          <cell r="K165">
            <v>16.5</v>
          </cell>
          <cell r="P165">
            <v>7</v>
          </cell>
        </row>
        <row r="166">
          <cell r="B166">
            <v>40</v>
          </cell>
          <cell r="C166">
            <v>24</v>
          </cell>
          <cell r="D166">
            <v>17.48</v>
          </cell>
          <cell r="E166">
            <v>1.5</v>
          </cell>
          <cell r="I166">
            <v>2.4300000000000002</v>
          </cell>
          <cell r="J166">
            <v>24.57</v>
          </cell>
          <cell r="K166">
            <v>27</v>
          </cell>
          <cell r="P166">
            <v>8</v>
          </cell>
        </row>
        <row r="167">
          <cell r="B167">
            <v>40</v>
          </cell>
          <cell r="C167">
            <v>32</v>
          </cell>
          <cell r="D167">
            <v>17.48</v>
          </cell>
          <cell r="E167">
            <v>1.5</v>
          </cell>
          <cell r="I167">
            <v>3.24</v>
          </cell>
          <cell r="J167">
            <v>31.26</v>
          </cell>
          <cell r="K167">
            <v>34.5</v>
          </cell>
          <cell r="P167">
            <v>11</v>
          </cell>
        </row>
        <row r="168">
          <cell r="B168">
            <v>40</v>
          </cell>
          <cell r="C168">
            <v>34</v>
          </cell>
          <cell r="D168">
            <v>17.48</v>
          </cell>
          <cell r="E168">
            <v>1.5</v>
          </cell>
          <cell r="I168">
            <v>3.45</v>
          </cell>
          <cell r="J168">
            <v>34.049999999999997</v>
          </cell>
          <cell r="K168">
            <v>37.5</v>
          </cell>
          <cell r="P168">
            <v>12</v>
          </cell>
        </row>
        <row r="169">
          <cell r="B169">
            <v>40</v>
          </cell>
          <cell r="C169">
            <v>36</v>
          </cell>
          <cell r="D169">
            <v>19.05</v>
          </cell>
          <cell r="E169">
            <v>2</v>
          </cell>
          <cell r="I169">
            <v>3.65</v>
          </cell>
          <cell r="J169">
            <v>41.34</v>
          </cell>
          <cell r="K169">
            <v>44.99</v>
          </cell>
          <cell r="P169">
            <v>12</v>
          </cell>
        </row>
        <row r="170">
          <cell r="B170" t="str">
            <v>40S</v>
          </cell>
          <cell r="C170">
            <v>0.125</v>
          </cell>
          <cell r="D170">
            <v>1.73</v>
          </cell>
          <cell r="E170">
            <v>1</v>
          </cell>
          <cell r="I170">
            <v>7.0000000000000007E-2</v>
          </cell>
          <cell r="K170">
            <v>7.0000000000000007E-2</v>
          </cell>
          <cell r="P170">
            <v>2</v>
          </cell>
        </row>
        <row r="171">
          <cell r="B171" t="str">
            <v>40S</v>
          </cell>
          <cell r="C171">
            <v>0.125</v>
          </cell>
          <cell r="D171">
            <v>1.73</v>
          </cell>
          <cell r="E171">
            <v>1</v>
          </cell>
          <cell r="I171">
            <v>7.0000000000000007E-2</v>
          </cell>
          <cell r="K171">
            <v>7.0000000000000007E-2</v>
          </cell>
          <cell r="P171">
            <v>2</v>
          </cell>
        </row>
        <row r="172">
          <cell r="B172" t="str">
            <v>40S</v>
          </cell>
          <cell r="C172">
            <v>0.125</v>
          </cell>
          <cell r="D172">
            <v>1.73</v>
          </cell>
          <cell r="E172">
            <v>1</v>
          </cell>
          <cell r="I172">
            <v>7.0000000000000007E-2</v>
          </cell>
          <cell r="K172">
            <v>7.0000000000000007E-2</v>
          </cell>
          <cell r="P172">
            <v>2</v>
          </cell>
        </row>
        <row r="173">
          <cell r="B173" t="str">
            <v>40S</v>
          </cell>
          <cell r="C173">
            <v>0.25</v>
          </cell>
          <cell r="D173">
            <v>2.2400000000000002</v>
          </cell>
          <cell r="E173">
            <v>1</v>
          </cell>
          <cell r="I173">
            <v>7.0000000000000007E-2</v>
          </cell>
          <cell r="K173">
            <v>7.0000000000000007E-2</v>
          </cell>
          <cell r="P173">
            <v>2</v>
          </cell>
        </row>
        <row r="174">
          <cell r="B174" t="str">
            <v>40S</v>
          </cell>
          <cell r="C174">
            <v>0.25</v>
          </cell>
          <cell r="D174">
            <v>2.2400000000000002</v>
          </cell>
          <cell r="E174">
            <v>1</v>
          </cell>
          <cell r="I174">
            <v>7.0000000000000007E-2</v>
          </cell>
          <cell r="K174">
            <v>7.0000000000000007E-2</v>
          </cell>
          <cell r="P174">
            <v>2</v>
          </cell>
        </row>
        <row r="175">
          <cell r="B175" t="str">
            <v>40S</v>
          </cell>
          <cell r="C175">
            <v>0.25</v>
          </cell>
          <cell r="D175">
            <v>2.2400000000000002</v>
          </cell>
          <cell r="E175">
            <v>1</v>
          </cell>
          <cell r="I175">
            <v>7.0000000000000007E-2</v>
          </cell>
          <cell r="K175">
            <v>7.0000000000000007E-2</v>
          </cell>
          <cell r="P175">
            <v>2</v>
          </cell>
        </row>
        <row r="176">
          <cell r="B176" t="str">
            <v>40S</v>
          </cell>
          <cell r="C176">
            <v>0.375</v>
          </cell>
          <cell r="D176">
            <v>2.31</v>
          </cell>
          <cell r="E176">
            <v>1</v>
          </cell>
          <cell r="I176">
            <v>7.0000000000000007E-2</v>
          </cell>
          <cell r="K176">
            <v>7.0000000000000007E-2</v>
          </cell>
          <cell r="P176">
            <v>2</v>
          </cell>
        </row>
        <row r="177">
          <cell r="B177" t="str">
            <v>40S</v>
          </cell>
          <cell r="C177">
            <v>0.375</v>
          </cell>
          <cell r="D177">
            <v>2.31</v>
          </cell>
          <cell r="E177">
            <v>1</v>
          </cell>
          <cell r="I177">
            <v>7.0000000000000007E-2</v>
          </cell>
          <cell r="K177">
            <v>7.0000000000000007E-2</v>
          </cell>
          <cell r="P177">
            <v>2</v>
          </cell>
        </row>
        <row r="178">
          <cell r="B178" t="str">
            <v>40S</v>
          </cell>
          <cell r="C178">
            <v>0.375</v>
          </cell>
          <cell r="D178">
            <v>2.31</v>
          </cell>
          <cell r="E178">
            <v>1</v>
          </cell>
          <cell r="I178">
            <v>7.0000000000000007E-2</v>
          </cell>
          <cell r="K178">
            <v>7.0000000000000007E-2</v>
          </cell>
          <cell r="P178">
            <v>2</v>
          </cell>
        </row>
        <row r="179">
          <cell r="B179" t="str">
            <v>40S</v>
          </cell>
          <cell r="C179">
            <v>0.5</v>
          </cell>
          <cell r="D179">
            <v>2.77</v>
          </cell>
          <cell r="E179">
            <v>1</v>
          </cell>
          <cell r="I179">
            <v>7.0000000000000007E-2</v>
          </cell>
          <cell r="J179">
            <v>0</v>
          </cell>
          <cell r="K179">
            <v>7.0000000000000007E-2</v>
          </cell>
          <cell r="P179">
            <v>2</v>
          </cell>
        </row>
        <row r="180">
          <cell r="B180" t="str">
            <v>40S</v>
          </cell>
          <cell r="C180">
            <v>0.5</v>
          </cell>
          <cell r="D180">
            <v>2.77</v>
          </cell>
          <cell r="E180">
            <v>1</v>
          </cell>
          <cell r="I180">
            <v>7.0000000000000007E-2</v>
          </cell>
          <cell r="J180">
            <v>0</v>
          </cell>
          <cell r="K180">
            <v>7.0000000000000007E-2</v>
          </cell>
          <cell r="P180">
            <v>2</v>
          </cell>
        </row>
        <row r="181">
          <cell r="B181" t="str">
            <v>40S</v>
          </cell>
          <cell r="C181">
            <v>0.5</v>
          </cell>
          <cell r="D181">
            <v>2.77</v>
          </cell>
          <cell r="E181">
            <v>1</v>
          </cell>
          <cell r="I181">
            <v>7.0000000000000007E-2</v>
          </cell>
          <cell r="J181">
            <v>0</v>
          </cell>
          <cell r="K181">
            <v>7.0000000000000007E-2</v>
          </cell>
          <cell r="P181">
            <v>2</v>
          </cell>
        </row>
        <row r="182">
          <cell r="B182" t="str">
            <v>40S</v>
          </cell>
          <cell r="C182">
            <v>0.75</v>
          </cell>
          <cell r="D182">
            <v>2.87</v>
          </cell>
          <cell r="E182">
            <v>1</v>
          </cell>
          <cell r="I182">
            <v>7.0000000000000007E-2</v>
          </cell>
          <cell r="J182">
            <v>0</v>
          </cell>
          <cell r="K182">
            <v>7.0000000000000007E-2</v>
          </cell>
          <cell r="P182">
            <v>2</v>
          </cell>
        </row>
        <row r="183">
          <cell r="B183" t="str">
            <v>40S</v>
          </cell>
          <cell r="C183">
            <v>0.75</v>
          </cell>
          <cell r="D183">
            <v>2.87</v>
          </cell>
          <cell r="E183">
            <v>1</v>
          </cell>
          <cell r="I183">
            <v>7.0000000000000007E-2</v>
          </cell>
          <cell r="J183">
            <v>0</v>
          </cell>
          <cell r="K183">
            <v>7.0000000000000007E-2</v>
          </cell>
          <cell r="P183">
            <v>2</v>
          </cell>
        </row>
        <row r="184">
          <cell r="B184" t="str">
            <v>40S</v>
          </cell>
          <cell r="C184">
            <v>0.75</v>
          </cell>
          <cell r="D184">
            <v>2.87</v>
          </cell>
          <cell r="E184">
            <v>1</v>
          </cell>
          <cell r="I184">
            <v>7.0000000000000007E-2</v>
          </cell>
          <cell r="J184">
            <v>0</v>
          </cell>
          <cell r="K184">
            <v>7.0000000000000007E-2</v>
          </cell>
          <cell r="P184">
            <v>2</v>
          </cell>
        </row>
        <row r="185">
          <cell r="B185" t="str">
            <v>40S</v>
          </cell>
          <cell r="C185">
            <v>1</v>
          </cell>
          <cell r="D185">
            <v>3.38</v>
          </cell>
          <cell r="E185">
            <v>1</v>
          </cell>
          <cell r="I185">
            <v>0.12</v>
          </cell>
          <cell r="J185">
            <v>0</v>
          </cell>
          <cell r="K185">
            <v>0.12</v>
          </cell>
          <cell r="P185">
            <v>2</v>
          </cell>
        </row>
        <row r="186">
          <cell r="B186" t="str">
            <v>40S</v>
          </cell>
          <cell r="C186">
            <v>1</v>
          </cell>
          <cell r="D186">
            <v>3.38</v>
          </cell>
          <cell r="E186">
            <v>1</v>
          </cell>
          <cell r="I186">
            <v>0.12</v>
          </cell>
          <cell r="J186">
            <v>0</v>
          </cell>
          <cell r="K186">
            <v>0.12</v>
          </cell>
          <cell r="P186">
            <v>2</v>
          </cell>
        </row>
        <row r="187">
          <cell r="B187" t="str">
            <v>40S</v>
          </cell>
          <cell r="C187">
            <v>1</v>
          </cell>
          <cell r="D187">
            <v>3.38</v>
          </cell>
          <cell r="E187">
            <v>1</v>
          </cell>
          <cell r="I187">
            <v>0.12</v>
          </cell>
          <cell r="J187">
            <v>0</v>
          </cell>
          <cell r="K187">
            <v>0.12</v>
          </cell>
          <cell r="P187">
            <v>2</v>
          </cell>
        </row>
        <row r="188">
          <cell r="B188" t="str">
            <v>40S</v>
          </cell>
          <cell r="C188">
            <v>1.25</v>
          </cell>
          <cell r="D188">
            <v>3.56</v>
          </cell>
          <cell r="E188">
            <v>1</v>
          </cell>
          <cell r="I188">
            <v>0.15</v>
          </cell>
          <cell r="K188">
            <v>0.15</v>
          </cell>
          <cell r="P188">
            <v>2</v>
          </cell>
        </row>
        <row r="189">
          <cell r="B189" t="str">
            <v>40S</v>
          </cell>
          <cell r="C189">
            <v>1.25</v>
          </cell>
          <cell r="D189">
            <v>3.56</v>
          </cell>
          <cell r="E189">
            <v>1</v>
          </cell>
          <cell r="I189">
            <v>0.15</v>
          </cell>
          <cell r="K189">
            <v>0.15</v>
          </cell>
          <cell r="P189">
            <v>2</v>
          </cell>
        </row>
        <row r="190">
          <cell r="B190" t="str">
            <v>40S</v>
          </cell>
          <cell r="C190">
            <v>1.25</v>
          </cell>
          <cell r="D190">
            <v>3.56</v>
          </cell>
          <cell r="E190">
            <v>1</v>
          </cell>
          <cell r="I190">
            <v>0.15</v>
          </cell>
          <cell r="K190">
            <v>0.15</v>
          </cell>
          <cell r="P190">
            <v>2</v>
          </cell>
        </row>
        <row r="191">
          <cell r="B191" t="str">
            <v>40S</v>
          </cell>
          <cell r="C191">
            <v>1.5</v>
          </cell>
          <cell r="D191">
            <v>3.68</v>
          </cell>
          <cell r="E191">
            <v>1</v>
          </cell>
          <cell r="I191">
            <v>0.15</v>
          </cell>
          <cell r="J191">
            <v>0</v>
          </cell>
          <cell r="K191">
            <v>0.15</v>
          </cell>
          <cell r="P191">
            <v>2</v>
          </cell>
        </row>
        <row r="192">
          <cell r="B192" t="str">
            <v>40S</v>
          </cell>
          <cell r="C192">
            <v>1.5</v>
          </cell>
          <cell r="D192">
            <v>3.68</v>
          </cell>
          <cell r="E192">
            <v>1</v>
          </cell>
          <cell r="I192">
            <v>0.15</v>
          </cell>
          <cell r="J192">
            <v>0</v>
          </cell>
          <cell r="K192">
            <v>0.15</v>
          </cell>
          <cell r="P192">
            <v>2</v>
          </cell>
        </row>
        <row r="193">
          <cell r="B193" t="str">
            <v>40S</v>
          </cell>
          <cell r="C193">
            <v>1.5</v>
          </cell>
          <cell r="D193">
            <v>3.68</v>
          </cell>
          <cell r="E193">
            <v>1</v>
          </cell>
          <cell r="I193">
            <v>0.15</v>
          </cell>
          <cell r="J193">
            <v>0</v>
          </cell>
          <cell r="K193">
            <v>0.15</v>
          </cell>
          <cell r="P193">
            <v>2</v>
          </cell>
        </row>
        <row r="194">
          <cell r="B194" t="str">
            <v>40S</v>
          </cell>
          <cell r="C194">
            <v>2</v>
          </cell>
          <cell r="D194">
            <v>3.91</v>
          </cell>
          <cell r="E194">
            <v>1</v>
          </cell>
          <cell r="I194">
            <v>0.3</v>
          </cell>
          <cell r="J194">
            <v>0</v>
          </cell>
          <cell r="K194">
            <v>0.3</v>
          </cell>
          <cell r="P194">
            <v>2</v>
          </cell>
        </row>
        <row r="195">
          <cell r="B195" t="str">
            <v>40S</v>
          </cell>
          <cell r="C195">
            <v>2</v>
          </cell>
          <cell r="D195">
            <v>3.91</v>
          </cell>
          <cell r="E195">
            <v>1</v>
          </cell>
          <cell r="I195">
            <v>0.3</v>
          </cell>
          <cell r="J195">
            <v>0</v>
          </cell>
          <cell r="K195">
            <v>0.3</v>
          </cell>
          <cell r="P195">
            <v>2</v>
          </cell>
        </row>
        <row r="196">
          <cell r="B196" t="str">
            <v>40S</v>
          </cell>
          <cell r="C196">
            <v>2</v>
          </cell>
          <cell r="D196">
            <v>3.91</v>
          </cell>
          <cell r="E196">
            <v>1</v>
          </cell>
          <cell r="I196">
            <v>0.3</v>
          </cell>
          <cell r="J196">
            <v>0</v>
          </cell>
          <cell r="K196">
            <v>0.3</v>
          </cell>
          <cell r="P196">
            <v>2</v>
          </cell>
        </row>
        <row r="197">
          <cell r="B197" t="str">
            <v>40S</v>
          </cell>
          <cell r="C197">
            <v>2.5</v>
          </cell>
          <cell r="D197">
            <v>5.16</v>
          </cell>
          <cell r="E197">
            <v>1</v>
          </cell>
          <cell r="I197">
            <v>0.25</v>
          </cell>
          <cell r="J197">
            <v>0.2</v>
          </cell>
          <cell r="K197">
            <v>0.45</v>
          </cell>
          <cell r="P197">
            <v>2</v>
          </cell>
        </row>
        <row r="198">
          <cell r="B198" t="str">
            <v>40S</v>
          </cell>
          <cell r="C198">
            <v>3</v>
          </cell>
          <cell r="D198">
            <v>5.49</v>
          </cell>
          <cell r="E198">
            <v>1</v>
          </cell>
          <cell r="I198">
            <v>0.3</v>
          </cell>
          <cell r="J198">
            <v>0.3</v>
          </cell>
          <cell r="K198">
            <v>0.6</v>
          </cell>
          <cell r="P198">
            <v>2</v>
          </cell>
        </row>
        <row r="199">
          <cell r="B199" t="str">
            <v>40S</v>
          </cell>
          <cell r="C199">
            <v>3.5</v>
          </cell>
          <cell r="D199">
            <v>5.74</v>
          </cell>
          <cell r="E199">
            <v>1</v>
          </cell>
          <cell r="I199">
            <v>0.35</v>
          </cell>
          <cell r="J199">
            <v>0.4</v>
          </cell>
          <cell r="K199">
            <v>0.75</v>
          </cell>
          <cell r="P199">
            <v>3</v>
          </cell>
        </row>
        <row r="200">
          <cell r="B200" t="str">
            <v>40S</v>
          </cell>
          <cell r="C200">
            <v>4</v>
          </cell>
          <cell r="D200">
            <v>6.02</v>
          </cell>
          <cell r="E200">
            <v>1</v>
          </cell>
          <cell r="I200">
            <v>0.41</v>
          </cell>
          <cell r="J200">
            <v>0.49</v>
          </cell>
          <cell r="K200">
            <v>0.89999999999999991</v>
          </cell>
          <cell r="P200">
            <v>3</v>
          </cell>
        </row>
        <row r="201">
          <cell r="B201" t="str">
            <v>40S</v>
          </cell>
          <cell r="C201">
            <v>5</v>
          </cell>
          <cell r="D201">
            <v>6.55</v>
          </cell>
          <cell r="E201">
            <v>1</v>
          </cell>
          <cell r="I201">
            <v>0.51</v>
          </cell>
          <cell r="J201">
            <v>0.54</v>
          </cell>
          <cell r="K201">
            <v>1.05</v>
          </cell>
          <cell r="P201">
            <v>4</v>
          </cell>
        </row>
        <row r="202">
          <cell r="B202" t="str">
            <v>40S</v>
          </cell>
          <cell r="C202">
            <v>6</v>
          </cell>
          <cell r="D202">
            <v>7.11</v>
          </cell>
          <cell r="E202">
            <v>1</v>
          </cell>
          <cell r="I202">
            <v>0.61</v>
          </cell>
          <cell r="J202">
            <v>1.04</v>
          </cell>
          <cell r="K202">
            <v>1.65</v>
          </cell>
          <cell r="P202">
            <v>4</v>
          </cell>
        </row>
        <row r="203">
          <cell r="B203" t="str">
            <v>40S</v>
          </cell>
          <cell r="C203">
            <v>8</v>
          </cell>
          <cell r="D203">
            <v>8.18</v>
          </cell>
          <cell r="E203">
            <v>1</v>
          </cell>
          <cell r="I203">
            <v>0.81</v>
          </cell>
          <cell r="J203">
            <v>1.73</v>
          </cell>
          <cell r="K203">
            <v>2.54</v>
          </cell>
          <cell r="P203">
            <v>4</v>
          </cell>
        </row>
        <row r="204">
          <cell r="B204" t="str">
            <v>40S</v>
          </cell>
          <cell r="C204">
            <v>10</v>
          </cell>
          <cell r="D204">
            <v>9.27</v>
          </cell>
          <cell r="E204">
            <v>1</v>
          </cell>
          <cell r="I204">
            <v>1.01</v>
          </cell>
          <cell r="J204">
            <v>3.04</v>
          </cell>
          <cell r="K204">
            <v>4.05</v>
          </cell>
          <cell r="P204">
            <v>4</v>
          </cell>
        </row>
        <row r="205">
          <cell r="B205" t="str">
            <v>40S</v>
          </cell>
          <cell r="C205">
            <v>12</v>
          </cell>
          <cell r="D205">
            <v>9.5299999999999994</v>
          </cell>
          <cell r="E205">
            <v>1</v>
          </cell>
          <cell r="I205">
            <v>1.22</v>
          </cell>
          <cell r="J205">
            <v>3.28</v>
          </cell>
          <cell r="K205">
            <v>4.5</v>
          </cell>
          <cell r="P205">
            <v>6</v>
          </cell>
        </row>
        <row r="206">
          <cell r="B206">
            <v>60</v>
          </cell>
          <cell r="C206">
            <v>8</v>
          </cell>
          <cell r="D206">
            <v>10.31</v>
          </cell>
          <cell r="E206">
            <v>1.25</v>
          </cell>
          <cell r="I206">
            <v>0.81</v>
          </cell>
          <cell r="J206">
            <v>2.64</v>
          </cell>
          <cell r="K206">
            <v>3.45</v>
          </cell>
          <cell r="P206">
            <v>4</v>
          </cell>
        </row>
        <row r="207">
          <cell r="B207">
            <v>60</v>
          </cell>
          <cell r="C207">
            <v>10</v>
          </cell>
          <cell r="D207">
            <v>12.7</v>
          </cell>
          <cell r="E207">
            <v>1.25</v>
          </cell>
          <cell r="I207">
            <v>1.01</v>
          </cell>
          <cell r="J207">
            <v>5.74</v>
          </cell>
          <cell r="K207">
            <v>6.75</v>
          </cell>
          <cell r="P207">
            <v>4</v>
          </cell>
        </row>
        <row r="208">
          <cell r="B208">
            <v>60</v>
          </cell>
          <cell r="C208">
            <v>12</v>
          </cell>
          <cell r="D208">
            <v>14.27</v>
          </cell>
          <cell r="E208">
            <v>1.25</v>
          </cell>
          <cell r="I208">
            <v>1.22</v>
          </cell>
          <cell r="J208">
            <v>8.3800000000000008</v>
          </cell>
          <cell r="K208">
            <v>9.6000000000000014</v>
          </cell>
          <cell r="P208">
            <v>6</v>
          </cell>
        </row>
        <row r="209">
          <cell r="B209">
            <v>60</v>
          </cell>
          <cell r="C209">
            <v>14</v>
          </cell>
          <cell r="D209">
            <v>15.09</v>
          </cell>
          <cell r="E209">
            <v>1.5</v>
          </cell>
          <cell r="I209">
            <v>1.42</v>
          </cell>
          <cell r="J209">
            <v>9.9700000000000006</v>
          </cell>
          <cell r="K209">
            <v>11.39</v>
          </cell>
          <cell r="P209">
            <v>6</v>
          </cell>
        </row>
        <row r="210">
          <cell r="B210">
            <v>60</v>
          </cell>
          <cell r="C210">
            <v>16</v>
          </cell>
          <cell r="D210">
            <v>16.66</v>
          </cell>
          <cell r="E210">
            <v>1.5</v>
          </cell>
          <cell r="I210">
            <v>1.62</v>
          </cell>
          <cell r="J210">
            <v>14.88</v>
          </cell>
          <cell r="K210">
            <v>16.5</v>
          </cell>
          <cell r="P210">
            <v>6</v>
          </cell>
        </row>
        <row r="211">
          <cell r="B211">
            <v>60</v>
          </cell>
          <cell r="C211">
            <v>18</v>
          </cell>
          <cell r="D211">
            <v>19.05</v>
          </cell>
          <cell r="E211">
            <v>2</v>
          </cell>
          <cell r="I211">
            <v>1.82</v>
          </cell>
          <cell r="J211">
            <v>20.67</v>
          </cell>
          <cell r="K211">
            <v>22.490000000000002</v>
          </cell>
          <cell r="P211">
            <v>6</v>
          </cell>
        </row>
        <row r="212">
          <cell r="B212">
            <v>60</v>
          </cell>
          <cell r="C212">
            <v>20</v>
          </cell>
          <cell r="D212">
            <v>20.62</v>
          </cell>
          <cell r="E212">
            <v>2</v>
          </cell>
          <cell r="I212">
            <v>2.0299999999999998</v>
          </cell>
          <cell r="J212">
            <v>23.47</v>
          </cell>
          <cell r="K212">
            <v>25.5</v>
          </cell>
          <cell r="P212">
            <v>7</v>
          </cell>
        </row>
        <row r="213">
          <cell r="B213">
            <v>60</v>
          </cell>
          <cell r="C213">
            <v>22</v>
          </cell>
          <cell r="D213">
            <v>22.23</v>
          </cell>
          <cell r="E213">
            <v>2</v>
          </cell>
          <cell r="I213">
            <v>2.23</v>
          </cell>
          <cell r="J213">
            <v>29.27</v>
          </cell>
          <cell r="K213">
            <v>31.5</v>
          </cell>
          <cell r="P213">
            <v>8</v>
          </cell>
        </row>
        <row r="214">
          <cell r="B214">
            <v>60</v>
          </cell>
          <cell r="C214">
            <v>24</v>
          </cell>
          <cell r="D214">
            <v>24.61</v>
          </cell>
          <cell r="E214">
            <v>2</v>
          </cell>
          <cell r="I214">
            <v>2.4300000000000002</v>
          </cell>
          <cell r="J214">
            <v>35.07</v>
          </cell>
          <cell r="K214">
            <v>37.5</v>
          </cell>
          <cell r="P214">
            <v>8</v>
          </cell>
        </row>
        <row r="215">
          <cell r="B215">
            <v>80</v>
          </cell>
          <cell r="C215">
            <v>0.125</v>
          </cell>
          <cell r="D215">
            <v>2.41</v>
          </cell>
          <cell r="E215">
            <v>1</v>
          </cell>
          <cell r="I215">
            <v>7.0000000000000007E-2</v>
          </cell>
          <cell r="K215">
            <v>7.0000000000000007E-2</v>
          </cell>
          <cell r="P215">
            <v>2</v>
          </cell>
        </row>
        <row r="216">
          <cell r="B216">
            <v>80</v>
          </cell>
          <cell r="C216">
            <v>0.125</v>
          </cell>
          <cell r="D216">
            <v>2.41</v>
          </cell>
          <cell r="E216">
            <v>1</v>
          </cell>
          <cell r="I216">
            <v>7.0000000000000007E-2</v>
          </cell>
          <cell r="K216">
            <v>7.0000000000000007E-2</v>
          </cell>
          <cell r="P216">
            <v>2</v>
          </cell>
        </row>
        <row r="217">
          <cell r="B217">
            <v>80</v>
          </cell>
          <cell r="C217">
            <v>0.125</v>
          </cell>
          <cell r="D217">
            <v>2.41</v>
          </cell>
          <cell r="E217">
            <v>1</v>
          </cell>
          <cell r="I217">
            <v>7.0000000000000007E-2</v>
          </cell>
          <cell r="K217">
            <v>7.0000000000000007E-2</v>
          </cell>
          <cell r="P217">
            <v>2</v>
          </cell>
        </row>
        <row r="218">
          <cell r="B218">
            <v>80</v>
          </cell>
          <cell r="C218">
            <v>0.25</v>
          </cell>
          <cell r="D218">
            <v>3.02</v>
          </cell>
          <cell r="E218">
            <v>1</v>
          </cell>
          <cell r="I218">
            <v>7.0000000000000007E-2</v>
          </cell>
          <cell r="K218">
            <v>7.0000000000000007E-2</v>
          </cell>
          <cell r="P218">
            <v>2</v>
          </cell>
        </row>
        <row r="219">
          <cell r="B219">
            <v>80</v>
          </cell>
          <cell r="C219">
            <v>0.25</v>
          </cell>
          <cell r="D219">
            <v>3.02</v>
          </cell>
          <cell r="E219">
            <v>1</v>
          </cell>
          <cell r="I219">
            <v>7.0000000000000007E-2</v>
          </cell>
          <cell r="K219">
            <v>7.0000000000000007E-2</v>
          </cell>
          <cell r="P219">
            <v>2</v>
          </cell>
        </row>
        <row r="220">
          <cell r="B220">
            <v>80</v>
          </cell>
          <cell r="C220">
            <v>0.25</v>
          </cell>
          <cell r="D220">
            <v>3.02</v>
          </cell>
          <cell r="E220">
            <v>1</v>
          </cell>
          <cell r="I220">
            <v>7.0000000000000007E-2</v>
          </cell>
          <cell r="K220">
            <v>7.0000000000000007E-2</v>
          </cell>
          <cell r="P220">
            <v>2</v>
          </cell>
        </row>
        <row r="221">
          <cell r="B221">
            <v>80</v>
          </cell>
          <cell r="C221">
            <v>0.375</v>
          </cell>
          <cell r="D221">
            <v>3.2</v>
          </cell>
          <cell r="E221">
            <v>1</v>
          </cell>
          <cell r="I221">
            <v>7.0000000000000007E-2</v>
          </cell>
          <cell r="J221">
            <v>0</v>
          </cell>
          <cell r="K221">
            <v>7.0000000000000007E-2</v>
          </cell>
          <cell r="P221">
            <v>2</v>
          </cell>
        </row>
        <row r="222">
          <cell r="B222">
            <v>80</v>
          </cell>
          <cell r="C222">
            <v>0.375</v>
          </cell>
          <cell r="D222">
            <v>3.2</v>
          </cell>
          <cell r="E222">
            <v>1</v>
          </cell>
          <cell r="I222">
            <v>7.0000000000000007E-2</v>
          </cell>
          <cell r="J222">
            <v>0</v>
          </cell>
          <cell r="K222">
            <v>7.0000000000000007E-2</v>
          </cell>
          <cell r="P222">
            <v>2</v>
          </cell>
        </row>
        <row r="223">
          <cell r="B223">
            <v>80</v>
          </cell>
          <cell r="C223">
            <v>0.375</v>
          </cell>
          <cell r="D223">
            <v>3.2</v>
          </cell>
          <cell r="E223">
            <v>1</v>
          </cell>
          <cell r="I223">
            <v>7.0000000000000007E-2</v>
          </cell>
          <cell r="J223">
            <v>0</v>
          </cell>
          <cell r="K223">
            <v>7.0000000000000007E-2</v>
          </cell>
          <cell r="P223">
            <v>2</v>
          </cell>
        </row>
        <row r="224">
          <cell r="B224">
            <v>80</v>
          </cell>
          <cell r="C224">
            <v>0.5</v>
          </cell>
          <cell r="D224">
            <v>3.73</v>
          </cell>
          <cell r="E224">
            <v>1</v>
          </cell>
          <cell r="I224">
            <v>7.0000000000000007E-2</v>
          </cell>
          <cell r="J224">
            <v>0</v>
          </cell>
          <cell r="K224">
            <v>7.0000000000000007E-2</v>
          </cell>
          <cell r="P224">
            <v>2</v>
          </cell>
        </row>
        <row r="225">
          <cell r="B225">
            <v>80</v>
          </cell>
          <cell r="C225">
            <v>0.5</v>
          </cell>
          <cell r="D225">
            <v>3.73</v>
          </cell>
          <cell r="E225">
            <v>1</v>
          </cell>
          <cell r="I225">
            <v>7.0000000000000007E-2</v>
          </cell>
          <cell r="J225">
            <v>0</v>
          </cell>
          <cell r="K225">
            <v>7.0000000000000007E-2</v>
          </cell>
          <cell r="P225">
            <v>2</v>
          </cell>
        </row>
        <row r="226">
          <cell r="B226">
            <v>80</v>
          </cell>
          <cell r="C226">
            <v>0.5</v>
          </cell>
          <cell r="D226">
            <v>3.73</v>
          </cell>
          <cell r="E226">
            <v>1</v>
          </cell>
          <cell r="I226">
            <v>7.0000000000000007E-2</v>
          </cell>
          <cell r="J226">
            <v>0</v>
          </cell>
          <cell r="K226">
            <v>7.0000000000000007E-2</v>
          </cell>
          <cell r="P226">
            <v>2</v>
          </cell>
        </row>
        <row r="227">
          <cell r="B227">
            <v>80</v>
          </cell>
          <cell r="C227">
            <v>0.75</v>
          </cell>
          <cell r="D227">
            <v>3.91</v>
          </cell>
          <cell r="E227">
            <v>1</v>
          </cell>
          <cell r="I227">
            <v>7.0000000000000007E-2</v>
          </cell>
          <cell r="J227">
            <v>0</v>
          </cell>
          <cell r="K227">
            <v>7.0000000000000007E-2</v>
          </cell>
          <cell r="P227">
            <v>2</v>
          </cell>
        </row>
        <row r="228">
          <cell r="B228">
            <v>80</v>
          </cell>
          <cell r="C228">
            <v>0.75</v>
          </cell>
          <cell r="D228">
            <v>3.91</v>
          </cell>
          <cell r="E228">
            <v>1</v>
          </cell>
          <cell r="I228">
            <v>7.0000000000000007E-2</v>
          </cell>
          <cell r="J228">
            <v>0</v>
          </cell>
          <cell r="K228">
            <v>7.0000000000000007E-2</v>
          </cell>
          <cell r="P228">
            <v>2</v>
          </cell>
        </row>
        <row r="229">
          <cell r="B229">
            <v>80</v>
          </cell>
          <cell r="C229">
            <v>0.75</v>
          </cell>
          <cell r="D229">
            <v>3.91</v>
          </cell>
          <cell r="E229">
            <v>1</v>
          </cell>
          <cell r="I229">
            <v>7.0000000000000007E-2</v>
          </cell>
          <cell r="J229">
            <v>0</v>
          </cell>
          <cell r="K229">
            <v>7.0000000000000007E-2</v>
          </cell>
          <cell r="P229">
            <v>2</v>
          </cell>
        </row>
        <row r="230">
          <cell r="B230">
            <v>80</v>
          </cell>
          <cell r="C230">
            <v>1</v>
          </cell>
          <cell r="D230">
            <v>4.55</v>
          </cell>
          <cell r="E230">
            <v>1</v>
          </cell>
          <cell r="I230">
            <v>0.15</v>
          </cell>
          <cell r="J230">
            <v>0</v>
          </cell>
          <cell r="K230">
            <v>0.15</v>
          </cell>
          <cell r="P230">
            <v>2</v>
          </cell>
        </row>
        <row r="231">
          <cell r="B231">
            <v>80</v>
          </cell>
          <cell r="C231">
            <v>1</v>
          </cell>
          <cell r="D231">
            <v>4.55</v>
          </cell>
          <cell r="E231">
            <v>1</v>
          </cell>
          <cell r="I231">
            <v>0.15</v>
          </cell>
          <cell r="J231">
            <v>0</v>
          </cell>
          <cell r="K231">
            <v>0.15</v>
          </cell>
          <cell r="P231">
            <v>2</v>
          </cell>
        </row>
        <row r="232">
          <cell r="B232">
            <v>80</v>
          </cell>
          <cell r="C232">
            <v>1</v>
          </cell>
          <cell r="D232">
            <v>4.55</v>
          </cell>
          <cell r="E232">
            <v>1</v>
          </cell>
          <cell r="I232">
            <v>0.15</v>
          </cell>
          <cell r="J232">
            <v>0</v>
          </cell>
          <cell r="K232">
            <v>0.15</v>
          </cell>
          <cell r="P232">
            <v>2</v>
          </cell>
        </row>
        <row r="233">
          <cell r="B233">
            <v>80</v>
          </cell>
          <cell r="C233">
            <v>1.25</v>
          </cell>
          <cell r="D233">
            <v>4.8499999999999996</v>
          </cell>
          <cell r="E233">
            <v>1</v>
          </cell>
          <cell r="I233">
            <v>0.13</v>
          </cell>
          <cell r="J233">
            <v>0.17</v>
          </cell>
          <cell r="K233">
            <v>0.30000000000000004</v>
          </cell>
          <cell r="P233">
            <v>2</v>
          </cell>
        </row>
        <row r="234">
          <cell r="B234">
            <v>80</v>
          </cell>
          <cell r="C234">
            <v>1.25</v>
          </cell>
          <cell r="D234">
            <v>4.8499999999999996</v>
          </cell>
          <cell r="E234">
            <v>1</v>
          </cell>
          <cell r="I234">
            <v>0.13</v>
          </cell>
          <cell r="J234">
            <v>0.17</v>
          </cell>
          <cell r="K234">
            <v>0.30000000000000004</v>
          </cell>
          <cell r="P234">
            <v>2</v>
          </cell>
        </row>
        <row r="235">
          <cell r="B235">
            <v>80</v>
          </cell>
          <cell r="C235">
            <v>1.25</v>
          </cell>
          <cell r="D235">
            <v>4.8499999999999996</v>
          </cell>
          <cell r="E235">
            <v>1</v>
          </cell>
          <cell r="I235">
            <v>0.13</v>
          </cell>
          <cell r="J235">
            <v>0.17</v>
          </cell>
          <cell r="K235">
            <v>0.30000000000000004</v>
          </cell>
          <cell r="P235">
            <v>2</v>
          </cell>
        </row>
        <row r="236">
          <cell r="B236">
            <v>80</v>
          </cell>
          <cell r="C236">
            <v>1.5</v>
          </cell>
          <cell r="D236">
            <v>5.08</v>
          </cell>
          <cell r="E236">
            <v>1</v>
          </cell>
          <cell r="I236">
            <v>0.15</v>
          </cell>
          <cell r="J236">
            <v>0.15</v>
          </cell>
          <cell r="K236">
            <v>0.3</v>
          </cell>
          <cell r="P236">
            <v>2</v>
          </cell>
        </row>
        <row r="237">
          <cell r="B237">
            <v>80</v>
          </cell>
          <cell r="C237">
            <v>1.5</v>
          </cell>
          <cell r="D237">
            <v>5.08</v>
          </cell>
          <cell r="E237">
            <v>1</v>
          </cell>
          <cell r="I237">
            <v>0.15</v>
          </cell>
          <cell r="J237">
            <v>0.15</v>
          </cell>
          <cell r="K237">
            <v>0.3</v>
          </cell>
          <cell r="P237">
            <v>2</v>
          </cell>
        </row>
        <row r="238">
          <cell r="B238">
            <v>80</v>
          </cell>
          <cell r="C238">
            <v>1.5</v>
          </cell>
          <cell r="D238">
            <v>5.08</v>
          </cell>
          <cell r="E238">
            <v>1</v>
          </cell>
          <cell r="I238">
            <v>0.15</v>
          </cell>
          <cell r="J238">
            <v>0.15</v>
          </cell>
          <cell r="K238">
            <v>0.3</v>
          </cell>
          <cell r="P238">
            <v>2</v>
          </cell>
        </row>
        <row r="239">
          <cell r="B239">
            <v>80</v>
          </cell>
          <cell r="C239">
            <v>2</v>
          </cell>
          <cell r="D239">
            <v>5.54</v>
          </cell>
          <cell r="E239">
            <v>1</v>
          </cell>
          <cell r="I239">
            <v>0.2</v>
          </cell>
          <cell r="J239">
            <v>0.25</v>
          </cell>
          <cell r="K239">
            <v>0.45</v>
          </cell>
          <cell r="P239">
            <v>2</v>
          </cell>
        </row>
        <row r="240">
          <cell r="B240">
            <v>80</v>
          </cell>
          <cell r="C240">
            <v>2</v>
          </cell>
          <cell r="D240">
            <v>5.54</v>
          </cell>
          <cell r="E240">
            <v>1</v>
          </cell>
          <cell r="I240">
            <v>0.2</v>
          </cell>
          <cell r="J240">
            <v>0.25</v>
          </cell>
          <cell r="K240">
            <v>0.45</v>
          </cell>
          <cell r="P240">
            <v>2</v>
          </cell>
        </row>
        <row r="241">
          <cell r="B241">
            <v>80</v>
          </cell>
          <cell r="C241">
            <v>2</v>
          </cell>
          <cell r="D241">
            <v>5.54</v>
          </cell>
          <cell r="E241">
            <v>1</v>
          </cell>
          <cell r="I241">
            <v>0.2</v>
          </cell>
          <cell r="J241">
            <v>0.25</v>
          </cell>
          <cell r="K241">
            <v>0.45</v>
          </cell>
          <cell r="P241">
            <v>2</v>
          </cell>
        </row>
        <row r="242">
          <cell r="B242">
            <v>80</v>
          </cell>
          <cell r="C242">
            <v>2.5</v>
          </cell>
          <cell r="D242">
            <v>7.01</v>
          </cell>
          <cell r="E242">
            <v>1</v>
          </cell>
          <cell r="I242">
            <v>0.25</v>
          </cell>
          <cell r="J242">
            <v>0.5</v>
          </cell>
          <cell r="K242">
            <v>0.75</v>
          </cell>
          <cell r="P242">
            <v>2</v>
          </cell>
        </row>
        <row r="243">
          <cell r="B243">
            <v>80</v>
          </cell>
          <cell r="C243">
            <v>3</v>
          </cell>
          <cell r="D243">
            <v>7.62</v>
          </cell>
          <cell r="E243">
            <v>1</v>
          </cell>
          <cell r="I243">
            <v>0.3</v>
          </cell>
          <cell r="J243">
            <v>0.6</v>
          </cell>
          <cell r="K243">
            <v>0.89999999999999991</v>
          </cell>
          <cell r="P243">
            <v>2</v>
          </cell>
        </row>
        <row r="244">
          <cell r="B244">
            <v>80</v>
          </cell>
          <cell r="C244">
            <v>3.5</v>
          </cell>
          <cell r="D244">
            <v>8.08</v>
          </cell>
          <cell r="E244">
            <v>1</v>
          </cell>
          <cell r="I244">
            <v>0.35</v>
          </cell>
          <cell r="J244">
            <v>0.85</v>
          </cell>
          <cell r="K244">
            <v>1.2</v>
          </cell>
          <cell r="P244">
            <v>3</v>
          </cell>
        </row>
        <row r="245">
          <cell r="B245">
            <v>80</v>
          </cell>
          <cell r="C245">
            <v>4</v>
          </cell>
          <cell r="D245">
            <v>8.56</v>
          </cell>
          <cell r="E245">
            <v>1</v>
          </cell>
          <cell r="I245">
            <v>0.41</v>
          </cell>
          <cell r="J245">
            <v>0.93</v>
          </cell>
          <cell r="K245">
            <v>1.34</v>
          </cell>
          <cell r="P245">
            <v>3</v>
          </cell>
        </row>
        <row r="246">
          <cell r="B246">
            <v>80</v>
          </cell>
          <cell r="C246">
            <v>5</v>
          </cell>
          <cell r="D246">
            <v>9.5299999999999994</v>
          </cell>
          <cell r="E246">
            <v>1</v>
          </cell>
          <cell r="I246">
            <v>0.51</v>
          </cell>
          <cell r="J246">
            <v>1.59</v>
          </cell>
          <cell r="K246">
            <v>2.1</v>
          </cell>
          <cell r="P246">
            <v>4</v>
          </cell>
        </row>
        <row r="247">
          <cell r="B247">
            <v>80</v>
          </cell>
          <cell r="C247">
            <v>6</v>
          </cell>
          <cell r="D247">
            <v>10.97</v>
          </cell>
          <cell r="E247">
            <v>1.25</v>
          </cell>
          <cell r="I247">
            <v>0.61</v>
          </cell>
          <cell r="J247">
            <v>2.69</v>
          </cell>
          <cell r="K247">
            <v>3.3</v>
          </cell>
          <cell r="P247">
            <v>4</v>
          </cell>
        </row>
        <row r="248">
          <cell r="B248">
            <v>80</v>
          </cell>
          <cell r="C248">
            <v>8</v>
          </cell>
          <cell r="D248">
            <v>12.7</v>
          </cell>
          <cell r="E248">
            <v>1.25</v>
          </cell>
          <cell r="I248">
            <v>0.81</v>
          </cell>
          <cell r="J248">
            <v>4.58</v>
          </cell>
          <cell r="K248">
            <v>5.3900000000000006</v>
          </cell>
          <cell r="P248">
            <v>4</v>
          </cell>
        </row>
        <row r="249">
          <cell r="B249">
            <v>80</v>
          </cell>
          <cell r="C249">
            <v>10</v>
          </cell>
          <cell r="D249">
            <v>15.09</v>
          </cell>
          <cell r="E249">
            <v>1.5</v>
          </cell>
          <cell r="I249">
            <v>1.01</v>
          </cell>
          <cell r="J249">
            <v>7.99</v>
          </cell>
          <cell r="K249">
            <v>9</v>
          </cell>
          <cell r="P249">
            <v>4</v>
          </cell>
        </row>
        <row r="250">
          <cell r="B250">
            <v>80</v>
          </cell>
          <cell r="C250">
            <v>12</v>
          </cell>
          <cell r="D250">
            <v>17.48</v>
          </cell>
          <cell r="E250">
            <v>1.5</v>
          </cell>
          <cell r="I250">
            <v>1.22</v>
          </cell>
          <cell r="J250">
            <v>11.68</v>
          </cell>
          <cell r="K250">
            <v>12.9</v>
          </cell>
          <cell r="P250">
            <v>6</v>
          </cell>
        </row>
        <row r="251">
          <cell r="B251">
            <v>80</v>
          </cell>
          <cell r="C251">
            <v>14</v>
          </cell>
          <cell r="D251">
            <v>19.05</v>
          </cell>
          <cell r="E251">
            <v>2</v>
          </cell>
          <cell r="I251">
            <v>1.42</v>
          </cell>
          <cell r="J251">
            <v>12.68</v>
          </cell>
          <cell r="K251">
            <v>14.1</v>
          </cell>
          <cell r="P251">
            <v>6</v>
          </cell>
        </row>
        <row r="252">
          <cell r="B252">
            <v>80</v>
          </cell>
          <cell r="C252">
            <v>16</v>
          </cell>
          <cell r="D252">
            <v>21.44</v>
          </cell>
          <cell r="E252">
            <v>2</v>
          </cell>
          <cell r="I252">
            <v>1.62</v>
          </cell>
          <cell r="J252">
            <v>19.37</v>
          </cell>
          <cell r="K252">
            <v>20.990000000000002</v>
          </cell>
          <cell r="P252">
            <v>6</v>
          </cell>
        </row>
        <row r="253">
          <cell r="B253">
            <v>80</v>
          </cell>
          <cell r="C253">
            <v>18</v>
          </cell>
          <cell r="D253">
            <v>23.83</v>
          </cell>
          <cell r="E253">
            <v>2</v>
          </cell>
          <cell r="I253">
            <v>1.82</v>
          </cell>
          <cell r="J253">
            <v>26.68</v>
          </cell>
          <cell r="K253">
            <v>28.5</v>
          </cell>
          <cell r="P253">
            <v>6</v>
          </cell>
        </row>
        <row r="254">
          <cell r="B254">
            <v>80</v>
          </cell>
          <cell r="C254">
            <v>20</v>
          </cell>
          <cell r="D254">
            <v>26.19</v>
          </cell>
          <cell r="E254" t="str">
            <v>N</v>
          </cell>
          <cell r="I254">
            <v>2.0299999999999998</v>
          </cell>
          <cell r="J254">
            <v>36.96</v>
          </cell>
          <cell r="K254">
            <v>38.99</v>
          </cell>
          <cell r="P254">
            <v>7</v>
          </cell>
        </row>
        <row r="255">
          <cell r="B255">
            <v>80</v>
          </cell>
          <cell r="C255">
            <v>22</v>
          </cell>
          <cell r="D255">
            <v>28.58</v>
          </cell>
          <cell r="E255" t="str">
            <v>N</v>
          </cell>
          <cell r="I255">
            <v>2.23</v>
          </cell>
          <cell r="J255">
            <v>45.77</v>
          </cell>
          <cell r="K255">
            <v>48</v>
          </cell>
          <cell r="P255">
            <v>8</v>
          </cell>
        </row>
        <row r="256">
          <cell r="B256">
            <v>80</v>
          </cell>
          <cell r="C256">
            <v>24</v>
          </cell>
          <cell r="D256">
            <v>30.96</v>
          </cell>
          <cell r="E256" t="str">
            <v>N</v>
          </cell>
          <cell r="I256">
            <v>2.4300000000000002</v>
          </cell>
          <cell r="J256">
            <v>53.07</v>
          </cell>
          <cell r="K256">
            <v>55.5</v>
          </cell>
          <cell r="P256">
            <v>8</v>
          </cell>
        </row>
        <row r="257">
          <cell r="B257" t="str">
            <v>80S</v>
          </cell>
          <cell r="C257">
            <v>0.125</v>
          </cell>
          <cell r="D257">
            <v>2.41</v>
          </cell>
          <cell r="E257">
            <v>1</v>
          </cell>
          <cell r="I257">
            <v>7.0000000000000007E-2</v>
          </cell>
          <cell r="K257">
            <v>7.0000000000000007E-2</v>
          </cell>
          <cell r="P257">
            <v>2</v>
          </cell>
        </row>
        <row r="258">
          <cell r="B258" t="str">
            <v>80S</v>
          </cell>
          <cell r="C258">
            <v>0.125</v>
          </cell>
          <cell r="D258">
            <v>2.41</v>
          </cell>
          <cell r="E258">
            <v>1</v>
          </cell>
          <cell r="I258">
            <v>7.0000000000000007E-2</v>
          </cell>
          <cell r="K258">
            <v>7.0000000000000007E-2</v>
          </cell>
          <cell r="P258">
            <v>2</v>
          </cell>
        </row>
        <row r="259">
          <cell r="B259" t="str">
            <v>80S</v>
          </cell>
          <cell r="C259">
            <v>0.125</v>
          </cell>
          <cell r="D259">
            <v>2.41</v>
          </cell>
          <cell r="E259">
            <v>1</v>
          </cell>
          <cell r="I259">
            <v>7.0000000000000007E-2</v>
          </cell>
          <cell r="K259">
            <v>7.0000000000000007E-2</v>
          </cell>
          <cell r="P259">
            <v>2</v>
          </cell>
        </row>
        <row r="260">
          <cell r="B260" t="str">
            <v>80S</v>
          </cell>
          <cell r="C260">
            <v>0.25</v>
          </cell>
          <cell r="D260">
            <v>3.02</v>
          </cell>
          <cell r="E260">
            <v>1</v>
          </cell>
          <cell r="I260">
            <v>7.0000000000000007E-2</v>
          </cell>
          <cell r="K260">
            <v>7.0000000000000007E-2</v>
          </cell>
          <cell r="P260">
            <v>2</v>
          </cell>
        </row>
        <row r="261">
          <cell r="B261" t="str">
            <v>80S</v>
          </cell>
          <cell r="C261">
            <v>0.25</v>
          </cell>
          <cell r="D261">
            <v>3.02</v>
          </cell>
          <cell r="E261">
            <v>1</v>
          </cell>
          <cell r="I261">
            <v>7.0000000000000007E-2</v>
          </cell>
          <cell r="K261">
            <v>7.0000000000000007E-2</v>
          </cell>
          <cell r="P261">
            <v>2</v>
          </cell>
        </row>
        <row r="262">
          <cell r="B262" t="str">
            <v>80S</v>
          </cell>
          <cell r="C262">
            <v>0.25</v>
          </cell>
          <cell r="D262">
            <v>3.02</v>
          </cell>
          <cell r="E262">
            <v>1</v>
          </cell>
          <cell r="I262">
            <v>7.0000000000000007E-2</v>
          </cell>
          <cell r="K262">
            <v>7.0000000000000007E-2</v>
          </cell>
          <cell r="P262">
            <v>2</v>
          </cell>
        </row>
        <row r="263">
          <cell r="B263" t="str">
            <v>80S</v>
          </cell>
          <cell r="C263">
            <v>0.375</v>
          </cell>
          <cell r="D263">
            <v>3.2</v>
          </cell>
          <cell r="E263">
            <v>1</v>
          </cell>
          <cell r="I263">
            <v>7.0000000000000007E-2</v>
          </cell>
          <cell r="J263">
            <v>0</v>
          </cell>
          <cell r="K263">
            <v>7.0000000000000007E-2</v>
          </cell>
          <cell r="P263">
            <v>2</v>
          </cell>
        </row>
        <row r="264">
          <cell r="B264" t="str">
            <v>80S</v>
          </cell>
          <cell r="C264">
            <v>0.375</v>
          </cell>
          <cell r="D264">
            <v>3.2</v>
          </cell>
          <cell r="E264">
            <v>1</v>
          </cell>
          <cell r="I264">
            <v>7.0000000000000007E-2</v>
          </cell>
          <cell r="J264">
            <v>0</v>
          </cell>
          <cell r="K264">
            <v>7.0000000000000007E-2</v>
          </cell>
          <cell r="P264">
            <v>2</v>
          </cell>
        </row>
        <row r="265">
          <cell r="B265" t="str">
            <v>80S</v>
          </cell>
          <cell r="C265">
            <v>0.375</v>
          </cell>
          <cell r="D265">
            <v>3.2</v>
          </cell>
          <cell r="E265">
            <v>1</v>
          </cell>
          <cell r="I265">
            <v>7.0000000000000007E-2</v>
          </cell>
          <cell r="J265">
            <v>0</v>
          </cell>
          <cell r="K265">
            <v>7.0000000000000007E-2</v>
          </cell>
          <cell r="P265">
            <v>2</v>
          </cell>
        </row>
        <row r="266">
          <cell r="B266" t="str">
            <v>80S</v>
          </cell>
          <cell r="C266">
            <v>0.5</v>
          </cell>
          <cell r="D266">
            <v>3.73</v>
          </cell>
          <cell r="E266">
            <v>1</v>
          </cell>
          <cell r="I266">
            <v>7.0000000000000007E-2</v>
          </cell>
          <cell r="J266">
            <v>0</v>
          </cell>
          <cell r="K266">
            <v>7.0000000000000007E-2</v>
          </cell>
          <cell r="P266">
            <v>2</v>
          </cell>
        </row>
        <row r="267">
          <cell r="B267" t="str">
            <v>80S</v>
          </cell>
          <cell r="C267">
            <v>0.5</v>
          </cell>
          <cell r="D267">
            <v>3.73</v>
          </cell>
          <cell r="E267">
            <v>1</v>
          </cell>
          <cell r="I267">
            <v>7.0000000000000007E-2</v>
          </cell>
          <cell r="J267">
            <v>0</v>
          </cell>
          <cell r="K267">
            <v>7.0000000000000007E-2</v>
          </cell>
          <cell r="P267">
            <v>2</v>
          </cell>
        </row>
        <row r="268">
          <cell r="B268" t="str">
            <v>80S</v>
          </cell>
          <cell r="C268">
            <v>0.5</v>
          </cell>
          <cell r="D268">
            <v>3.73</v>
          </cell>
          <cell r="E268">
            <v>1</v>
          </cell>
          <cell r="I268">
            <v>7.0000000000000007E-2</v>
          </cell>
          <cell r="J268">
            <v>0</v>
          </cell>
          <cell r="K268">
            <v>7.0000000000000007E-2</v>
          </cell>
          <cell r="P268">
            <v>2</v>
          </cell>
        </row>
        <row r="269">
          <cell r="B269" t="str">
            <v>80S</v>
          </cell>
          <cell r="C269">
            <v>0.75</v>
          </cell>
          <cell r="D269">
            <v>3.91</v>
          </cell>
          <cell r="E269">
            <v>1</v>
          </cell>
          <cell r="I269">
            <v>7.0000000000000007E-2</v>
          </cell>
          <cell r="J269">
            <v>0</v>
          </cell>
          <cell r="K269">
            <v>7.0000000000000007E-2</v>
          </cell>
          <cell r="P269">
            <v>2</v>
          </cell>
        </row>
        <row r="270">
          <cell r="B270" t="str">
            <v>80S</v>
          </cell>
          <cell r="C270">
            <v>0.75</v>
          </cell>
          <cell r="D270">
            <v>3.91</v>
          </cell>
          <cell r="E270">
            <v>1</v>
          </cell>
          <cell r="I270">
            <v>7.0000000000000007E-2</v>
          </cell>
          <cell r="J270">
            <v>0</v>
          </cell>
          <cell r="K270">
            <v>7.0000000000000007E-2</v>
          </cell>
          <cell r="P270">
            <v>2</v>
          </cell>
        </row>
        <row r="271">
          <cell r="B271" t="str">
            <v>80S</v>
          </cell>
          <cell r="C271">
            <v>0.75</v>
          </cell>
          <cell r="D271">
            <v>3.91</v>
          </cell>
          <cell r="E271">
            <v>1</v>
          </cell>
          <cell r="I271">
            <v>7.0000000000000007E-2</v>
          </cell>
          <cell r="J271">
            <v>0</v>
          </cell>
          <cell r="K271">
            <v>7.0000000000000007E-2</v>
          </cell>
          <cell r="P271">
            <v>2</v>
          </cell>
        </row>
        <row r="272">
          <cell r="B272" t="str">
            <v>80S</v>
          </cell>
          <cell r="C272">
            <v>1</v>
          </cell>
          <cell r="D272">
            <v>4.55</v>
          </cell>
          <cell r="E272">
            <v>1</v>
          </cell>
          <cell r="I272">
            <v>0.15</v>
          </cell>
          <cell r="J272">
            <v>0</v>
          </cell>
          <cell r="K272">
            <v>0.15</v>
          </cell>
          <cell r="P272">
            <v>2</v>
          </cell>
        </row>
        <row r="273">
          <cell r="B273" t="str">
            <v>80S</v>
          </cell>
          <cell r="C273">
            <v>1</v>
          </cell>
          <cell r="D273">
            <v>4.55</v>
          </cell>
          <cell r="E273">
            <v>1</v>
          </cell>
          <cell r="I273">
            <v>0.15</v>
          </cell>
          <cell r="J273">
            <v>0</v>
          </cell>
          <cell r="K273">
            <v>0.15</v>
          </cell>
          <cell r="P273">
            <v>2</v>
          </cell>
        </row>
        <row r="274">
          <cell r="B274" t="str">
            <v>80S</v>
          </cell>
          <cell r="C274">
            <v>1</v>
          </cell>
          <cell r="D274">
            <v>4.55</v>
          </cell>
          <cell r="E274">
            <v>1</v>
          </cell>
          <cell r="I274">
            <v>0.15</v>
          </cell>
          <cell r="J274">
            <v>0</v>
          </cell>
          <cell r="K274">
            <v>0.15</v>
          </cell>
          <cell r="P274">
            <v>2</v>
          </cell>
        </row>
        <row r="275">
          <cell r="B275" t="str">
            <v>80S</v>
          </cell>
          <cell r="C275">
            <v>1.25</v>
          </cell>
          <cell r="D275">
            <v>4.8499999999999996</v>
          </cell>
          <cell r="E275">
            <v>1</v>
          </cell>
          <cell r="I275">
            <v>0.13</v>
          </cell>
          <cell r="J275">
            <v>0.17</v>
          </cell>
          <cell r="K275">
            <v>0.30000000000000004</v>
          </cell>
          <cell r="P275">
            <v>2</v>
          </cell>
        </row>
        <row r="276">
          <cell r="B276" t="str">
            <v>80S</v>
          </cell>
          <cell r="C276">
            <v>1.25</v>
          </cell>
          <cell r="D276">
            <v>4.8499999999999996</v>
          </cell>
          <cell r="E276">
            <v>1</v>
          </cell>
          <cell r="I276">
            <v>0.13</v>
          </cell>
          <cell r="J276">
            <v>0.17</v>
          </cell>
          <cell r="K276">
            <v>0.30000000000000004</v>
          </cell>
          <cell r="P276">
            <v>2</v>
          </cell>
        </row>
        <row r="277">
          <cell r="B277" t="str">
            <v>80S</v>
          </cell>
          <cell r="C277">
            <v>1.25</v>
          </cell>
          <cell r="D277">
            <v>4.8499999999999996</v>
          </cell>
          <cell r="E277">
            <v>1</v>
          </cell>
          <cell r="I277">
            <v>0.13</v>
          </cell>
          <cell r="J277">
            <v>0.17</v>
          </cell>
          <cell r="K277">
            <v>0.30000000000000004</v>
          </cell>
          <cell r="P277">
            <v>2</v>
          </cell>
        </row>
        <row r="278">
          <cell r="B278" t="str">
            <v>80S</v>
          </cell>
          <cell r="C278">
            <v>1.5</v>
          </cell>
          <cell r="D278">
            <v>5.08</v>
          </cell>
          <cell r="E278">
            <v>1</v>
          </cell>
          <cell r="I278">
            <v>0.15</v>
          </cell>
          <cell r="J278">
            <v>0.15</v>
          </cell>
          <cell r="K278">
            <v>0.3</v>
          </cell>
          <cell r="P278">
            <v>2</v>
          </cell>
        </row>
        <row r="279">
          <cell r="B279" t="str">
            <v>80S</v>
          </cell>
          <cell r="C279">
            <v>1.5</v>
          </cell>
          <cell r="D279">
            <v>5.08</v>
          </cell>
          <cell r="E279">
            <v>1</v>
          </cell>
          <cell r="I279">
            <v>0.15</v>
          </cell>
          <cell r="J279">
            <v>0.15</v>
          </cell>
          <cell r="K279">
            <v>0.3</v>
          </cell>
          <cell r="P279">
            <v>2</v>
          </cell>
        </row>
        <row r="280">
          <cell r="B280" t="str">
            <v>80S</v>
          </cell>
          <cell r="C280">
            <v>1.5</v>
          </cell>
          <cell r="D280">
            <v>5.08</v>
          </cell>
          <cell r="E280">
            <v>1</v>
          </cell>
          <cell r="I280">
            <v>0.15</v>
          </cell>
          <cell r="J280">
            <v>0.15</v>
          </cell>
          <cell r="K280">
            <v>0.3</v>
          </cell>
          <cell r="P280">
            <v>2</v>
          </cell>
        </row>
        <row r="281">
          <cell r="B281" t="str">
            <v>80S</v>
          </cell>
          <cell r="C281">
            <v>2</v>
          </cell>
          <cell r="D281">
            <v>5.54</v>
          </cell>
          <cell r="E281">
            <v>1</v>
          </cell>
          <cell r="I281">
            <v>0.2</v>
          </cell>
          <cell r="J281">
            <v>0.25</v>
          </cell>
          <cell r="K281">
            <v>0.45</v>
          </cell>
          <cell r="P281">
            <v>2</v>
          </cell>
        </row>
        <row r="282">
          <cell r="B282" t="str">
            <v>80S</v>
          </cell>
          <cell r="C282">
            <v>2</v>
          </cell>
          <cell r="D282">
            <v>5.54</v>
          </cell>
          <cell r="E282">
            <v>1</v>
          </cell>
          <cell r="I282">
            <v>0.2</v>
          </cell>
          <cell r="J282">
            <v>0.25</v>
          </cell>
          <cell r="K282">
            <v>0.45</v>
          </cell>
          <cell r="P282">
            <v>2</v>
          </cell>
        </row>
        <row r="283">
          <cell r="B283" t="str">
            <v>80S</v>
          </cell>
          <cell r="C283">
            <v>2</v>
          </cell>
          <cell r="D283">
            <v>5.54</v>
          </cell>
          <cell r="E283">
            <v>1</v>
          </cell>
          <cell r="I283">
            <v>0.2</v>
          </cell>
          <cell r="J283">
            <v>0.25</v>
          </cell>
          <cell r="K283">
            <v>0.45</v>
          </cell>
          <cell r="P283">
            <v>2</v>
          </cell>
        </row>
        <row r="284">
          <cell r="B284" t="str">
            <v>80S</v>
          </cell>
          <cell r="C284">
            <v>2.5</v>
          </cell>
          <cell r="D284">
            <v>7.01</v>
          </cell>
          <cell r="E284">
            <v>1</v>
          </cell>
          <cell r="I284">
            <v>0.25</v>
          </cell>
          <cell r="J284">
            <v>0.5</v>
          </cell>
          <cell r="K284">
            <v>0.75</v>
          </cell>
          <cell r="P284">
            <v>2</v>
          </cell>
        </row>
        <row r="285">
          <cell r="B285" t="str">
            <v>80S</v>
          </cell>
          <cell r="C285">
            <v>3</v>
          </cell>
          <cell r="D285">
            <v>7.62</v>
          </cell>
          <cell r="E285">
            <v>1</v>
          </cell>
          <cell r="I285">
            <v>0.3</v>
          </cell>
          <cell r="J285">
            <v>0.6</v>
          </cell>
          <cell r="K285">
            <v>0.89999999999999991</v>
          </cell>
          <cell r="P285">
            <v>2</v>
          </cell>
        </row>
        <row r="286">
          <cell r="B286" t="str">
            <v>80S</v>
          </cell>
          <cell r="C286">
            <v>3.5</v>
          </cell>
          <cell r="D286">
            <v>8.08</v>
          </cell>
          <cell r="E286">
            <v>1</v>
          </cell>
          <cell r="I286">
            <v>0.35</v>
          </cell>
          <cell r="J286">
            <v>0.85</v>
          </cell>
          <cell r="K286">
            <v>1.2</v>
          </cell>
          <cell r="P286">
            <v>3</v>
          </cell>
        </row>
        <row r="287">
          <cell r="B287" t="str">
            <v>80S</v>
          </cell>
          <cell r="C287">
            <v>4</v>
          </cell>
          <cell r="D287">
            <v>8.56</v>
          </cell>
          <cell r="E287">
            <v>1</v>
          </cell>
          <cell r="I287">
            <v>0.41</v>
          </cell>
          <cell r="J287">
            <v>0.93</v>
          </cell>
          <cell r="K287">
            <v>1.34</v>
          </cell>
          <cell r="P287">
            <v>3</v>
          </cell>
        </row>
        <row r="288">
          <cell r="B288" t="str">
            <v>80S</v>
          </cell>
          <cell r="C288">
            <v>5</v>
          </cell>
          <cell r="D288">
            <v>9.5299999999999994</v>
          </cell>
          <cell r="E288">
            <v>1</v>
          </cell>
          <cell r="I288">
            <v>0.51</v>
          </cell>
          <cell r="J288">
            <v>1.59</v>
          </cell>
          <cell r="K288">
            <v>2.1</v>
          </cell>
          <cell r="P288">
            <v>4</v>
          </cell>
        </row>
        <row r="289">
          <cell r="B289" t="str">
            <v>80S</v>
          </cell>
          <cell r="C289">
            <v>6</v>
          </cell>
          <cell r="D289">
            <v>10.97</v>
          </cell>
          <cell r="E289">
            <v>1.25</v>
          </cell>
          <cell r="I289">
            <v>0.61</v>
          </cell>
          <cell r="J289">
            <v>2.69</v>
          </cell>
          <cell r="K289">
            <v>3.3</v>
          </cell>
          <cell r="P289">
            <v>4</v>
          </cell>
        </row>
        <row r="290">
          <cell r="B290" t="str">
            <v>80S</v>
          </cell>
          <cell r="C290">
            <v>8</v>
          </cell>
          <cell r="D290">
            <v>12.7</v>
          </cell>
          <cell r="E290">
            <v>1.25</v>
          </cell>
          <cell r="I290">
            <v>0.81</v>
          </cell>
          <cell r="J290">
            <v>4.58</v>
          </cell>
          <cell r="K290">
            <v>5.3900000000000006</v>
          </cell>
          <cell r="P290">
            <v>4</v>
          </cell>
        </row>
        <row r="291">
          <cell r="B291" t="str">
            <v>80S</v>
          </cell>
          <cell r="C291">
            <v>10</v>
          </cell>
          <cell r="D291">
            <v>12.7</v>
          </cell>
          <cell r="E291">
            <v>1.25</v>
          </cell>
          <cell r="I291">
            <v>1.01</v>
          </cell>
          <cell r="J291">
            <v>5.74</v>
          </cell>
          <cell r="K291">
            <v>6.75</v>
          </cell>
          <cell r="P291">
            <v>4</v>
          </cell>
        </row>
        <row r="292">
          <cell r="B292" t="str">
            <v>80S</v>
          </cell>
          <cell r="C292">
            <v>12</v>
          </cell>
          <cell r="D292">
            <v>12.7</v>
          </cell>
          <cell r="E292">
            <v>1.25</v>
          </cell>
          <cell r="I292">
            <v>1.22</v>
          </cell>
          <cell r="J292">
            <v>6.73</v>
          </cell>
          <cell r="K292">
            <v>7.95</v>
          </cell>
          <cell r="P292">
            <v>6</v>
          </cell>
        </row>
        <row r="293">
          <cell r="B293">
            <v>100</v>
          </cell>
          <cell r="C293">
            <v>8</v>
          </cell>
          <cell r="D293">
            <v>15.09</v>
          </cell>
          <cell r="E293">
            <v>1.5</v>
          </cell>
          <cell r="I293">
            <v>0.81</v>
          </cell>
          <cell r="J293">
            <v>6.09</v>
          </cell>
          <cell r="K293">
            <v>6.9</v>
          </cell>
          <cell r="P293">
            <v>4</v>
          </cell>
        </row>
        <row r="294">
          <cell r="B294">
            <v>100</v>
          </cell>
          <cell r="C294">
            <v>10</v>
          </cell>
          <cell r="D294">
            <v>18.260000000000002</v>
          </cell>
          <cell r="E294">
            <v>1.5</v>
          </cell>
          <cell r="I294">
            <v>1.01</v>
          </cell>
          <cell r="J294">
            <v>11.44</v>
          </cell>
          <cell r="K294">
            <v>12.45</v>
          </cell>
          <cell r="P294">
            <v>4</v>
          </cell>
        </row>
        <row r="295">
          <cell r="B295">
            <v>100</v>
          </cell>
          <cell r="C295">
            <v>12</v>
          </cell>
          <cell r="D295">
            <v>21.44</v>
          </cell>
          <cell r="E295">
            <v>2</v>
          </cell>
          <cell r="I295">
            <v>1.22</v>
          </cell>
          <cell r="J295">
            <v>15.28</v>
          </cell>
          <cell r="K295">
            <v>16.5</v>
          </cell>
          <cell r="P295">
            <v>6</v>
          </cell>
        </row>
        <row r="296">
          <cell r="B296">
            <v>100</v>
          </cell>
          <cell r="C296">
            <v>14</v>
          </cell>
          <cell r="D296">
            <v>23.83</v>
          </cell>
          <cell r="E296">
            <v>2</v>
          </cell>
          <cell r="I296">
            <v>1.42</v>
          </cell>
          <cell r="J296">
            <v>21.07</v>
          </cell>
          <cell r="K296">
            <v>22.490000000000002</v>
          </cell>
          <cell r="P296">
            <v>6</v>
          </cell>
        </row>
        <row r="297">
          <cell r="B297">
            <v>100</v>
          </cell>
          <cell r="C297">
            <v>16</v>
          </cell>
          <cell r="D297">
            <v>26.19</v>
          </cell>
          <cell r="E297" t="str">
            <v>N</v>
          </cell>
          <cell r="I297">
            <v>1.62</v>
          </cell>
          <cell r="J297">
            <v>28.38</v>
          </cell>
          <cell r="K297">
            <v>30</v>
          </cell>
          <cell r="P297">
            <v>6</v>
          </cell>
        </row>
        <row r="298">
          <cell r="B298">
            <v>100</v>
          </cell>
          <cell r="C298">
            <v>18</v>
          </cell>
          <cell r="D298">
            <v>29.36</v>
          </cell>
          <cell r="E298" t="str">
            <v>N</v>
          </cell>
          <cell r="I298">
            <v>1.82</v>
          </cell>
          <cell r="J298">
            <v>37.17</v>
          </cell>
          <cell r="K298">
            <v>38.99</v>
          </cell>
          <cell r="P298">
            <v>6</v>
          </cell>
        </row>
        <row r="299">
          <cell r="B299">
            <v>100</v>
          </cell>
          <cell r="C299">
            <v>20</v>
          </cell>
          <cell r="D299">
            <v>32.54</v>
          </cell>
          <cell r="E299" t="str">
            <v>N</v>
          </cell>
          <cell r="I299">
            <v>2.0299999999999998</v>
          </cell>
          <cell r="J299">
            <v>45.97</v>
          </cell>
          <cell r="K299">
            <v>48</v>
          </cell>
          <cell r="P299">
            <v>7</v>
          </cell>
        </row>
        <row r="300">
          <cell r="B300">
            <v>100</v>
          </cell>
          <cell r="C300">
            <v>22</v>
          </cell>
          <cell r="D300">
            <v>34.93</v>
          </cell>
          <cell r="E300" t="str">
            <v>N</v>
          </cell>
          <cell r="I300">
            <v>2.23</v>
          </cell>
          <cell r="J300">
            <v>65.27</v>
          </cell>
          <cell r="K300">
            <v>67.5</v>
          </cell>
          <cell r="P300">
            <v>8</v>
          </cell>
        </row>
        <row r="301">
          <cell r="B301">
            <v>100</v>
          </cell>
          <cell r="C301">
            <v>24</v>
          </cell>
          <cell r="D301">
            <v>38.89</v>
          </cell>
          <cell r="E301" t="str">
            <v>N</v>
          </cell>
          <cell r="I301">
            <v>2.4300000000000002</v>
          </cell>
          <cell r="J301">
            <v>75.56</v>
          </cell>
          <cell r="K301">
            <v>77.990000000000009</v>
          </cell>
          <cell r="P301">
            <v>8</v>
          </cell>
        </row>
        <row r="302">
          <cell r="B302">
            <v>120</v>
          </cell>
          <cell r="C302">
            <v>4</v>
          </cell>
          <cell r="D302">
            <v>11.13</v>
          </cell>
          <cell r="E302">
            <v>1.25</v>
          </cell>
          <cell r="I302">
            <v>0.41</v>
          </cell>
          <cell r="J302">
            <v>1.84</v>
          </cell>
          <cell r="K302">
            <v>2.25</v>
          </cell>
          <cell r="P302">
            <v>4</v>
          </cell>
        </row>
        <row r="303">
          <cell r="B303">
            <v>120</v>
          </cell>
          <cell r="C303">
            <v>5</v>
          </cell>
          <cell r="D303">
            <v>12.7</v>
          </cell>
          <cell r="E303">
            <v>1.25</v>
          </cell>
          <cell r="I303">
            <v>0.51</v>
          </cell>
          <cell r="J303">
            <v>2.94</v>
          </cell>
          <cell r="K303">
            <v>3.45</v>
          </cell>
          <cell r="P303">
            <v>4</v>
          </cell>
        </row>
        <row r="304">
          <cell r="B304">
            <v>120</v>
          </cell>
          <cell r="C304">
            <v>6</v>
          </cell>
          <cell r="D304">
            <v>14.27</v>
          </cell>
          <cell r="E304">
            <v>1.25</v>
          </cell>
          <cell r="I304">
            <v>0.61</v>
          </cell>
          <cell r="J304">
            <v>4.1900000000000004</v>
          </cell>
          <cell r="K304">
            <v>4.8000000000000007</v>
          </cell>
          <cell r="P304">
            <v>4</v>
          </cell>
        </row>
        <row r="305">
          <cell r="B305">
            <v>120</v>
          </cell>
          <cell r="C305">
            <v>8</v>
          </cell>
          <cell r="D305">
            <v>18.260000000000002</v>
          </cell>
          <cell r="E305">
            <v>1.5</v>
          </cell>
          <cell r="I305">
            <v>0.81</v>
          </cell>
          <cell r="J305">
            <v>9.23</v>
          </cell>
          <cell r="K305">
            <v>10.040000000000001</v>
          </cell>
          <cell r="P305">
            <v>4</v>
          </cell>
        </row>
        <row r="306">
          <cell r="B306">
            <v>120</v>
          </cell>
          <cell r="C306">
            <v>10</v>
          </cell>
          <cell r="D306">
            <v>21.44</v>
          </cell>
          <cell r="E306">
            <v>2</v>
          </cell>
          <cell r="I306">
            <v>1.01</v>
          </cell>
          <cell r="J306">
            <v>12.49</v>
          </cell>
          <cell r="K306">
            <v>13.5</v>
          </cell>
          <cell r="P306">
            <v>4</v>
          </cell>
        </row>
        <row r="307">
          <cell r="B307">
            <v>120</v>
          </cell>
          <cell r="C307">
            <v>12</v>
          </cell>
          <cell r="D307">
            <v>25.4</v>
          </cell>
          <cell r="E307" t="str">
            <v>N</v>
          </cell>
          <cell r="I307">
            <v>1.22</v>
          </cell>
          <cell r="J307">
            <v>21.27</v>
          </cell>
          <cell r="K307">
            <v>22.49</v>
          </cell>
          <cell r="P307">
            <v>6</v>
          </cell>
        </row>
        <row r="308">
          <cell r="B308">
            <v>120</v>
          </cell>
          <cell r="C308">
            <v>14</v>
          </cell>
          <cell r="D308">
            <v>27.79</v>
          </cell>
          <cell r="E308" t="str">
            <v>N</v>
          </cell>
          <cell r="I308">
            <v>1.42</v>
          </cell>
          <cell r="J308">
            <v>25.58</v>
          </cell>
          <cell r="K308">
            <v>27</v>
          </cell>
          <cell r="P308">
            <v>6</v>
          </cell>
        </row>
        <row r="309">
          <cell r="B309">
            <v>120</v>
          </cell>
          <cell r="C309">
            <v>16</v>
          </cell>
          <cell r="D309">
            <v>30.96</v>
          </cell>
          <cell r="E309" t="str">
            <v>N</v>
          </cell>
          <cell r="I309">
            <v>1.62</v>
          </cell>
          <cell r="J309">
            <v>35.880000000000003</v>
          </cell>
          <cell r="K309">
            <v>37.5</v>
          </cell>
          <cell r="P309">
            <v>6</v>
          </cell>
        </row>
        <row r="310">
          <cell r="B310">
            <v>120</v>
          </cell>
          <cell r="C310">
            <v>18</v>
          </cell>
          <cell r="D310">
            <v>34.93</v>
          </cell>
          <cell r="E310" t="str">
            <v>N</v>
          </cell>
          <cell r="I310">
            <v>1.82</v>
          </cell>
          <cell r="J310">
            <v>47.68</v>
          </cell>
          <cell r="K310">
            <v>49.5</v>
          </cell>
          <cell r="P310">
            <v>6</v>
          </cell>
        </row>
        <row r="311">
          <cell r="B311">
            <v>120</v>
          </cell>
          <cell r="C311">
            <v>20</v>
          </cell>
          <cell r="D311">
            <v>38.1</v>
          </cell>
          <cell r="E311" t="str">
            <v>N</v>
          </cell>
          <cell r="I311">
            <v>2.0299999999999998</v>
          </cell>
          <cell r="J311">
            <v>62.47</v>
          </cell>
          <cell r="K311">
            <v>64.5</v>
          </cell>
          <cell r="P311">
            <v>7</v>
          </cell>
        </row>
        <row r="312">
          <cell r="B312">
            <v>120</v>
          </cell>
          <cell r="C312">
            <v>22</v>
          </cell>
          <cell r="D312">
            <v>41.28</v>
          </cell>
          <cell r="E312" t="str">
            <v>N</v>
          </cell>
          <cell r="I312">
            <v>2.23</v>
          </cell>
          <cell r="J312">
            <v>84.76</v>
          </cell>
          <cell r="K312">
            <v>86.990000000000009</v>
          </cell>
          <cell r="P312">
            <v>8</v>
          </cell>
        </row>
        <row r="313">
          <cell r="B313">
            <v>120</v>
          </cell>
          <cell r="C313">
            <v>24</v>
          </cell>
          <cell r="D313">
            <v>46.02</v>
          </cell>
          <cell r="E313" t="str">
            <v>N</v>
          </cell>
          <cell r="I313">
            <v>2.4300000000000002</v>
          </cell>
          <cell r="J313">
            <v>98.07</v>
          </cell>
          <cell r="K313">
            <v>100.5</v>
          </cell>
          <cell r="P313">
            <v>8</v>
          </cell>
        </row>
        <row r="314">
          <cell r="B314">
            <v>140</v>
          </cell>
          <cell r="C314">
            <v>8</v>
          </cell>
          <cell r="D314">
            <v>20.62</v>
          </cell>
          <cell r="E314">
            <v>2</v>
          </cell>
          <cell r="I314">
            <v>0.81</v>
          </cell>
          <cell r="J314">
            <v>10.130000000000001</v>
          </cell>
          <cell r="K314">
            <v>10.940000000000001</v>
          </cell>
          <cell r="P314">
            <v>4</v>
          </cell>
        </row>
        <row r="315">
          <cell r="B315">
            <v>140</v>
          </cell>
          <cell r="C315">
            <v>10</v>
          </cell>
          <cell r="D315">
            <v>25.4</v>
          </cell>
          <cell r="E315" t="str">
            <v>N</v>
          </cell>
          <cell r="I315">
            <v>1.01</v>
          </cell>
          <cell r="J315">
            <v>18.48</v>
          </cell>
          <cell r="K315">
            <v>19.490000000000002</v>
          </cell>
          <cell r="P315">
            <v>4</v>
          </cell>
        </row>
        <row r="316">
          <cell r="B316">
            <v>140</v>
          </cell>
          <cell r="C316">
            <v>12</v>
          </cell>
          <cell r="D316">
            <v>28.58</v>
          </cell>
          <cell r="E316" t="str">
            <v>N</v>
          </cell>
          <cell r="I316">
            <v>1.22</v>
          </cell>
          <cell r="J316">
            <v>25.78</v>
          </cell>
          <cell r="K316">
            <v>27</v>
          </cell>
          <cell r="P316">
            <v>6</v>
          </cell>
        </row>
        <row r="317">
          <cell r="B317">
            <v>140</v>
          </cell>
          <cell r="C317">
            <v>14</v>
          </cell>
          <cell r="D317">
            <v>31.75</v>
          </cell>
          <cell r="E317" t="str">
            <v>N</v>
          </cell>
          <cell r="I317">
            <v>1.42</v>
          </cell>
          <cell r="J317">
            <v>31.58</v>
          </cell>
          <cell r="K317">
            <v>33</v>
          </cell>
          <cell r="P317">
            <v>6</v>
          </cell>
        </row>
        <row r="318">
          <cell r="B318">
            <v>140</v>
          </cell>
          <cell r="C318">
            <v>16</v>
          </cell>
          <cell r="D318">
            <v>36.53</v>
          </cell>
          <cell r="E318" t="str">
            <v>N</v>
          </cell>
          <cell r="I318">
            <v>1.62</v>
          </cell>
          <cell r="J318">
            <v>44.87</v>
          </cell>
          <cell r="K318">
            <v>46.489999999999995</v>
          </cell>
          <cell r="P318">
            <v>6</v>
          </cell>
        </row>
        <row r="319">
          <cell r="B319">
            <v>140</v>
          </cell>
          <cell r="C319">
            <v>18</v>
          </cell>
          <cell r="D319">
            <v>39.67</v>
          </cell>
          <cell r="E319" t="str">
            <v>N</v>
          </cell>
          <cell r="I319">
            <v>1.82</v>
          </cell>
          <cell r="J319">
            <v>59.68</v>
          </cell>
          <cell r="K319">
            <v>61.5</v>
          </cell>
          <cell r="P319">
            <v>6</v>
          </cell>
        </row>
        <row r="320">
          <cell r="B320">
            <v>140</v>
          </cell>
          <cell r="C320">
            <v>20</v>
          </cell>
          <cell r="D320">
            <v>44.45</v>
          </cell>
          <cell r="E320" t="str">
            <v>N</v>
          </cell>
          <cell r="I320">
            <v>2.0299999999999998</v>
          </cell>
          <cell r="J320">
            <v>78.959999999999994</v>
          </cell>
          <cell r="K320">
            <v>80.989999999999995</v>
          </cell>
          <cell r="P320">
            <v>7</v>
          </cell>
        </row>
        <row r="321">
          <cell r="B321">
            <v>140</v>
          </cell>
          <cell r="C321">
            <v>22</v>
          </cell>
          <cell r="D321">
            <v>47.63</v>
          </cell>
          <cell r="E321" t="str">
            <v>N</v>
          </cell>
          <cell r="I321">
            <v>2.23</v>
          </cell>
          <cell r="J321">
            <v>108.77</v>
          </cell>
          <cell r="K321">
            <v>111</v>
          </cell>
          <cell r="P321">
            <v>8</v>
          </cell>
        </row>
        <row r="322">
          <cell r="B322">
            <v>140</v>
          </cell>
          <cell r="C322">
            <v>24</v>
          </cell>
          <cell r="D322">
            <v>52.37</v>
          </cell>
          <cell r="E322" t="str">
            <v>N</v>
          </cell>
          <cell r="I322">
            <v>2.4300000000000002</v>
          </cell>
          <cell r="J322">
            <v>126.57</v>
          </cell>
          <cell r="K322">
            <v>129</v>
          </cell>
          <cell r="P322">
            <v>8</v>
          </cell>
        </row>
        <row r="323">
          <cell r="B323">
            <v>160</v>
          </cell>
          <cell r="C323">
            <v>0.5</v>
          </cell>
          <cell r="D323">
            <v>4.78</v>
          </cell>
          <cell r="E323">
            <v>1</v>
          </cell>
          <cell r="I323">
            <v>7.0000000000000007E-2</v>
          </cell>
          <cell r="J323">
            <v>0.08</v>
          </cell>
          <cell r="K323">
            <v>0.15000000000000002</v>
          </cell>
          <cell r="P323">
            <v>2</v>
          </cell>
        </row>
        <row r="324">
          <cell r="B324">
            <v>160</v>
          </cell>
          <cell r="C324">
            <v>0.5</v>
          </cell>
          <cell r="D324">
            <v>4.78</v>
          </cell>
          <cell r="E324">
            <v>1</v>
          </cell>
          <cell r="I324">
            <v>7.0000000000000007E-2</v>
          </cell>
          <cell r="J324">
            <v>0.08</v>
          </cell>
          <cell r="K324">
            <v>0.15000000000000002</v>
          </cell>
          <cell r="P324">
            <v>2</v>
          </cell>
        </row>
        <row r="325">
          <cell r="B325">
            <v>160</v>
          </cell>
          <cell r="C325">
            <v>0.5</v>
          </cell>
          <cell r="D325">
            <v>4.78</v>
          </cell>
          <cell r="E325">
            <v>1</v>
          </cell>
          <cell r="I325">
            <v>7.0000000000000007E-2</v>
          </cell>
          <cell r="J325">
            <v>0.08</v>
          </cell>
          <cell r="K325">
            <v>0.15000000000000002</v>
          </cell>
          <cell r="P325">
            <v>2</v>
          </cell>
        </row>
        <row r="326">
          <cell r="B326">
            <v>160</v>
          </cell>
          <cell r="C326">
            <v>0.75</v>
          </cell>
          <cell r="D326">
            <v>5.56</v>
          </cell>
          <cell r="E326">
            <v>1</v>
          </cell>
          <cell r="I326">
            <v>0.08</v>
          </cell>
          <cell r="J326">
            <v>7.0000000000000007E-2</v>
          </cell>
          <cell r="K326">
            <v>0.15000000000000002</v>
          </cell>
          <cell r="P326">
            <v>2</v>
          </cell>
        </row>
        <row r="327">
          <cell r="B327">
            <v>160</v>
          </cell>
          <cell r="C327">
            <v>0.75</v>
          </cell>
          <cell r="D327">
            <v>5.56</v>
          </cell>
          <cell r="E327">
            <v>1</v>
          </cell>
          <cell r="I327">
            <v>0.08</v>
          </cell>
          <cell r="J327">
            <v>7.0000000000000007E-2</v>
          </cell>
          <cell r="K327">
            <v>0.15000000000000002</v>
          </cell>
          <cell r="P327">
            <v>2</v>
          </cell>
        </row>
        <row r="328">
          <cell r="B328">
            <v>160</v>
          </cell>
          <cell r="C328">
            <v>0.75</v>
          </cell>
          <cell r="D328">
            <v>5.56</v>
          </cell>
          <cell r="E328">
            <v>1</v>
          </cell>
          <cell r="I328">
            <v>0.08</v>
          </cell>
          <cell r="J328">
            <v>7.0000000000000007E-2</v>
          </cell>
          <cell r="K328">
            <v>0.15000000000000002</v>
          </cell>
          <cell r="P328">
            <v>2</v>
          </cell>
        </row>
        <row r="329">
          <cell r="B329">
            <v>160</v>
          </cell>
          <cell r="C329">
            <v>1</v>
          </cell>
          <cell r="D329">
            <v>6.35</v>
          </cell>
          <cell r="E329">
            <v>1</v>
          </cell>
          <cell r="I329">
            <v>0.1</v>
          </cell>
          <cell r="J329">
            <v>0.35</v>
          </cell>
          <cell r="K329">
            <v>0.44999999999999996</v>
          </cell>
          <cell r="P329">
            <v>2</v>
          </cell>
        </row>
        <row r="330">
          <cell r="B330">
            <v>160</v>
          </cell>
          <cell r="C330">
            <v>1</v>
          </cell>
          <cell r="D330">
            <v>6.35</v>
          </cell>
          <cell r="E330">
            <v>1</v>
          </cell>
          <cell r="I330">
            <v>0.1</v>
          </cell>
          <cell r="J330">
            <v>0.35</v>
          </cell>
          <cell r="K330">
            <v>0.44999999999999996</v>
          </cell>
          <cell r="P330">
            <v>2</v>
          </cell>
        </row>
        <row r="331">
          <cell r="B331">
            <v>160</v>
          </cell>
          <cell r="C331">
            <v>1</v>
          </cell>
          <cell r="D331">
            <v>6.35</v>
          </cell>
          <cell r="E331">
            <v>1</v>
          </cell>
          <cell r="I331">
            <v>0.1</v>
          </cell>
          <cell r="J331">
            <v>0.35</v>
          </cell>
          <cell r="K331">
            <v>0.44999999999999996</v>
          </cell>
          <cell r="P331">
            <v>2</v>
          </cell>
        </row>
        <row r="332">
          <cell r="B332">
            <v>160</v>
          </cell>
          <cell r="C332">
            <v>1.25</v>
          </cell>
          <cell r="D332">
            <v>6.35</v>
          </cell>
          <cell r="E332">
            <v>1</v>
          </cell>
          <cell r="I332">
            <v>0.13</v>
          </cell>
          <cell r="J332">
            <v>0.32</v>
          </cell>
          <cell r="K332">
            <v>0.45</v>
          </cell>
          <cell r="P332">
            <v>2</v>
          </cell>
        </row>
        <row r="333">
          <cell r="B333">
            <v>160</v>
          </cell>
          <cell r="C333">
            <v>1.25</v>
          </cell>
          <cell r="D333">
            <v>6.35</v>
          </cell>
          <cell r="E333">
            <v>1</v>
          </cell>
          <cell r="I333">
            <v>0.13</v>
          </cell>
          <cell r="J333">
            <v>0.32</v>
          </cell>
          <cell r="K333">
            <v>0.45</v>
          </cell>
          <cell r="P333">
            <v>2</v>
          </cell>
        </row>
        <row r="334">
          <cell r="B334">
            <v>160</v>
          </cell>
          <cell r="C334">
            <v>1.25</v>
          </cell>
          <cell r="D334">
            <v>6.35</v>
          </cell>
          <cell r="E334">
            <v>1</v>
          </cell>
          <cell r="I334">
            <v>0.13</v>
          </cell>
          <cell r="J334">
            <v>0.32</v>
          </cell>
          <cell r="K334">
            <v>0.45</v>
          </cell>
          <cell r="P334">
            <v>2</v>
          </cell>
        </row>
        <row r="335">
          <cell r="B335">
            <v>160</v>
          </cell>
          <cell r="C335">
            <v>1.5</v>
          </cell>
          <cell r="D335">
            <v>7.14</v>
          </cell>
          <cell r="E335">
            <v>1</v>
          </cell>
          <cell r="I335">
            <v>0.15</v>
          </cell>
          <cell r="J335">
            <v>0.45</v>
          </cell>
          <cell r="K335">
            <v>0.6</v>
          </cell>
          <cell r="P335">
            <v>2</v>
          </cell>
        </row>
        <row r="336">
          <cell r="B336">
            <v>160</v>
          </cell>
          <cell r="C336">
            <v>1.5</v>
          </cell>
          <cell r="D336">
            <v>7.14</v>
          </cell>
          <cell r="E336">
            <v>1</v>
          </cell>
          <cell r="I336">
            <v>0.15</v>
          </cell>
          <cell r="J336">
            <v>0.45</v>
          </cell>
          <cell r="K336">
            <v>0.6</v>
          </cell>
          <cell r="P336">
            <v>2</v>
          </cell>
        </row>
        <row r="337">
          <cell r="B337">
            <v>160</v>
          </cell>
          <cell r="C337">
            <v>1.5</v>
          </cell>
          <cell r="D337">
            <v>7.14</v>
          </cell>
          <cell r="E337">
            <v>1</v>
          </cell>
          <cell r="I337">
            <v>0.15</v>
          </cell>
          <cell r="J337">
            <v>0.45</v>
          </cell>
          <cell r="K337">
            <v>0.6</v>
          </cell>
          <cell r="P337">
            <v>2</v>
          </cell>
        </row>
        <row r="338">
          <cell r="B338">
            <v>160</v>
          </cell>
          <cell r="C338">
            <v>2</v>
          </cell>
          <cell r="D338">
            <v>8.74</v>
          </cell>
          <cell r="E338">
            <v>1</v>
          </cell>
          <cell r="I338">
            <v>0.2</v>
          </cell>
          <cell r="J338">
            <v>0.7</v>
          </cell>
          <cell r="K338">
            <v>0.89999999999999991</v>
          </cell>
          <cell r="P338">
            <v>4</v>
          </cell>
        </row>
        <row r="339">
          <cell r="B339">
            <v>160</v>
          </cell>
          <cell r="C339">
            <v>2</v>
          </cell>
          <cell r="D339">
            <v>8.74</v>
          </cell>
          <cell r="E339">
            <v>1</v>
          </cell>
          <cell r="I339">
            <v>0.2</v>
          </cell>
          <cell r="J339">
            <v>0.7</v>
          </cell>
          <cell r="K339">
            <v>0.89999999999999991</v>
          </cell>
          <cell r="P339">
            <v>4</v>
          </cell>
        </row>
        <row r="340">
          <cell r="B340">
            <v>160</v>
          </cell>
          <cell r="C340">
            <v>2</v>
          </cell>
          <cell r="D340">
            <v>8.74</v>
          </cell>
          <cell r="E340">
            <v>1</v>
          </cell>
          <cell r="I340">
            <v>0.2</v>
          </cell>
          <cell r="J340">
            <v>0.7</v>
          </cell>
          <cell r="K340">
            <v>0.89999999999999991</v>
          </cell>
          <cell r="P340">
            <v>4</v>
          </cell>
        </row>
        <row r="341">
          <cell r="B341">
            <v>160</v>
          </cell>
          <cell r="C341">
            <v>2.5</v>
          </cell>
          <cell r="D341">
            <v>9.5299999999999994</v>
          </cell>
          <cell r="E341">
            <v>1</v>
          </cell>
          <cell r="I341">
            <v>0.25</v>
          </cell>
          <cell r="J341">
            <v>0.8</v>
          </cell>
          <cell r="K341">
            <v>1.05</v>
          </cell>
          <cell r="P341">
            <v>4</v>
          </cell>
        </row>
        <row r="342">
          <cell r="B342">
            <v>160</v>
          </cell>
          <cell r="C342">
            <v>3</v>
          </cell>
          <cell r="D342">
            <v>11.13</v>
          </cell>
          <cell r="E342">
            <v>1.25</v>
          </cell>
          <cell r="I342">
            <v>0.3</v>
          </cell>
          <cell r="J342">
            <v>1.5</v>
          </cell>
          <cell r="K342">
            <v>1.8</v>
          </cell>
          <cell r="P342">
            <v>4</v>
          </cell>
        </row>
        <row r="343">
          <cell r="B343">
            <v>160</v>
          </cell>
          <cell r="C343">
            <v>4</v>
          </cell>
          <cell r="D343">
            <v>13.49</v>
          </cell>
          <cell r="E343">
            <v>1.25</v>
          </cell>
          <cell r="I343">
            <v>0.41</v>
          </cell>
          <cell r="J343">
            <v>2.59</v>
          </cell>
          <cell r="K343">
            <v>3</v>
          </cell>
          <cell r="P343">
            <v>4</v>
          </cell>
        </row>
        <row r="344">
          <cell r="B344">
            <v>160</v>
          </cell>
          <cell r="C344">
            <v>5</v>
          </cell>
          <cell r="D344">
            <v>15.88</v>
          </cell>
          <cell r="E344">
            <v>1.5</v>
          </cell>
          <cell r="I344">
            <v>0.51</v>
          </cell>
          <cell r="J344">
            <v>4.29</v>
          </cell>
          <cell r="K344">
            <v>4.8</v>
          </cell>
          <cell r="P344">
            <v>4</v>
          </cell>
        </row>
        <row r="345">
          <cell r="B345">
            <v>160</v>
          </cell>
          <cell r="C345">
            <v>6</v>
          </cell>
          <cell r="D345">
            <v>18.260000000000002</v>
          </cell>
          <cell r="E345">
            <v>1.5</v>
          </cell>
          <cell r="I345">
            <v>0.61</v>
          </cell>
          <cell r="J345">
            <v>7.04</v>
          </cell>
          <cell r="K345">
            <v>7.65</v>
          </cell>
          <cell r="P345">
            <v>4</v>
          </cell>
        </row>
        <row r="346">
          <cell r="B346">
            <v>160</v>
          </cell>
          <cell r="C346">
            <v>8</v>
          </cell>
          <cell r="D346">
            <v>23.01</v>
          </cell>
          <cell r="E346">
            <v>2</v>
          </cell>
          <cell r="I346">
            <v>0.81</v>
          </cell>
          <cell r="J346">
            <v>11.19</v>
          </cell>
          <cell r="K346">
            <v>12</v>
          </cell>
          <cell r="P346">
            <v>4</v>
          </cell>
        </row>
        <row r="347">
          <cell r="B347">
            <v>160</v>
          </cell>
          <cell r="C347">
            <v>10</v>
          </cell>
          <cell r="D347">
            <v>28.58</v>
          </cell>
          <cell r="E347" t="str">
            <v>N</v>
          </cell>
          <cell r="I347">
            <v>1.01</v>
          </cell>
          <cell r="J347">
            <v>21.48</v>
          </cell>
          <cell r="K347">
            <v>22.490000000000002</v>
          </cell>
          <cell r="P347">
            <v>4</v>
          </cell>
        </row>
        <row r="348">
          <cell r="B348">
            <v>160</v>
          </cell>
          <cell r="C348">
            <v>12</v>
          </cell>
          <cell r="D348">
            <v>33.32</v>
          </cell>
          <cell r="E348" t="str">
            <v>N</v>
          </cell>
          <cell r="I348">
            <v>1.22</v>
          </cell>
          <cell r="J348">
            <v>31.78</v>
          </cell>
          <cell r="K348">
            <v>33</v>
          </cell>
          <cell r="P348">
            <v>6</v>
          </cell>
        </row>
        <row r="349">
          <cell r="B349">
            <v>160</v>
          </cell>
          <cell r="C349">
            <v>14</v>
          </cell>
          <cell r="D349">
            <v>35.71</v>
          </cell>
          <cell r="E349" t="str">
            <v>N</v>
          </cell>
          <cell r="I349">
            <v>1.42</v>
          </cell>
          <cell r="J349">
            <v>39.07</v>
          </cell>
          <cell r="K349">
            <v>40.49</v>
          </cell>
          <cell r="P349">
            <v>6</v>
          </cell>
        </row>
        <row r="350">
          <cell r="B350">
            <v>160</v>
          </cell>
          <cell r="C350">
            <v>16</v>
          </cell>
          <cell r="D350">
            <v>40.49</v>
          </cell>
          <cell r="E350" t="str">
            <v>N</v>
          </cell>
          <cell r="I350">
            <v>1.62</v>
          </cell>
          <cell r="J350">
            <v>53.88</v>
          </cell>
          <cell r="K350">
            <v>55.5</v>
          </cell>
          <cell r="P350">
            <v>6</v>
          </cell>
        </row>
        <row r="351">
          <cell r="B351">
            <v>160</v>
          </cell>
          <cell r="C351">
            <v>18</v>
          </cell>
          <cell r="D351">
            <v>45.24</v>
          </cell>
          <cell r="E351" t="str">
            <v>N</v>
          </cell>
          <cell r="I351">
            <v>1.82</v>
          </cell>
          <cell r="J351">
            <v>71.680000000000007</v>
          </cell>
          <cell r="K351">
            <v>73.5</v>
          </cell>
          <cell r="P351">
            <v>6</v>
          </cell>
        </row>
        <row r="352">
          <cell r="B352">
            <v>160</v>
          </cell>
          <cell r="C352">
            <v>20</v>
          </cell>
          <cell r="D352">
            <v>50.01</v>
          </cell>
          <cell r="E352" t="str">
            <v>N</v>
          </cell>
          <cell r="I352">
            <v>2.0299999999999998</v>
          </cell>
          <cell r="J352">
            <v>93.97</v>
          </cell>
          <cell r="K352">
            <v>96</v>
          </cell>
          <cell r="P352">
            <v>7</v>
          </cell>
        </row>
        <row r="353">
          <cell r="B353">
            <v>160</v>
          </cell>
          <cell r="C353">
            <v>22</v>
          </cell>
          <cell r="D353">
            <v>53.98</v>
          </cell>
          <cell r="E353" t="str">
            <v>N</v>
          </cell>
          <cell r="I353">
            <v>2.23</v>
          </cell>
          <cell r="J353">
            <v>132.77000000000001</v>
          </cell>
          <cell r="K353">
            <v>135</v>
          </cell>
          <cell r="P353">
            <v>8</v>
          </cell>
        </row>
        <row r="354">
          <cell r="B354">
            <v>160</v>
          </cell>
          <cell r="C354">
            <v>24</v>
          </cell>
          <cell r="D354">
            <v>59.54</v>
          </cell>
          <cell r="E354" t="str">
            <v>N</v>
          </cell>
          <cell r="I354">
            <v>2.4300000000000002</v>
          </cell>
          <cell r="J354">
            <v>162.56</v>
          </cell>
          <cell r="K354">
            <v>164.99</v>
          </cell>
          <cell r="P354">
            <v>8</v>
          </cell>
        </row>
        <row r="355">
          <cell r="B355" t="str">
            <v>STD</v>
          </cell>
          <cell r="C355">
            <v>0.125</v>
          </cell>
          <cell r="D355">
            <v>1.73</v>
          </cell>
          <cell r="E355">
            <v>1</v>
          </cell>
          <cell r="I355">
            <v>7.0000000000000007E-2</v>
          </cell>
          <cell r="K355">
            <v>7.0000000000000007E-2</v>
          </cell>
          <cell r="P355">
            <v>2</v>
          </cell>
        </row>
        <row r="356">
          <cell r="B356" t="str">
            <v>STD</v>
          </cell>
          <cell r="C356">
            <v>0.125</v>
          </cell>
          <cell r="D356">
            <v>1.73</v>
          </cell>
          <cell r="E356">
            <v>1</v>
          </cell>
          <cell r="I356">
            <v>7.0000000000000007E-2</v>
          </cell>
          <cell r="K356">
            <v>7.0000000000000007E-2</v>
          </cell>
          <cell r="P356">
            <v>2</v>
          </cell>
        </row>
        <row r="357">
          <cell r="B357" t="str">
            <v>STD</v>
          </cell>
          <cell r="C357">
            <v>0.125</v>
          </cell>
          <cell r="D357">
            <v>1.73</v>
          </cell>
          <cell r="E357">
            <v>1</v>
          </cell>
          <cell r="I357">
            <v>7.0000000000000007E-2</v>
          </cell>
          <cell r="K357">
            <v>7.0000000000000007E-2</v>
          </cell>
          <cell r="P357">
            <v>2</v>
          </cell>
        </row>
        <row r="358">
          <cell r="B358" t="str">
            <v>STD</v>
          </cell>
          <cell r="C358">
            <v>0.25</v>
          </cell>
          <cell r="D358">
            <v>2.2400000000000002</v>
          </cell>
          <cell r="E358">
            <v>1</v>
          </cell>
          <cell r="I358">
            <v>7.0000000000000007E-2</v>
          </cell>
          <cell r="K358">
            <v>7.0000000000000007E-2</v>
          </cell>
          <cell r="P358">
            <v>2</v>
          </cell>
        </row>
        <row r="359">
          <cell r="B359" t="str">
            <v>STD</v>
          </cell>
          <cell r="C359">
            <v>0.25</v>
          </cell>
          <cell r="D359">
            <v>2.2400000000000002</v>
          </cell>
          <cell r="E359">
            <v>1</v>
          </cell>
          <cell r="I359">
            <v>7.0000000000000007E-2</v>
          </cell>
          <cell r="K359">
            <v>7.0000000000000007E-2</v>
          </cell>
          <cell r="P359">
            <v>2</v>
          </cell>
        </row>
        <row r="360">
          <cell r="B360" t="str">
            <v>STD</v>
          </cell>
          <cell r="C360">
            <v>0.25</v>
          </cell>
          <cell r="D360">
            <v>2.2400000000000002</v>
          </cell>
          <cell r="E360">
            <v>1</v>
          </cell>
          <cell r="I360">
            <v>7.0000000000000007E-2</v>
          </cell>
          <cell r="K360">
            <v>7.0000000000000007E-2</v>
          </cell>
          <cell r="P360">
            <v>2</v>
          </cell>
        </row>
        <row r="361">
          <cell r="B361" t="str">
            <v>STD</v>
          </cell>
          <cell r="C361">
            <v>0.375</v>
          </cell>
          <cell r="D361">
            <v>2.31</v>
          </cell>
          <cell r="E361">
            <v>1</v>
          </cell>
          <cell r="I361">
            <v>7.0000000000000007E-2</v>
          </cell>
          <cell r="J361">
            <v>0</v>
          </cell>
          <cell r="K361">
            <v>7.0000000000000007E-2</v>
          </cell>
          <cell r="P361">
            <v>2</v>
          </cell>
        </row>
        <row r="362">
          <cell r="B362" t="str">
            <v>STD</v>
          </cell>
          <cell r="C362">
            <v>0.375</v>
          </cell>
          <cell r="D362">
            <v>2.31</v>
          </cell>
          <cell r="E362">
            <v>1</v>
          </cell>
          <cell r="I362">
            <v>7.0000000000000007E-2</v>
          </cell>
          <cell r="J362">
            <v>0</v>
          </cell>
          <cell r="K362">
            <v>7.0000000000000007E-2</v>
          </cell>
          <cell r="P362">
            <v>2</v>
          </cell>
        </row>
        <row r="363">
          <cell r="B363" t="str">
            <v>STD</v>
          </cell>
          <cell r="C363">
            <v>0.375</v>
          </cell>
          <cell r="D363">
            <v>2.31</v>
          </cell>
          <cell r="E363">
            <v>1</v>
          </cell>
          <cell r="I363">
            <v>7.0000000000000007E-2</v>
          </cell>
          <cell r="J363">
            <v>0</v>
          </cell>
          <cell r="K363">
            <v>7.0000000000000007E-2</v>
          </cell>
          <cell r="P363">
            <v>2</v>
          </cell>
        </row>
        <row r="364">
          <cell r="B364" t="str">
            <v>STD</v>
          </cell>
          <cell r="C364">
            <v>0.5</v>
          </cell>
          <cell r="D364">
            <v>2.77</v>
          </cell>
          <cell r="E364">
            <v>1</v>
          </cell>
          <cell r="I364">
            <v>7.0000000000000007E-2</v>
          </cell>
          <cell r="J364">
            <v>0</v>
          </cell>
          <cell r="K364">
            <v>7.0000000000000007E-2</v>
          </cell>
          <cell r="P364">
            <v>2</v>
          </cell>
        </row>
        <row r="365">
          <cell r="B365" t="str">
            <v>STD</v>
          </cell>
          <cell r="C365">
            <v>0.5</v>
          </cell>
          <cell r="D365">
            <v>2.77</v>
          </cell>
          <cell r="E365">
            <v>1</v>
          </cell>
          <cell r="I365">
            <v>7.0000000000000007E-2</v>
          </cell>
          <cell r="J365">
            <v>0</v>
          </cell>
          <cell r="K365">
            <v>7.0000000000000007E-2</v>
          </cell>
          <cell r="P365">
            <v>2</v>
          </cell>
        </row>
        <row r="366">
          <cell r="B366" t="str">
            <v>STD</v>
          </cell>
          <cell r="C366">
            <v>0.5</v>
          </cell>
          <cell r="D366">
            <v>2.77</v>
          </cell>
          <cell r="E366">
            <v>1</v>
          </cell>
          <cell r="I366">
            <v>7.0000000000000007E-2</v>
          </cell>
          <cell r="J366">
            <v>0</v>
          </cell>
          <cell r="K366">
            <v>7.0000000000000007E-2</v>
          </cell>
          <cell r="P366">
            <v>2</v>
          </cell>
        </row>
        <row r="367">
          <cell r="B367" t="str">
            <v>STD</v>
          </cell>
          <cell r="C367">
            <v>0.75</v>
          </cell>
          <cell r="D367">
            <v>2.87</v>
          </cell>
          <cell r="E367">
            <v>1</v>
          </cell>
          <cell r="I367">
            <v>7.0000000000000007E-2</v>
          </cell>
          <cell r="J367">
            <v>0</v>
          </cell>
          <cell r="K367">
            <v>7.0000000000000007E-2</v>
          </cell>
          <cell r="P367">
            <v>2</v>
          </cell>
        </row>
        <row r="368">
          <cell r="B368" t="str">
            <v>STD</v>
          </cell>
          <cell r="C368">
            <v>0.75</v>
          </cell>
          <cell r="D368">
            <v>2.87</v>
          </cell>
          <cell r="E368">
            <v>1</v>
          </cell>
          <cell r="I368">
            <v>7.0000000000000007E-2</v>
          </cell>
          <cell r="J368">
            <v>0</v>
          </cell>
          <cell r="K368">
            <v>7.0000000000000007E-2</v>
          </cell>
          <cell r="P368">
            <v>2</v>
          </cell>
        </row>
        <row r="369">
          <cell r="B369" t="str">
            <v>STD</v>
          </cell>
          <cell r="C369">
            <v>0.75</v>
          </cell>
          <cell r="D369">
            <v>2.87</v>
          </cell>
          <cell r="E369">
            <v>1</v>
          </cell>
          <cell r="I369">
            <v>7.0000000000000007E-2</v>
          </cell>
          <cell r="J369">
            <v>0</v>
          </cell>
          <cell r="K369">
            <v>7.0000000000000007E-2</v>
          </cell>
          <cell r="P369">
            <v>2</v>
          </cell>
        </row>
        <row r="370">
          <cell r="B370" t="str">
            <v>STD</v>
          </cell>
          <cell r="C370">
            <v>1</v>
          </cell>
          <cell r="D370">
            <v>3.38</v>
          </cell>
          <cell r="E370">
            <v>1</v>
          </cell>
          <cell r="I370">
            <v>0.12</v>
          </cell>
          <cell r="J370">
            <v>0</v>
          </cell>
          <cell r="K370">
            <v>0.12</v>
          </cell>
          <cell r="P370">
            <v>2</v>
          </cell>
        </row>
        <row r="371">
          <cell r="B371" t="str">
            <v>STD</v>
          </cell>
          <cell r="C371">
            <v>1</v>
          </cell>
          <cell r="D371">
            <v>3.38</v>
          </cell>
          <cell r="E371">
            <v>1</v>
          </cell>
          <cell r="I371">
            <v>0.12</v>
          </cell>
          <cell r="J371">
            <v>0</v>
          </cell>
          <cell r="K371">
            <v>0.12</v>
          </cell>
          <cell r="P371">
            <v>2</v>
          </cell>
        </row>
        <row r="372">
          <cell r="B372" t="str">
            <v>STD</v>
          </cell>
          <cell r="C372">
            <v>1</v>
          </cell>
          <cell r="D372">
            <v>3.38</v>
          </cell>
          <cell r="E372">
            <v>1</v>
          </cell>
          <cell r="I372">
            <v>0.12</v>
          </cell>
          <cell r="J372">
            <v>0</v>
          </cell>
          <cell r="K372">
            <v>0.12</v>
          </cell>
          <cell r="P372">
            <v>2</v>
          </cell>
        </row>
        <row r="373">
          <cell r="B373" t="str">
            <v>STD</v>
          </cell>
          <cell r="C373">
            <v>1.25</v>
          </cell>
          <cell r="D373">
            <v>3.56</v>
          </cell>
          <cell r="E373">
            <v>1</v>
          </cell>
          <cell r="I373">
            <v>0.15</v>
          </cell>
          <cell r="K373">
            <v>0.15</v>
          </cell>
          <cell r="P373">
            <v>2</v>
          </cell>
        </row>
        <row r="374">
          <cell r="B374" t="str">
            <v>STD</v>
          </cell>
          <cell r="C374">
            <v>1.25</v>
          </cell>
          <cell r="D374">
            <v>3.56</v>
          </cell>
          <cell r="E374">
            <v>1</v>
          </cell>
          <cell r="I374">
            <v>0.15</v>
          </cell>
          <cell r="K374">
            <v>0.15</v>
          </cell>
          <cell r="P374">
            <v>2</v>
          </cell>
        </row>
        <row r="375">
          <cell r="B375" t="str">
            <v>STD</v>
          </cell>
          <cell r="C375">
            <v>1.25</v>
          </cell>
          <cell r="D375">
            <v>3.56</v>
          </cell>
          <cell r="E375">
            <v>1</v>
          </cell>
          <cell r="I375">
            <v>0.15</v>
          </cell>
          <cell r="K375">
            <v>0.15</v>
          </cell>
          <cell r="P375">
            <v>2</v>
          </cell>
        </row>
        <row r="376">
          <cell r="B376" t="str">
            <v>STD</v>
          </cell>
          <cell r="C376">
            <v>1.5</v>
          </cell>
          <cell r="D376">
            <v>3.68</v>
          </cell>
          <cell r="E376">
            <v>1</v>
          </cell>
          <cell r="I376">
            <v>0.15</v>
          </cell>
          <cell r="J376">
            <v>0</v>
          </cell>
          <cell r="K376">
            <v>0.15</v>
          </cell>
          <cell r="P376">
            <v>2</v>
          </cell>
        </row>
        <row r="377">
          <cell r="B377" t="str">
            <v>STD</v>
          </cell>
          <cell r="C377">
            <v>1.5</v>
          </cell>
          <cell r="D377">
            <v>3.68</v>
          </cell>
          <cell r="E377">
            <v>1</v>
          </cell>
          <cell r="I377">
            <v>0.15</v>
          </cell>
          <cell r="J377">
            <v>0</v>
          </cell>
          <cell r="K377">
            <v>0.15</v>
          </cell>
          <cell r="P377">
            <v>2</v>
          </cell>
        </row>
        <row r="378">
          <cell r="B378" t="str">
            <v>STD</v>
          </cell>
          <cell r="C378">
            <v>1.5</v>
          </cell>
          <cell r="D378">
            <v>3.68</v>
          </cell>
          <cell r="E378">
            <v>1</v>
          </cell>
          <cell r="I378">
            <v>0.15</v>
          </cell>
          <cell r="J378">
            <v>0</v>
          </cell>
          <cell r="K378">
            <v>0.15</v>
          </cell>
          <cell r="P378">
            <v>2</v>
          </cell>
        </row>
        <row r="379">
          <cell r="B379" t="str">
            <v>STD</v>
          </cell>
          <cell r="C379">
            <v>2</v>
          </cell>
          <cell r="D379">
            <v>3.91</v>
          </cell>
          <cell r="E379">
            <v>1</v>
          </cell>
          <cell r="I379">
            <v>0.3</v>
          </cell>
          <cell r="J379">
            <v>0</v>
          </cell>
          <cell r="K379">
            <v>0.3</v>
          </cell>
          <cell r="P379">
            <v>2</v>
          </cell>
        </row>
        <row r="380">
          <cell r="B380" t="str">
            <v>STD</v>
          </cell>
          <cell r="C380">
            <v>2</v>
          </cell>
          <cell r="D380">
            <v>3.91</v>
          </cell>
          <cell r="E380">
            <v>1</v>
          </cell>
          <cell r="I380">
            <v>0.3</v>
          </cell>
          <cell r="J380">
            <v>0</v>
          </cell>
          <cell r="K380">
            <v>0.3</v>
          </cell>
          <cell r="P380">
            <v>2</v>
          </cell>
        </row>
        <row r="381">
          <cell r="B381" t="str">
            <v>STD</v>
          </cell>
          <cell r="C381">
            <v>2</v>
          </cell>
          <cell r="D381">
            <v>3.91</v>
          </cell>
          <cell r="E381">
            <v>1</v>
          </cell>
          <cell r="I381">
            <v>0.3</v>
          </cell>
          <cell r="J381">
            <v>0</v>
          </cell>
          <cell r="K381">
            <v>0.3</v>
          </cell>
          <cell r="P381">
            <v>2</v>
          </cell>
        </row>
        <row r="382">
          <cell r="B382" t="str">
            <v>STD</v>
          </cell>
          <cell r="C382">
            <v>2.5</v>
          </cell>
          <cell r="D382">
            <v>5.16</v>
          </cell>
          <cell r="E382">
            <v>1</v>
          </cell>
          <cell r="I382">
            <v>0.25</v>
          </cell>
          <cell r="J382">
            <v>0.2</v>
          </cell>
          <cell r="K382">
            <v>0.45</v>
          </cell>
          <cell r="P382">
            <v>2</v>
          </cell>
        </row>
        <row r="383">
          <cell r="B383" t="str">
            <v>STD</v>
          </cell>
          <cell r="C383">
            <v>3</v>
          </cell>
          <cell r="D383">
            <v>5.49</v>
          </cell>
          <cell r="E383">
            <v>1</v>
          </cell>
          <cell r="I383">
            <v>0.3</v>
          </cell>
          <cell r="J383">
            <v>0.3</v>
          </cell>
          <cell r="K383">
            <v>0.6</v>
          </cell>
          <cell r="P383">
            <v>2</v>
          </cell>
        </row>
        <row r="384">
          <cell r="B384" t="str">
            <v>STD</v>
          </cell>
          <cell r="C384">
            <v>3.5</v>
          </cell>
          <cell r="D384">
            <v>5.74</v>
          </cell>
          <cell r="E384">
            <v>1</v>
          </cell>
          <cell r="I384">
            <v>0.35</v>
          </cell>
          <cell r="J384">
            <v>0.4</v>
          </cell>
          <cell r="K384">
            <v>0.75</v>
          </cell>
          <cell r="P384">
            <v>3</v>
          </cell>
        </row>
        <row r="385">
          <cell r="B385" t="str">
            <v>STD</v>
          </cell>
          <cell r="C385">
            <v>4</v>
          </cell>
          <cell r="D385">
            <v>6.02</v>
          </cell>
          <cell r="E385">
            <v>1</v>
          </cell>
          <cell r="I385">
            <v>0.41</v>
          </cell>
          <cell r="J385">
            <v>0.49</v>
          </cell>
          <cell r="K385">
            <v>0.89999999999999991</v>
          </cell>
          <cell r="P385">
            <v>3</v>
          </cell>
        </row>
        <row r="386">
          <cell r="B386" t="str">
            <v>STD</v>
          </cell>
          <cell r="C386">
            <v>5</v>
          </cell>
          <cell r="D386">
            <v>6.55</v>
          </cell>
          <cell r="E386">
            <v>1</v>
          </cell>
          <cell r="I386">
            <v>0.51</v>
          </cell>
          <cell r="J386">
            <v>0.54</v>
          </cell>
          <cell r="K386">
            <v>1.05</v>
          </cell>
          <cell r="P386">
            <v>4</v>
          </cell>
        </row>
        <row r="387">
          <cell r="B387" t="str">
            <v>STD</v>
          </cell>
          <cell r="C387">
            <v>6</v>
          </cell>
          <cell r="D387">
            <v>7.11</v>
          </cell>
          <cell r="E387">
            <v>1</v>
          </cell>
          <cell r="I387">
            <v>0.61</v>
          </cell>
          <cell r="J387">
            <v>1.04</v>
          </cell>
          <cell r="K387">
            <v>1.65</v>
          </cell>
          <cell r="P387">
            <v>4</v>
          </cell>
        </row>
        <row r="388">
          <cell r="B388" t="str">
            <v>STD</v>
          </cell>
          <cell r="C388">
            <v>8</v>
          </cell>
          <cell r="D388">
            <v>8.18</v>
          </cell>
          <cell r="E388">
            <v>1</v>
          </cell>
          <cell r="I388">
            <v>0.81</v>
          </cell>
          <cell r="J388">
            <v>1.73</v>
          </cell>
          <cell r="K388">
            <v>2.54</v>
          </cell>
          <cell r="P388">
            <v>4</v>
          </cell>
        </row>
        <row r="389">
          <cell r="B389" t="str">
            <v>STD</v>
          </cell>
          <cell r="C389">
            <v>10</v>
          </cell>
          <cell r="D389">
            <v>9.27</v>
          </cell>
          <cell r="E389">
            <v>1</v>
          </cell>
          <cell r="I389">
            <v>1.01</v>
          </cell>
          <cell r="J389">
            <v>3.04</v>
          </cell>
          <cell r="K389">
            <v>4.05</v>
          </cell>
          <cell r="P389">
            <v>4</v>
          </cell>
        </row>
        <row r="390">
          <cell r="B390" t="str">
            <v>STD</v>
          </cell>
          <cell r="C390">
            <v>12</v>
          </cell>
          <cell r="D390">
            <v>9.5299999999999994</v>
          </cell>
          <cell r="E390">
            <v>1</v>
          </cell>
          <cell r="I390">
            <v>1.22</v>
          </cell>
          <cell r="J390">
            <v>3.28</v>
          </cell>
          <cell r="K390">
            <v>4.5</v>
          </cell>
          <cell r="P390">
            <v>6</v>
          </cell>
        </row>
        <row r="391">
          <cell r="B391" t="str">
            <v>STD</v>
          </cell>
          <cell r="C391">
            <v>14</v>
          </cell>
          <cell r="D391">
            <v>9.5299999999999994</v>
          </cell>
          <cell r="E391">
            <v>1</v>
          </cell>
          <cell r="I391">
            <v>1.42</v>
          </cell>
          <cell r="J391">
            <v>3.97</v>
          </cell>
          <cell r="K391">
            <v>5.3900000000000006</v>
          </cell>
          <cell r="P391">
            <v>6</v>
          </cell>
        </row>
        <row r="392">
          <cell r="B392" t="str">
            <v>STD</v>
          </cell>
          <cell r="C392">
            <v>16</v>
          </cell>
          <cell r="D392">
            <v>9.5299999999999994</v>
          </cell>
          <cell r="E392">
            <v>1</v>
          </cell>
          <cell r="I392">
            <v>1.62</v>
          </cell>
          <cell r="J392">
            <v>4.68</v>
          </cell>
          <cell r="K392">
            <v>6.3</v>
          </cell>
          <cell r="P392">
            <v>6</v>
          </cell>
        </row>
        <row r="393">
          <cell r="B393" t="str">
            <v>STD</v>
          </cell>
          <cell r="C393">
            <v>18</v>
          </cell>
          <cell r="D393">
            <v>9.5299999999999994</v>
          </cell>
          <cell r="E393">
            <v>1</v>
          </cell>
          <cell r="I393">
            <v>1.82</v>
          </cell>
          <cell r="J393">
            <v>5.38</v>
          </cell>
          <cell r="K393">
            <v>7.2</v>
          </cell>
          <cell r="P393">
            <v>6</v>
          </cell>
        </row>
        <row r="394">
          <cell r="B394" t="str">
            <v>STD</v>
          </cell>
          <cell r="C394">
            <v>20</v>
          </cell>
          <cell r="D394">
            <v>9.5299999999999994</v>
          </cell>
          <cell r="E394">
            <v>1</v>
          </cell>
          <cell r="I394">
            <v>2.0299999999999998</v>
          </cell>
          <cell r="J394">
            <v>5.47</v>
          </cell>
          <cell r="K394">
            <v>7.5</v>
          </cell>
          <cell r="P394">
            <v>7</v>
          </cell>
        </row>
        <row r="395">
          <cell r="B395" t="str">
            <v>STD</v>
          </cell>
          <cell r="C395">
            <v>22</v>
          </cell>
          <cell r="D395">
            <v>9.5299999999999994</v>
          </cell>
          <cell r="E395">
            <v>1</v>
          </cell>
          <cell r="I395">
            <v>2.23</v>
          </cell>
          <cell r="J395">
            <v>6.47</v>
          </cell>
          <cell r="K395">
            <v>8.6999999999999993</v>
          </cell>
          <cell r="P395">
            <v>8</v>
          </cell>
        </row>
        <row r="396">
          <cell r="B396" t="str">
            <v>STD</v>
          </cell>
          <cell r="C396">
            <v>24</v>
          </cell>
          <cell r="D396">
            <v>9.5299999999999994</v>
          </cell>
          <cell r="E396">
            <v>1</v>
          </cell>
          <cell r="I396">
            <v>2.4300000000000002</v>
          </cell>
          <cell r="J396">
            <v>6.57</v>
          </cell>
          <cell r="K396">
            <v>9</v>
          </cell>
          <cell r="P396">
            <v>8</v>
          </cell>
        </row>
        <row r="397">
          <cell r="B397" t="str">
            <v>STD</v>
          </cell>
          <cell r="C397">
            <v>26</v>
          </cell>
          <cell r="D397">
            <v>9.5299999999999994</v>
          </cell>
          <cell r="E397">
            <v>1</v>
          </cell>
          <cell r="I397">
            <v>2.64</v>
          </cell>
          <cell r="J397">
            <v>7.7</v>
          </cell>
          <cell r="K397">
            <v>10.34</v>
          </cell>
          <cell r="P397">
            <v>9</v>
          </cell>
        </row>
        <row r="398">
          <cell r="B398" t="str">
            <v>STD</v>
          </cell>
          <cell r="C398">
            <v>28</v>
          </cell>
          <cell r="D398">
            <v>9.5299999999999994</v>
          </cell>
          <cell r="E398">
            <v>1</v>
          </cell>
          <cell r="I398">
            <v>2.84</v>
          </cell>
          <cell r="J398">
            <v>8.25</v>
          </cell>
          <cell r="K398">
            <v>11.09</v>
          </cell>
          <cell r="P398">
            <v>9</v>
          </cell>
        </row>
        <row r="399">
          <cell r="B399" t="str">
            <v>STD</v>
          </cell>
          <cell r="C399">
            <v>30</v>
          </cell>
          <cell r="D399">
            <v>9.5299999999999994</v>
          </cell>
          <cell r="E399">
            <v>1</v>
          </cell>
          <cell r="I399">
            <v>3.04</v>
          </cell>
          <cell r="J399">
            <v>8.9600000000000009</v>
          </cell>
          <cell r="K399">
            <v>12</v>
          </cell>
          <cell r="P399">
            <v>10</v>
          </cell>
        </row>
        <row r="400">
          <cell r="B400" t="str">
            <v>STD</v>
          </cell>
          <cell r="C400">
            <v>32</v>
          </cell>
          <cell r="D400">
            <v>9.5299999999999994</v>
          </cell>
          <cell r="E400">
            <v>1</v>
          </cell>
          <cell r="I400">
            <v>3.24</v>
          </cell>
          <cell r="J400">
            <v>9.51</v>
          </cell>
          <cell r="K400">
            <v>12.75</v>
          </cell>
          <cell r="P400">
            <v>11</v>
          </cell>
        </row>
        <row r="401">
          <cell r="B401" t="str">
            <v>STD</v>
          </cell>
          <cell r="C401">
            <v>34</v>
          </cell>
          <cell r="D401">
            <v>9.5299999999999994</v>
          </cell>
          <cell r="E401">
            <v>1</v>
          </cell>
          <cell r="I401">
            <v>3.45</v>
          </cell>
          <cell r="J401">
            <v>10.050000000000001</v>
          </cell>
          <cell r="K401">
            <v>13.5</v>
          </cell>
          <cell r="P401">
            <v>12</v>
          </cell>
        </row>
        <row r="402">
          <cell r="B402" t="str">
            <v>STD</v>
          </cell>
          <cell r="C402">
            <v>36</v>
          </cell>
          <cell r="D402">
            <v>9.5299999999999994</v>
          </cell>
          <cell r="E402">
            <v>1</v>
          </cell>
          <cell r="I402">
            <v>3.65</v>
          </cell>
          <cell r="J402">
            <v>10.6</v>
          </cell>
          <cell r="K402">
            <v>14.25</v>
          </cell>
          <cell r="P402">
            <v>12</v>
          </cell>
        </row>
        <row r="403">
          <cell r="B403" t="str">
            <v>STD</v>
          </cell>
          <cell r="C403">
            <v>38</v>
          </cell>
          <cell r="D403">
            <v>9.5299999999999994</v>
          </cell>
          <cell r="E403">
            <v>1</v>
          </cell>
          <cell r="I403">
            <v>3.85</v>
          </cell>
          <cell r="J403">
            <v>11.23</v>
          </cell>
          <cell r="K403">
            <v>15.08</v>
          </cell>
          <cell r="P403">
            <v>13</v>
          </cell>
        </row>
        <row r="404">
          <cell r="B404" t="str">
            <v>STD</v>
          </cell>
          <cell r="C404">
            <v>40</v>
          </cell>
          <cell r="D404">
            <v>9.5299999999999994</v>
          </cell>
          <cell r="E404">
            <v>1</v>
          </cell>
          <cell r="I404">
            <v>4.0599999999999996</v>
          </cell>
          <cell r="J404">
            <v>11.66</v>
          </cell>
          <cell r="K404">
            <v>15.719999999999999</v>
          </cell>
          <cell r="P404">
            <v>14</v>
          </cell>
        </row>
        <row r="405">
          <cell r="B405" t="str">
            <v>STD</v>
          </cell>
          <cell r="C405">
            <v>42</v>
          </cell>
          <cell r="D405">
            <v>9.5299999999999994</v>
          </cell>
          <cell r="E405">
            <v>1</v>
          </cell>
          <cell r="I405">
            <v>4.26</v>
          </cell>
          <cell r="J405">
            <v>12.24</v>
          </cell>
          <cell r="K405">
            <v>16.5</v>
          </cell>
          <cell r="P405">
            <v>14</v>
          </cell>
        </row>
        <row r="406">
          <cell r="B406" t="str">
            <v>STD</v>
          </cell>
          <cell r="C406">
            <v>44</v>
          </cell>
          <cell r="D406">
            <v>9.5299999999999994</v>
          </cell>
          <cell r="E406">
            <v>1</v>
          </cell>
          <cell r="I406">
            <v>4.47</v>
          </cell>
          <cell r="J406">
            <v>17.54</v>
          </cell>
          <cell r="K406">
            <v>22.009999999999998</v>
          </cell>
          <cell r="P406">
            <v>15</v>
          </cell>
        </row>
        <row r="407">
          <cell r="B407" t="str">
            <v>STD</v>
          </cell>
          <cell r="C407">
            <v>46</v>
          </cell>
          <cell r="D407">
            <v>9.5299999999999994</v>
          </cell>
          <cell r="E407">
            <v>1</v>
          </cell>
          <cell r="I407">
            <v>4.67</v>
          </cell>
          <cell r="J407">
            <v>18.329999999999998</v>
          </cell>
          <cell r="K407">
            <v>23</v>
          </cell>
          <cell r="P407">
            <v>16</v>
          </cell>
        </row>
        <row r="408">
          <cell r="B408" t="str">
            <v>STD</v>
          </cell>
          <cell r="C408">
            <v>48</v>
          </cell>
          <cell r="D408">
            <v>9.5299999999999994</v>
          </cell>
          <cell r="E408">
            <v>1</v>
          </cell>
          <cell r="I408">
            <v>4.87</v>
          </cell>
          <cell r="J408">
            <v>19.13</v>
          </cell>
          <cell r="K408">
            <v>24</v>
          </cell>
          <cell r="P408">
            <v>16</v>
          </cell>
        </row>
        <row r="409">
          <cell r="B409" t="str">
            <v xml:space="preserve">XS </v>
          </cell>
          <cell r="C409">
            <v>0.125</v>
          </cell>
          <cell r="D409">
            <v>2.41</v>
          </cell>
          <cell r="E409">
            <v>1</v>
          </cell>
          <cell r="I409">
            <v>7.0000000000000007E-2</v>
          </cell>
          <cell r="K409">
            <v>7.0000000000000007E-2</v>
          </cell>
          <cell r="P409">
            <v>2</v>
          </cell>
        </row>
        <row r="410">
          <cell r="B410" t="str">
            <v xml:space="preserve">XS </v>
          </cell>
          <cell r="C410">
            <v>0.125</v>
          </cell>
          <cell r="D410">
            <v>2.41</v>
          </cell>
          <cell r="E410">
            <v>1</v>
          </cell>
          <cell r="I410">
            <v>7.0000000000000007E-2</v>
          </cell>
          <cell r="K410">
            <v>7.0000000000000007E-2</v>
          </cell>
          <cell r="P410">
            <v>2</v>
          </cell>
        </row>
        <row r="411">
          <cell r="B411" t="str">
            <v xml:space="preserve">XS </v>
          </cell>
          <cell r="C411">
            <v>0.125</v>
          </cell>
          <cell r="D411">
            <v>2.41</v>
          </cell>
          <cell r="E411">
            <v>1</v>
          </cell>
          <cell r="I411">
            <v>7.0000000000000007E-2</v>
          </cell>
          <cell r="K411">
            <v>7.0000000000000007E-2</v>
          </cell>
          <cell r="P411">
            <v>2</v>
          </cell>
        </row>
        <row r="412">
          <cell r="B412" t="str">
            <v xml:space="preserve">XS </v>
          </cell>
          <cell r="C412">
            <v>0.25</v>
          </cell>
          <cell r="D412">
            <v>3.02</v>
          </cell>
          <cell r="E412">
            <v>1</v>
          </cell>
          <cell r="I412">
            <v>7.0000000000000007E-2</v>
          </cell>
          <cell r="K412">
            <v>7.0000000000000007E-2</v>
          </cell>
          <cell r="P412">
            <v>2</v>
          </cell>
        </row>
        <row r="413">
          <cell r="B413" t="str">
            <v xml:space="preserve">XS </v>
          </cell>
          <cell r="C413">
            <v>0.25</v>
          </cell>
          <cell r="D413">
            <v>3.02</v>
          </cell>
          <cell r="E413">
            <v>1</v>
          </cell>
          <cell r="I413">
            <v>7.0000000000000007E-2</v>
          </cell>
          <cell r="K413">
            <v>7.0000000000000007E-2</v>
          </cell>
          <cell r="P413">
            <v>2</v>
          </cell>
        </row>
        <row r="414">
          <cell r="B414" t="str">
            <v xml:space="preserve">XS </v>
          </cell>
          <cell r="C414">
            <v>0.25</v>
          </cell>
          <cell r="D414">
            <v>3.02</v>
          </cell>
          <cell r="E414">
            <v>1</v>
          </cell>
          <cell r="I414">
            <v>7.0000000000000007E-2</v>
          </cell>
          <cell r="K414">
            <v>7.0000000000000007E-2</v>
          </cell>
          <cell r="P414">
            <v>2</v>
          </cell>
        </row>
        <row r="415">
          <cell r="B415" t="str">
            <v xml:space="preserve">XS </v>
          </cell>
          <cell r="C415">
            <v>0.375</v>
          </cell>
          <cell r="D415">
            <v>3.2</v>
          </cell>
          <cell r="E415">
            <v>1</v>
          </cell>
          <cell r="I415">
            <v>7.0000000000000007E-2</v>
          </cell>
          <cell r="J415">
            <v>0</v>
          </cell>
          <cell r="K415">
            <v>7.0000000000000007E-2</v>
          </cell>
          <cell r="P415">
            <v>2</v>
          </cell>
        </row>
        <row r="416">
          <cell r="B416" t="str">
            <v xml:space="preserve">XS </v>
          </cell>
          <cell r="C416">
            <v>0.375</v>
          </cell>
          <cell r="D416">
            <v>3.2</v>
          </cell>
          <cell r="E416">
            <v>1</v>
          </cell>
          <cell r="I416">
            <v>7.0000000000000007E-2</v>
          </cell>
          <cell r="J416">
            <v>0</v>
          </cell>
          <cell r="K416">
            <v>7.0000000000000007E-2</v>
          </cell>
          <cell r="P416">
            <v>2</v>
          </cell>
        </row>
        <row r="417">
          <cell r="B417" t="str">
            <v xml:space="preserve">XS </v>
          </cell>
          <cell r="C417">
            <v>0.375</v>
          </cell>
          <cell r="D417">
            <v>3.2</v>
          </cell>
          <cell r="E417">
            <v>1</v>
          </cell>
          <cell r="I417">
            <v>7.0000000000000007E-2</v>
          </cell>
          <cell r="J417">
            <v>0</v>
          </cell>
          <cell r="K417">
            <v>7.0000000000000007E-2</v>
          </cell>
          <cell r="P417">
            <v>2</v>
          </cell>
        </row>
        <row r="418">
          <cell r="B418" t="str">
            <v xml:space="preserve">XS </v>
          </cell>
          <cell r="C418">
            <v>0.5</v>
          </cell>
          <cell r="D418">
            <v>3.73</v>
          </cell>
          <cell r="E418">
            <v>1</v>
          </cell>
          <cell r="I418">
            <v>7.0000000000000007E-2</v>
          </cell>
          <cell r="J418">
            <v>0</v>
          </cell>
          <cell r="K418">
            <v>7.0000000000000007E-2</v>
          </cell>
          <cell r="P418">
            <v>2</v>
          </cell>
        </row>
        <row r="419">
          <cell r="B419" t="str">
            <v xml:space="preserve">XS </v>
          </cell>
          <cell r="C419">
            <v>0.5</v>
          </cell>
          <cell r="D419">
            <v>3.73</v>
          </cell>
          <cell r="E419">
            <v>1</v>
          </cell>
          <cell r="I419">
            <v>7.0000000000000007E-2</v>
          </cell>
          <cell r="J419">
            <v>0</v>
          </cell>
          <cell r="K419">
            <v>7.0000000000000007E-2</v>
          </cell>
          <cell r="P419">
            <v>2</v>
          </cell>
        </row>
        <row r="420">
          <cell r="B420" t="str">
            <v xml:space="preserve">XS </v>
          </cell>
          <cell r="C420">
            <v>0.5</v>
          </cell>
          <cell r="D420">
            <v>3.73</v>
          </cell>
          <cell r="E420">
            <v>1</v>
          </cell>
          <cell r="I420">
            <v>7.0000000000000007E-2</v>
          </cell>
          <cell r="J420">
            <v>0</v>
          </cell>
          <cell r="K420">
            <v>7.0000000000000007E-2</v>
          </cell>
          <cell r="P420">
            <v>2</v>
          </cell>
        </row>
        <row r="421">
          <cell r="B421" t="str">
            <v xml:space="preserve">XS </v>
          </cell>
          <cell r="C421">
            <v>0.75</v>
          </cell>
          <cell r="D421">
            <v>3.91</v>
          </cell>
          <cell r="E421">
            <v>1</v>
          </cell>
          <cell r="I421">
            <v>7.0000000000000007E-2</v>
          </cell>
          <cell r="J421">
            <v>0</v>
          </cell>
          <cell r="K421">
            <v>7.0000000000000007E-2</v>
          </cell>
          <cell r="P421">
            <v>2</v>
          </cell>
        </row>
        <row r="422">
          <cell r="B422" t="str">
            <v xml:space="preserve">XS </v>
          </cell>
          <cell r="C422">
            <v>0.75</v>
          </cell>
          <cell r="D422">
            <v>3.91</v>
          </cell>
          <cell r="E422">
            <v>1</v>
          </cell>
          <cell r="I422">
            <v>7.0000000000000007E-2</v>
          </cell>
          <cell r="J422">
            <v>0</v>
          </cell>
          <cell r="K422">
            <v>7.0000000000000007E-2</v>
          </cell>
          <cell r="P422">
            <v>2</v>
          </cell>
        </row>
        <row r="423">
          <cell r="B423" t="str">
            <v xml:space="preserve">XS </v>
          </cell>
          <cell r="C423">
            <v>0.75</v>
          </cell>
          <cell r="D423">
            <v>3.91</v>
          </cell>
          <cell r="E423">
            <v>1</v>
          </cell>
          <cell r="I423">
            <v>7.0000000000000007E-2</v>
          </cell>
          <cell r="J423">
            <v>0</v>
          </cell>
          <cell r="K423">
            <v>7.0000000000000007E-2</v>
          </cell>
          <cell r="P423">
            <v>2</v>
          </cell>
        </row>
        <row r="424">
          <cell r="B424" t="str">
            <v xml:space="preserve">XS </v>
          </cell>
          <cell r="C424">
            <v>1</v>
          </cell>
          <cell r="D424">
            <v>4.55</v>
          </cell>
          <cell r="E424">
            <v>1</v>
          </cell>
          <cell r="I424">
            <v>0.15</v>
          </cell>
          <cell r="J424">
            <v>0</v>
          </cell>
          <cell r="K424">
            <v>0.15</v>
          </cell>
          <cell r="P424">
            <v>2</v>
          </cell>
        </row>
        <row r="425">
          <cell r="B425" t="str">
            <v xml:space="preserve">XS </v>
          </cell>
          <cell r="C425">
            <v>1</v>
          </cell>
          <cell r="D425">
            <v>4.55</v>
          </cell>
          <cell r="E425">
            <v>1</v>
          </cell>
          <cell r="I425">
            <v>0.15</v>
          </cell>
          <cell r="J425">
            <v>0</v>
          </cell>
          <cell r="K425">
            <v>0.15</v>
          </cell>
          <cell r="P425">
            <v>2</v>
          </cell>
        </row>
        <row r="426">
          <cell r="B426" t="str">
            <v xml:space="preserve">XS </v>
          </cell>
          <cell r="C426">
            <v>1</v>
          </cell>
          <cell r="D426">
            <v>4.55</v>
          </cell>
          <cell r="E426">
            <v>1</v>
          </cell>
          <cell r="I426">
            <v>0.15</v>
          </cell>
          <cell r="J426">
            <v>0</v>
          </cell>
          <cell r="K426">
            <v>0.15</v>
          </cell>
          <cell r="P426">
            <v>2</v>
          </cell>
        </row>
        <row r="427">
          <cell r="B427" t="str">
            <v xml:space="preserve">XS </v>
          </cell>
          <cell r="C427">
            <v>1.25</v>
          </cell>
          <cell r="D427">
            <v>4.8499999999999996</v>
          </cell>
          <cell r="E427">
            <v>1</v>
          </cell>
          <cell r="I427">
            <v>0.13</v>
          </cell>
          <cell r="J427">
            <v>0.17</v>
          </cell>
          <cell r="K427">
            <v>0.30000000000000004</v>
          </cell>
          <cell r="P427">
            <v>2</v>
          </cell>
        </row>
        <row r="428">
          <cell r="B428" t="str">
            <v xml:space="preserve">XS </v>
          </cell>
          <cell r="C428">
            <v>1.25</v>
          </cell>
          <cell r="D428">
            <v>4.8499999999999996</v>
          </cell>
          <cell r="E428">
            <v>1</v>
          </cell>
          <cell r="I428">
            <v>0.13</v>
          </cell>
          <cell r="J428">
            <v>0.17</v>
          </cell>
          <cell r="K428">
            <v>0.30000000000000004</v>
          </cell>
          <cell r="P428">
            <v>2</v>
          </cell>
        </row>
        <row r="429">
          <cell r="B429" t="str">
            <v xml:space="preserve">XS </v>
          </cell>
          <cell r="C429">
            <v>1.25</v>
          </cell>
          <cell r="D429">
            <v>4.8499999999999996</v>
          </cell>
          <cell r="E429">
            <v>1</v>
          </cell>
          <cell r="I429">
            <v>0.13</v>
          </cell>
          <cell r="J429">
            <v>0.17</v>
          </cell>
          <cell r="K429">
            <v>0.30000000000000004</v>
          </cell>
          <cell r="P429">
            <v>2</v>
          </cell>
        </row>
        <row r="430">
          <cell r="B430" t="str">
            <v xml:space="preserve">XS </v>
          </cell>
          <cell r="C430">
            <v>1.5</v>
          </cell>
          <cell r="D430">
            <v>5.08</v>
          </cell>
          <cell r="E430">
            <v>1</v>
          </cell>
          <cell r="I430">
            <v>0.15</v>
          </cell>
          <cell r="J430">
            <v>0.15</v>
          </cell>
          <cell r="K430">
            <v>0.3</v>
          </cell>
          <cell r="P430">
            <v>2</v>
          </cell>
        </row>
        <row r="431">
          <cell r="B431" t="str">
            <v xml:space="preserve">XS </v>
          </cell>
          <cell r="C431">
            <v>1.5</v>
          </cell>
          <cell r="D431">
            <v>5.08</v>
          </cell>
          <cell r="E431">
            <v>1</v>
          </cell>
          <cell r="I431">
            <v>0.15</v>
          </cell>
          <cell r="J431">
            <v>0.15</v>
          </cell>
          <cell r="K431">
            <v>0.3</v>
          </cell>
          <cell r="P431">
            <v>2</v>
          </cell>
        </row>
        <row r="432">
          <cell r="B432" t="str">
            <v xml:space="preserve">XS </v>
          </cell>
          <cell r="C432">
            <v>1.5</v>
          </cell>
          <cell r="D432">
            <v>5.08</v>
          </cell>
          <cell r="E432">
            <v>1</v>
          </cell>
          <cell r="I432">
            <v>0.15</v>
          </cell>
          <cell r="J432">
            <v>0.15</v>
          </cell>
          <cell r="K432">
            <v>0.3</v>
          </cell>
          <cell r="P432">
            <v>2</v>
          </cell>
        </row>
        <row r="433">
          <cell r="B433" t="str">
            <v xml:space="preserve">XS </v>
          </cell>
          <cell r="C433">
            <v>2</v>
          </cell>
          <cell r="D433">
            <v>5.54</v>
          </cell>
          <cell r="E433">
            <v>1</v>
          </cell>
          <cell r="I433">
            <v>0.2</v>
          </cell>
          <cell r="J433">
            <v>0.25</v>
          </cell>
          <cell r="K433">
            <v>0.45</v>
          </cell>
          <cell r="P433">
            <v>2</v>
          </cell>
        </row>
        <row r="434">
          <cell r="B434" t="str">
            <v xml:space="preserve">XS </v>
          </cell>
          <cell r="C434">
            <v>2</v>
          </cell>
          <cell r="D434">
            <v>5.54</v>
          </cell>
          <cell r="E434">
            <v>1</v>
          </cell>
          <cell r="I434">
            <v>0.2</v>
          </cell>
          <cell r="J434">
            <v>0.25</v>
          </cell>
          <cell r="K434">
            <v>0.45</v>
          </cell>
          <cell r="P434">
            <v>2</v>
          </cell>
        </row>
        <row r="435">
          <cell r="B435" t="str">
            <v xml:space="preserve">XS </v>
          </cell>
          <cell r="C435">
            <v>2</v>
          </cell>
          <cell r="D435">
            <v>5.54</v>
          </cell>
          <cell r="E435">
            <v>1</v>
          </cell>
          <cell r="I435">
            <v>0.2</v>
          </cell>
          <cell r="J435">
            <v>0.25</v>
          </cell>
          <cell r="K435">
            <v>0.45</v>
          </cell>
          <cell r="P435">
            <v>2</v>
          </cell>
        </row>
        <row r="436">
          <cell r="B436" t="str">
            <v xml:space="preserve">XS </v>
          </cell>
          <cell r="C436">
            <v>2.5</v>
          </cell>
          <cell r="D436">
            <v>7.01</v>
          </cell>
          <cell r="E436">
            <v>1</v>
          </cell>
          <cell r="I436">
            <v>0.25</v>
          </cell>
          <cell r="J436">
            <v>0.5</v>
          </cell>
          <cell r="K436">
            <v>0.75</v>
          </cell>
          <cell r="P436">
            <v>2</v>
          </cell>
        </row>
        <row r="437">
          <cell r="B437" t="str">
            <v xml:space="preserve">XS </v>
          </cell>
          <cell r="C437">
            <v>3</v>
          </cell>
          <cell r="D437">
            <v>7.62</v>
          </cell>
          <cell r="E437">
            <v>1</v>
          </cell>
          <cell r="I437">
            <v>0.3</v>
          </cell>
          <cell r="J437">
            <v>0.6</v>
          </cell>
          <cell r="K437">
            <v>0.89999999999999991</v>
          </cell>
          <cell r="P437">
            <v>2</v>
          </cell>
        </row>
        <row r="438">
          <cell r="B438" t="str">
            <v xml:space="preserve">XS </v>
          </cell>
          <cell r="C438">
            <v>3.5</v>
          </cell>
          <cell r="D438">
            <v>8.08</v>
          </cell>
          <cell r="E438">
            <v>1</v>
          </cell>
          <cell r="I438">
            <v>0.35</v>
          </cell>
          <cell r="J438">
            <v>0.85</v>
          </cell>
          <cell r="K438">
            <v>1.2</v>
          </cell>
          <cell r="P438">
            <v>3</v>
          </cell>
        </row>
        <row r="439">
          <cell r="B439" t="str">
            <v xml:space="preserve">XS </v>
          </cell>
          <cell r="C439">
            <v>4</v>
          </cell>
          <cell r="D439">
            <v>8.56</v>
          </cell>
          <cell r="E439">
            <v>1</v>
          </cell>
          <cell r="I439">
            <v>0.41</v>
          </cell>
          <cell r="J439">
            <v>0.93</v>
          </cell>
          <cell r="K439">
            <v>1.34</v>
          </cell>
          <cell r="P439">
            <v>3</v>
          </cell>
        </row>
        <row r="440">
          <cell r="B440" t="str">
            <v xml:space="preserve">XS </v>
          </cell>
          <cell r="C440">
            <v>5</v>
          </cell>
          <cell r="D440">
            <v>9.5299999999999994</v>
          </cell>
          <cell r="E440">
            <v>1</v>
          </cell>
          <cell r="I440">
            <v>0.51</v>
          </cell>
          <cell r="J440">
            <v>1.59</v>
          </cell>
          <cell r="K440">
            <v>2.1</v>
          </cell>
          <cell r="P440">
            <v>4</v>
          </cell>
        </row>
        <row r="441">
          <cell r="B441" t="str">
            <v xml:space="preserve">XS </v>
          </cell>
          <cell r="C441">
            <v>6</v>
          </cell>
          <cell r="D441">
            <v>10.97</v>
          </cell>
          <cell r="E441">
            <v>1.25</v>
          </cell>
          <cell r="I441">
            <v>0.61</v>
          </cell>
          <cell r="J441">
            <v>2.69</v>
          </cell>
          <cell r="K441">
            <v>3.3</v>
          </cell>
          <cell r="P441">
            <v>4</v>
          </cell>
        </row>
        <row r="442">
          <cell r="B442" t="str">
            <v xml:space="preserve">XS </v>
          </cell>
          <cell r="C442">
            <v>8</v>
          </cell>
          <cell r="D442">
            <v>12.7</v>
          </cell>
          <cell r="E442">
            <v>1.25</v>
          </cell>
          <cell r="I442">
            <v>0.81</v>
          </cell>
          <cell r="J442">
            <v>4.58</v>
          </cell>
          <cell r="K442">
            <v>5.3900000000000006</v>
          </cell>
          <cell r="P442">
            <v>4</v>
          </cell>
        </row>
        <row r="443">
          <cell r="B443" t="str">
            <v xml:space="preserve">XS </v>
          </cell>
          <cell r="C443">
            <v>10</v>
          </cell>
          <cell r="D443">
            <v>12.7</v>
          </cell>
          <cell r="E443">
            <v>1.25</v>
          </cell>
          <cell r="I443">
            <v>1.01</v>
          </cell>
          <cell r="J443">
            <v>5.74</v>
          </cell>
          <cell r="K443">
            <v>6.75</v>
          </cell>
          <cell r="P443">
            <v>4</v>
          </cell>
        </row>
        <row r="444">
          <cell r="B444" t="str">
            <v xml:space="preserve">XS </v>
          </cell>
          <cell r="C444">
            <v>12</v>
          </cell>
          <cell r="D444">
            <v>12.7</v>
          </cell>
          <cell r="E444">
            <v>1.25</v>
          </cell>
          <cell r="I444">
            <v>1.22</v>
          </cell>
          <cell r="J444">
            <v>6.73</v>
          </cell>
          <cell r="K444">
            <v>7.95</v>
          </cell>
          <cell r="P444">
            <v>6</v>
          </cell>
        </row>
        <row r="445">
          <cell r="B445" t="str">
            <v xml:space="preserve">XS </v>
          </cell>
          <cell r="C445">
            <v>14</v>
          </cell>
          <cell r="D445">
            <v>12.7</v>
          </cell>
          <cell r="E445">
            <v>1.25</v>
          </cell>
          <cell r="I445">
            <v>1.42</v>
          </cell>
          <cell r="J445">
            <v>7.28</v>
          </cell>
          <cell r="K445">
            <v>8.6999999999999993</v>
          </cell>
          <cell r="P445">
            <v>6</v>
          </cell>
        </row>
        <row r="446">
          <cell r="B446" t="str">
            <v xml:space="preserve">XS </v>
          </cell>
          <cell r="C446">
            <v>16</v>
          </cell>
          <cell r="D446">
            <v>12.7</v>
          </cell>
          <cell r="E446">
            <v>1.25</v>
          </cell>
          <cell r="I446">
            <v>1.62</v>
          </cell>
          <cell r="J446">
            <v>8.42</v>
          </cell>
          <cell r="K446">
            <v>10.039999999999999</v>
          </cell>
          <cell r="P446">
            <v>6</v>
          </cell>
        </row>
        <row r="447">
          <cell r="B447" t="str">
            <v xml:space="preserve">XS </v>
          </cell>
          <cell r="C447">
            <v>18</v>
          </cell>
          <cell r="D447">
            <v>12.7</v>
          </cell>
          <cell r="E447">
            <v>1.25</v>
          </cell>
          <cell r="I447">
            <v>1.82</v>
          </cell>
          <cell r="J447">
            <v>9.42</v>
          </cell>
          <cell r="K447">
            <v>11.24</v>
          </cell>
          <cell r="P447">
            <v>6</v>
          </cell>
        </row>
        <row r="448">
          <cell r="B448" t="str">
            <v xml:space="preserve">XS </v>
          </cell>
          <cell r="C448">
            <v>20</v>
          </cell>
          <cell r="D448">
            <v>12.7</v>
          </cell>
          <cell r="E448">
            <v>1.25</v>
          </cell>
          <cell r="I448">
            <v>2.0299999999999998</v>
          </cell>
          <cell r="J448">
            <v>10.42</v>
          </cell>
          <cell r="K448">
            <v>12.45</v>
          </cell>
          <cell r="P448">
            <v>7</v>
          </cell>
        </row>
        <row r="449">
          <cell r="B449" t="str">
            <v xml:space="preserve">XS </v>
          </cell>
          <cell r="C449">
            <v>22</v>
          </cell>
          <cell r="D449">
            <v>12.7</v>
          </cell>
          <cell r="E449">
            <v>1.25</v>
          </cell>
          <cell r="I449">
            <v>2.23</v>
          </cell>
          <cell r="J449">
            <v>11.72</v>
          </cell>
          <cell r="K449">
            <v>13.950000000000001</v>
          </cell>
          <cell r="P449">
            <v>8</v>
          </cell>
        </row>
        <row r="450">
          <cell r="B450" t="str">
            <v xml:space="preserve">XS </v>
          </cell>
          <cell r="C450">
            <v>24</v>
          </cell>
          <cell r="D450">
            <v>12.7</v>
          </cell>
          <cell r="E450">
            <v>1.25</v>
          </cell>
          <cell r="I450">
            <v>2.4300000000000002</v>
          </cell>
          <cell r="J450">
            <v>12.57</v>
          </cell>
          <cell r="K450">
            <v>15</v>
          </cell>
          <cell r="P450">
            <v>8</v>
          </cell>
        </row>
        <row r="451">
          <cell r="B451" t="str">
            <v xml:space="preserve">XS </v>
          </cell>
          <cell r="C451">
            <v>26</v>
          </cell>
          <cell r="D451">
            <v>12.7</v>
          </cell>
          <cell r="E451">
            <v>1.25</v>
          </cell>
          <cell r="I451">
            <v>2.64</v>
          </cell>
          <cell r="J451">
            <v>13.86</v>
          </cell>
          <cell r="K451">
            <v>16.5</v>
          </cell>
          <cell r="P451">
            <v>9</v>
          </cell>
        </row>
        <row r="452">
          <cell r="B452" t="str">
            <v xml:space="preserve">XS </v>
          </cell>
          <cell r="C452">
            <v>28</v>
          </cell>
          <cell r="D452">
            <v>12.7</v>
          </cell>
          <cell r="E452">
            <v>1.25</v>
          </cell>
          <cell r="I452">
            <v>2.84</v>
          </cell>
          <cell r="J452">
            <v>15.16</v>
          </cell>
          <cell r="K452">
            <v>18</v>
          </cell>
          <cell r="P452">
            <v>9</v>
          </cell>
        </row>
        <row r="453">
          <cell r="B453" t="str">
            <v xml:space="preserve">XS </v>
          </cell>
          <cell r="C453">
            <v>30</v>
          </cell>
          <cell r="D453">
            <v>12.7</v>
          </cell>
          <cell r="E453">
            <v>1.25</v>
          </cell>
          <cell r="I453">
            <v>3.04</v>
          </cell>
          <cell r="J453">
            <v>16.45</v>
          </cell>
          <cell r="K453">
            <v>19.489999999999998</v>
          </cell>
          <cell r="P453">
            <v>10</v>
          </cell>
        </row>
        <row r="454">
          <cell r="B454" t="str">
            <v xml:space="preserve">XS </v>
          </cell>
          <cell r="C454">
            <v>32</v>
          </cell>
          <cell r="D454">
            <v>12.7</v>
          </cell>
          <cell r="E454">
            <v>1.25</v>
          </cell>
          <cell r="I454">
            <v>3.24</v>
          </cell>
          <cell r="J454">
            <v>17.75</v>
          </cell>
          <cell r="K454">
            <v>20.990000000000002</v>
          </cell>
          <cell r="P454">
            <v>11</v>
          </cell>
        </row>
        <row r="455">
          <cell r="B455" t="str">
            <v xml:space="preserve">XS </v>
          </cell>
          <cell r="C455">
            <v>34</v>
          </cell>
          <cell r="D455">
            <v>12.7</v>
          </cell>
          <cell r="E455">
            <v>1.25</v>
          </cell>
          <cell r="I455">
            <v>3.45</v>
          </cell>
          <cell r="J455">
            <v>18.54</v>
          </cell>
          <cell r="K455">
            <v>21.99</v>
          </cell>
          <cell r="P455">
            <v>12</v>
          </cell>
        </row>
        <row r="456">
          <cell r="B456" t="str">
            <v xml:space="preserve">XS </v>
          </cell>
          <cell r="C456">
            <v>36</v>
          </cell>
          <cell r="D456">
            <v>12.7</v>
          </cell>
          <cell r="E456">
            <v>1.25</v>
          </cell>
          <cell r="I456">
            <v>3.65</v>
          </cell>
          <cell r="J456">
            <v>18.84</v>
          </cell>
          <cell r="K456">
            <v>22.49</v>
          </cell>
          <cell r="P456">
            <v>12</v>
          </cell>
        </row>
        <row r="457">
          <cell r="B457" t="str">
            <v xml:space="preserve">XS </v>
          </cell>
          <cell r="C457">
            <v>38</v>
          </cell>
          <cell r="D457">
            <v>12.7</v>
          </cell>
          <cell r="E457">
            <v>1.25</v>
          </cell>
          <cell r="I457">
            <v>3.85</v>
          </cell>
          <cell r="J457">
            <v>19.89</v>
          </cell>
          <cell r="K457">
            <v>23.740000000000002</v>
          </cell>
          <cell r="P457">
            <v>13</v>
          </cell>
        </row>
        <row r="458">
          <cell r="B458" t="str">
            <v xml:space="preserve">XS </v>
          </cell>
          <cell r="C458">
            <v>40</v>
          </cell>
          <cell r="D458">
            <v>12.7</v>
          </cell>
          <cell r="E458">
            <v>1.25</v>
          </cell>
          <cell r="I458">
            <v>4.0599999999999996</v>
          </cell>
          <cell r="J458">
            <v>21.66</v>
          </cell>
          <cell r="K458">
            <v>25.72</v>
          </cell>
          <cell r="P458">
            <v>14</v>
          </cell>
        </row>
        <row r="459">
          <cell r="B459" t="str">
            <v xml:space="preserve">XS </v>
          </cell>
          <cell r="C459">
            <v>42</v>
          </cell>
          <cell r="D459">
            <v>12.7</v>
          </cell>
          <cell r="E459">
            <v>1.25</v>
          </cell>
          <cell r="I459">
            <v>4.26</v>
          </cell>
          <cell r="J459">
            <v>22.74</v>
          </cell>
          <cell r="K459">
            <v>27</v>
          </cell>
          <cell r="P459">
            <v>14</v>
          </cell>
        </row>
        <row r="460">
          <cell r="B460" t="str">
            <v xml:space="preserve">XS </v>
          </cell>
          <cell r="C460">
            <v>44</v>
          </cell>
          <cell r="D460">
            <v>12.7</v>
          </cell>
          <cell r="E460">
            <v>1.25</v>
          </cell>
          <cell r="I460">
            <v>4.47</v>
          </cell>
          <cell r="J460">
            <v>27.16</v>
          </cell>
          <cell r="K460">
            <v>31.63</v>
          </cell>
          <cell r="P460">
            <v>15</v>
          </cell>
        </row>
        <row r="461">
          <cell r="B461" t="str">
            <v xml:space="preserve">XS </v>
          </cell>
          <cell r="C461">
            <v>46</v>
          </cell>
          <cell r="D461">
            <v>12.7</v>
          </cell>
          <cell r="E461">
            <v>1.25</v>
          </cell>
          <cell r="I461">
            <v>4.67</v>
          </cell>
          <cell r="J461">
            <v>28.4</v>
          </cell>
          <cell r="K461">
            <v>33.07</v>
          </cell>
          <cell r="P461">
            <v>16</v>
          </cell>
        </row>
        <row r="462">
          <cell r="B462" t="str">
            <v xml:space="preserve">XS </v>
          </cell>
          <cell r="C462">
            <v>48</v>
          </cell>
          <cell r="D462">
            <v>12.7</v>
          </cell>
          <cell r="E462">
            <v>1.25</v>
          </cell>
          <cell r="I462">
            <v>4.87</v>
          </cell>
          <cell r="J462">
            <v>29.63</v>
          </cell>
          <cell r="K462">
            <v>34.5</v>
          </cell>
          <cell r="P462">
            <v>16</v>
          </cell>
        </row>
        <row r="463">
          <cell r="B463" t="str">
            <v>XXS</v>
          </cell>
          <cell r="C463">
            <v>0.5</v>
          </cell>
          <cell r="D463">
            <v>7.47</v>
          </cell>
          <cell r="E463">
            <v>1</v>
          </cell>
          <cell r="I463">
            <v>7.0000000000000007E-2</v>
          </cell>
          <cell r="J463">
            <v>0.23</v>
          </cell>
          <cell r="K463">
            <v>0.30000000000000004</v>
          </cell>
          <cell r="P463">
            <v>2</v>
          </cell>
        </row>
        <row r="464">
          <cell r="B464" t="str">
            <v>XXS</v>
          </cell>
          <cell r="C464">
            <v>0.5</v>
          </cell>
          <cell r="D464">
            <v>7.47</v>
          </cell>
          <cell r="E464">
            <v>1</v>
          </cell>
          <cell r="I464">
            <v>7.0000000000000007E-2</v>
          </cell>
          <cell r="J464">
            <v>0.23</v>
          </cell>
          <cell r="K464">
            <v>0.30000000000000004</v>
          </cell>
          <cell r="P464">
            <v>2</v>
          </cell>
        </row>
        <row r="465">
          <cell r="B465" t="str">
            <v>XXS</v>
          </cell>
          <cell r="C465">
            <v>0.5</v>
          </cell>
          <cell r="D465">
            <v>7.47</v>
          </cell>
          <cell r="E465">
            <v>1</v>
          </cell>
          <cell r="I465">
            <v>7.0000000000000007E-2</v>
          </cell>
          <cell r="J465">
            <v>0.23</v>
          </cell>
          <cell r="K465">
            <v>0.30000000000000004</v>
          </cell>
          <cell r="P465">
            <v>2</v>
          </cell>
        </row>
        <row r="466">
          <cell r="B466" t="str">
            <v>XXS</v>
          </cell>
          <cell r="C466">
            <v>0.75</v>
          </cell>
          <cell r="D466">
            <v>7.82</v>
          </cell>
          <cell r="E466">
            <v>1</v>
          </cell>
          <cell r="I466">
            <v>0.08</v>
          </cell>
          <cell r="J466">
            <v>0.22</v>
          </cell>
          <cell r="K466">
            <v>0.3</v>
          </cell>
          <cell r="P466">
            <v>2</v>
          </cell>
        </row>
        <row r="467">
          <cell r="B467" t="str">
            <v>XXS</v>
          </cell>
          <cell r="C467">
            <v>0.75</v>
          </cell>
          <cell r="D467">
            <v>7.82</v>
          </cell>
          <cell r="E467">
            <v>1</v>
          </cell>
          <cell r="I467">
            <v>0.08</v>
          </cell>
          <cell r="J467">
            <v>0.22</v>
          </cell>
          <cell r="K467">
            <v>0.3</v>
          </cell>
          <cell r="P467">
            <v>2</v>
          </cell>
        </row>
        <row r="468">
          <cell r="B468" t="str">
            <v>XXS</v>
          </cell>
          <cell r="C468">
            <v>0.75</v>
          </cell>
          <cell r="D468">
            <v>7.82</v>
          </cell>
          <cell r="E468">
            <v>1</v>
          </cell>
          <cell r="I468">
            <v>0.08</v>
          </cell>
          <cell r="J468">
            <v>0.22</v>
          </cell>
          <cell r="K468">
            <v>0.3</v>
          </cell>
          <cell r="P468">
            <v>2</v>
          </cell>
        </row>
        <row r="469">
          <cell r="B469" t="str">
            <v>XXS</v>
          </cell>
          <cell r="C469">
            <v>1</v>
          </cell>
          <cell r="D469">
            <v>9.09</v>
          </cell>
          <cell r="E469">
            <v>1</v>
          </cell>
          <cell r="I469">
            <v>0.1</v>
          </cell>
          <cell r="J469">
            <v>0.5</v>
          </cell>
          <cell r="K469">
            <v>0.6</v>
          </cell>
          <cell r="P469">
            <v>2</v>
          </cell>
        </row>
        <row r="470">
          <cell r="B470" t="str">
            <v>XXS</v>
          </cell>
          <cell r="C470">
            <v>1</v>
          </cell>
          <cell r="D470">
            <v>9.09</v>
          </cell>
          <cell r="E470">
            <v>1</v>
          </cell>
          <cell r="I470">
            <v>0.1</v>
          </cell>
          <cell r="J470">
            <v>0.5</v>
          </cell>
          <cell r="K470">
            <v>0.6</v>
          </cell>
          <cell r="P470">
            <v>2</v>
          </cell>
        </row>
        <row r="471">
          <cell r="B471" t="str">
            <v>XXS</v>
          </cell>
          <cell r="C471">
            <v>1</v>
          </cell>
          <cell r="D471">
            <v>9.09</v>
          </cell>
          <cell r="E471">
            <v>1</v>
          </cell>
          <cell r="I471">
            <v>0.1</v>
          </cell>
          <cell r="J471">
            <v>0.5</v>
          </cell>
          <cell r="K471">
            <v>0.6</v>
          </cell>
          <cell r="P471">
            <v>2</v>
          </cell>
        </row>
        <row r="472">
          <cell r="B472" t="str">
            <v>XXS</v>
          </cell>
          <cell r="C472">
            <v>1.25</v>
          </cell>
          <cell r="D472">
            <v>9.6999999999999993</v>
          </cell>
          <cell r="E472">
            <v>1</v>
          </cell>
          <cell r="I472">
            <v>0.13</v>
          </cell>
          <cell r="J472">
            <v>0.67</v>
          </cell>
          <cell r="K472">
            <v>0.8</v>
          </cell>
          <cell r="P472">
            <v>2</v>
          </cell>
        </row>
        <row r="473">
          <cell r="B473" t="str">
            <v>XXS</v>
          </cell>
          <cell r="C473">
            <v>1.25</v>
          </cell>
          <cell r="D473">
            <v>9.6999999999999993</v>
          </cell>
          <cell r="E473">
            <v>1</v>
          </cell>
          <cell r="I473">
            <v>0.13</v>
          </cell>
          <cell r="J473">
            <v>0.67</v>
          </cell>
          <cell r="K473">
            <v>0.8</v>
          </cell>
          <cell r="P473">
            <v>2</v>
          </cell>
        </row>
        <row r="474">
          <cell r="B474" t="str">
            <v>XXS</v>
          </cell>
          <cell r="C474">
            <v>1.25</v>
          </cell>
          <cell r="D474">
            <v>9.6999999999999993</v>
          </cell>
          <cell r="E474">
            <v>1</v>
          </cell>
          <cell r="I474">
            <v>0.13</v>
          </cell>
          <cell r="J474">
            <v>0.67</v>
          </cell>
          <cell r="K474">
            <v>0.8</v>
          </cell>
          <cell r="P474">
            <v>2</v>
          </cell>
        </row>
        <row r="475">
          <cell r="B475" t="str">
            <v>XXS</v>
          </cell>
          <cell r="C475">
            <v>1.5</v>
          </cell>
          <cell r="D475">
            <v>10.15</v>
          </cell>
          <cell r="E475">
            <v>1.25</v>
          </cell>
          <cell r="I475">
            <v>0.15</v>
          </cell>
          <cell r="J475">
            <v>0.75</v>
          </cell>
          <cell r="K475">
            <v>0.9</v>
          </cell>
          <cell r="P475">
            <v>2</v>
          </cell>
        </row>
        <row r="476">
          <cell r="B476" t="str">
            <v>XXS</v>
          </cell>
          <cell r="C476">
            <v>1.5</v>
          </cell>
          <cell r="D476">
            <v>10.15</v>
          </cell>
          <cell r="E476">
            <v>1.25</v>
          </cell>
          <cell r="I476">
            <v>0.15</v>
          </cell>
          <cell r="J476">
            <v>0.75</v>
          </cell>
          <cell r="K476">
            <v>0.9</v>
          </cell>
          <cell r="P476">
            <v>2</v>
          </cell>
        </row>
        <row r="477">
          <cell r="B477" t="str">
            <v>XXS</v>
          </cell>
          <cell r="C477">
            <v>1.5</v>
          </cell>
          <cell r="D477">
            <v>10.15</v>
          </cell>
          <cell r="E477">
            <v>1.25</v>
          </cell>
          <cell r="I477">
            <v>0.15</v>
          </cell>
          <cell r="J477">
            <v>0.75</v>
          </cell>
          <cell r="K477">
            <v>0.9</v>
          </cell>
          <cell r="P477">
            <v>2</v>
          </cell>
        </row>
        <row r="478">
          <cell r="B478" t="str">
            <v>XXS</v>
          </cell>
          <cell r="C478">
            <v>2</v>
          </cell>
          <cell r="D478">
            <v>11.07</v>
          </cell>
          <cell r="E478">
            <v>1.25</v>
          </cell>
          <cell r="I478">
            <v>0.2</v>
          </cell>
          <cell r="J478">
            <v>1</v>
          </cell>
          <cell r="K478">
            <v>1.2</v>
          </cell>
          <cell r="P478">
            <v>4</v>
          </cell>
        </row>
        <row r="479">
          <cell r="B479" t="str">
            <v>XXS</v>
          </cell>
          <cell r="C479">
            <v>2</v>
          </cell>
          <cell r="D479">
            <v>11.07</v>
          </cell>
          <cell r="E479">
            <v>1.25</v>
          </cell>
          <cell r="I479">
            <v>0.2</v>
          </cell>
          <cell r="J479">
            <v>1</v>
          </cell>
          <cell r="K479">
            <v>1.2</v>
          </cell>
          <cell r="P479">
            <v>4</v>
          </cell>
        </row>
        <row r="480">
          <cell r="B480" t="str">
            <v>XXS</v>
          </cell>
          <cell r="C480">
            <v>2</v>
          </cell>
          <cell r="D480">
            <v>11.07</v>
          </cell>
          <cell r="E480">
            <v>1.25</v>
          </cell>
          <cell r="I480">
            <v>0.2</v>
          </cell>
          <cell r="J480">
            <v>1</v>
          </cell>
          <cell r="K480">
            <v>1.2</v>
          </cell>
          <cell r="P480">
            <v>4</v>
          </cell>
        </row>
        <row r="481">
          <cell r="B481" t="str">
            <v>XXS</v>
          </cell>
          <cell r="C481">
            <v>2.5</v>
          </cell>
          <cell r="D481">
            <v>14.02</v>
          </cell>
          <cell r="E481">
            <v>1.25</v>
          </cell>
          <cell r="I481">
            <v>0.25</v>
          </cell>
          <cell r="J481">
            <v>1.7</v>
          </cell>
          <cell r="K481">
            <v>1.95</v>
          </cell>
          <cell r="P481">
            <v>4</v>
          </cell>
        </row>
        <row r="482">
          <cell r="B482" t="str">
            <v>XXS</v>
          </cell>
          <cell r="C482">
            <v>3</v>
          </cell>
          <cell r="D482">
            <v>15.24</v>
          </cell>
          <cell r="E482">
            <v>1.5</v>
          </cell>
          <cell r="I482">
            <v>0.3</v>
          </cell>
          <cell r="J482">
            <v>2.39</v>
          </cell>
          <cell r="K482">
            <v>2.69</v>
          </cell>
          <cell r="P482">
            <v>4</v>
          </cell>
        </row>
        <row r="483">
          <cell r="B483" t="str">
            <v>XXS</v>
          </cell>
          <cell r="C483">
            <v>4</v>
          </cell>
          <cell r="D483">
            <v>17.12</v>
          </cell>
          <cell r="E483">
            <v>1.5</v>
          </cell>
          <cell r="I483">
            <v>0.41</v>
          </cell>
          <cell r="J483">
            <v>4.09</v>
          </cell>
          <cell r="K483">
            <v>4.5</v>
          </cell>
          <cell r="P483">
            <v>4</v>
          </cell>
        </row>
        <row r="484">
          <cell r="B484" t="str">
            <v>XXS</v>
          </cell>
          <cell r="C484">
            <v>5</v>
          </cell>
          <cell r="D484">
            <v>19.05</v>
          </cell>
          <cell r="E484">
            <v>2</v>
          </cell>
          <cell r="I484">
            <v>0.51</v>
          </cell>
          <cell r="J484">
            <v>4.43</v>
          </cell>
          <cell r="K484">
            <v>4.9399999999999995</v>
          </cell>
          <cell r="P484">
            <v>4</v>
          </cell>
        </row>
        <row r="485">
          <cell r="B485" t="str">
            <v>XXS</v>
          </cell>
          <cell r="C485">
            <v>6</v>
          </cell>
          <cell r="D485">
            <v>21.95</v>
          </cell>
          <cell r="E485">
            <v>2</v>
          </cell>
          <cell r="I485">
            <v>0.61</v>
          </cell>
          <cell r="J485">
            <v>8.09</v>
          </cell>
          <cell r="K485">
            <v>8.6999999999999993</v>
          </cell>
          <cell r="P485">
            <v>4</v>
          </cell>
        </row>
        <row r="486">
          <cell r="B486" t="str">
            <v>XXS</v>
          </cell>
          <cell r="C486">
            <v>8</v>
          </cell>
          <cell r="D486">
            <v>22.23</v>
          </cell>
          <cell r="E486">
            <v>2</v>
          </cell>
          <cell r="I486">
            <v>0.81</v>
          </cell>
          <cell r="J486">
            <v>11.49</v>
          </cell>
          <cell r="K486">
            <v>12.3</v>
          </cell>
          <cell r="P486">
            <v>4</v>
          </cell>
        </row>
        <row r="487">
          <cell r="B487" t="str">
            <v>XXS</v>
          </cell>
          <cell r="C487">
            <v>10</v>
          </cell>
          <cell r="D487">
            <v>25.4</v>
          </cell>
          <cell r="E487" t="str">
            <v>N</v>
          </cell>
          <cell r="I487">
            <v>1.01</v>
          </cell>
          <cell r="J487">
            <v>18.489999999999998</v>
          </cell>
          <cell r="K487">
            <v>19.5</v>
          </cell>
          <cell r="P487">
            <v>4</v>
          </cell>
        </row>
        <row r="488">
          <cell r="B488" t="str">
            <v>XXS</v>
          </cell>
          <cell r="C488">
            <v>12</v>
          </cell>
          <cell r="D488">
            <v>25.4</v>
          </cell>
          <cell r="E488" t="str">
            <v>N</v>
          </cell>
          <cell r="I488">
            <v>1.22</v>
          </cell>
          <cell r="J488">
            <v>21.27</v>
          </cell>
          <cell r="K488">
            <v>22.49</v>
          </cell>
          <cell r="P488">
            <v>6</v>
          </cell>
        </row>
        <row r="489">
          <cell r="B489">
            <v>8.73</v>
          </cell>
          <cell r="C489">
            <v>64</v>
          </cell>
          <cell r="D489">
            <v>8.73</v>
          </cell>
          <cell r="E489">
            <v>1</v>
          </cell>
          <cell r="I489">
            <v>6.49</v>
          </cell>
          <cell r="J489">
            <v>20.29</v>
          </cell>
          <cell r="K489">
            <v>26.78</v>
          </cell>
          <cell r="P489">
            <v>21</v>
          </cell>
        </row>
      </sheetData>
    </sheetDataSet>
  </externalBook>
</externalLink>
</file>

<file path=xl/externalLinks/externalLink11.xml><?xml version="1.0" encoding="utf-8"?>
<externalLink xmlns="http://schemas.openxmlformats.org/spreadsheetml/2006/main">
  <externalBook xmlns:r="http://schemas.openxmlformats.org/officeDocument/2006/relationships" r:id="rId1">
    <sheetNames>
      <sheetName val="Hướng dẫn"/>
      <sheetName val="TEN HOC PHAN HKII"/>
      <sheetName val="DS LOP HKII"/>
      <sheetName val="CA NAM"/>
      <sheetName val="HKI"/>
      <sheetName val="HKII"/>
      <sheetName val="LT01"/>
      <sheetName val="LT02"/>
      <sheetName val="LT03"/>
      <sheetName val="LT04"/>
      <sheetName val="LT05"/>
      <sheetName val="LT06"/>
      <sheetName val="LT07"/>
      <sheetName val="LT08"/>
      <sheetName val="LT09"/>
      <sheetName val="LT10"/>
      <sheetName val="LT11"/>
      <sheetName val="LT12"/>
      <sheetName val="TH01"/>
      <sheetName val="TH02"/>
      <sheetName val="TK NỢ HP HKII"/>
      <sheetName val="LOP-MON"/>
    </sheetNames>
    <sheetDataSet>
      <sheetData sheetId="0" refreshError="1"/>
      <sheetData sheetId="1" refreshError="1"/>
      <sheetData sheetId="2" refreshError="1"/>
      <sheetData sheetId="3" refreshError="1"/>
      <sheetData sheetId="4">
        <row r="6">
          <cell r="BF6" t="str">
            <v>HẠNG HỌC LỰC
SAU KỲ THI PHỤ</v>
          </cell>
        </row>
        <row r="10">
          <cell r="BF10" t="str">
            <v>(30)</v>
          </cell>
        </row>
        <row r="11">
          <cell r="BF11" t="str">
            <v>BT</v>
          </cell>
        </row>
        <row r="12">
          <cell r="BF12" t="str">
            <v>BT</v>
          </cell>
        </row>
        <row r="13">
          <cell r="BF13" t="str">
            <v>BT</v>
          </cell>
        </row>
        <row r="14">
          <cell r="BF14" t="str">
            <v>BT</v>
          </cell>
        </row>
        <row r="15">
          <cell r="BF15" t="str">
            <v>BT</v>
          </cell>
        </row>
        <row r="16">
          <cell r="BF16" t="str">
            <v>BT</v>
          </cell>
        </row>
        <row r="17">
          <cell r="BF17" t="str">
            <v>Y</v>
          </cell>
        </row>
        <row r="18">
          <cell r="BF18" t="str">
            <v>Y</v>
          </cell>
        </row>
        <row r="19">
          <cell r="BF19" t="str">
            <v>BT</v>
          </cell>
        </row>
        <row r="20">
          <cell r="BF20" t="str">
            <v>BT</v>
          </cell>
        </row>
        <row r="21">
          <cell r="BF21" t="str">
            <v>BT</v>
          </cell>
        </row>
        <row r="22">
          <cell r="BF22" t="str">
            <v>BT</v>
          </cell>
        </row>
        <row r="23">
          <cell r="BF23" t="str">
            <v>BT</v>
          </cell>
        </row>
        <row r="24">
          <cell r="BF24" t="str">
            <v>BT</v>
          </cell>
        </row>
        <row r="25">
          <cell r="BF25" t="str">
            <v>BT</v>
          </cell>
        </row>
        <row r="26">
          <cell r="BF26" t="str">
            <v>Y</v>
          </cell>
        </row>
        <row r="27">
          <cell r="BF27" t="str">
            <v>BT</v>
          </cell>
        </row>
        <row r="28">
          <cell r="BF28" t="str">
            <v>Y</v>
          </cell>
        </row>
        <row r="29">
          <cell r="BF29" t="str">
            <v>BT</v>
          </cell>
        </row>
        <row r="30">
          <cell r="BF30" t="str">
            <v>BT</v>
          </cell>
        </row>
        <row r="31">
          <cell r="BF31" t="str">
            <v>BT</v>
          </cell>
        </row>
        <row r="32">
          <cell r="BF32" t="str">
            <v>Y</v>
          </cell>
        </row>
        <row r="33">
          <cell r="BF33" t="str">
            <v>Y</v>
          </cell>
        </row>
        <row r="34">
          <cell r="BF34" t="str">
            <v>BT</v>
          </cell>
        </row>
        <row r="35">
          <cell r="BF35" t="str">
            <v>BT</v>
          </cell>
        </row>
        <row r="36">
          <cell r="BF36" t="str">
            <v>Y</v>
          </cell>
        </row>
        <row r="37">
          <cell r="BF37" t="str">
            <v>BT</v>
          </cell>
        </row>
        <row r="38">
          <cell r="BF38" t="str">
            <v>BT</v>
          </cell>
        </row>
        <row r="39">
          <cell r="BF39" t="str">
            <v>Y</v>
          </cell>
        </row>
        <row r="40">
          <cell r="BF40" t="str">
            <v>Y</v>
          </cell>
        </row>
        <row r="41">
          <cell r="BF41" t="str">
            <v>Y</v>
          </cell>
        </row>
        <row r="42">
          <cell r="BF42" t="str">
            <v>BT</v>
          </cell>
        </row>
        <row r="43">
          <cell r="BF43" t="str">
            <v>BT</v>
          </cell>
        </row>
        <row r="44">
          <cell r="BF44" t="str">
            <v>BT</v>
          </cell>
        </row>
        <row r="45">
          <cell r="BF45" t="str">
            <v>BT</v>
          </cell>
        </row>
        <row r="46">
          <cell r="BF46" t="str">
            <v>BT</v>
          </cell>
        </row>
        <row r="47">
          <cell r="BF47" t="str">
            <v>BT</v>
          </cell>
        </row>
        <row r="48">
          <cell r="BF48" t="str">
            <v>BT</v>
          </cell>
        </row>
        <row r="49">
          <cell r="BF49" t="str">
            <v>Y</v>
          </cell>
        </row>
        <row r="50">
          <cell r="BF50" t="str">
            <v>BT</v>
          </cell>
        </row>
        <row r="51">
          <cell r="BF51" t="str">
            <v>BT</v>
          </cell>
        </row>
        <row r="52">
          <cell r="BF52" t="str">
            <v>BT</v>
          </cell>
        </row>
        <row r="53">
          <cell r="BF53" t="str">
            <v>BT</v>
          </cell>
        </row>
        <row r="54">
          <cell r="BF54" t="str">
            <v>Y</v>
          </cell>
        </row>
        <row r="55">
          <cell r="BF55" t="str">
            <v>BT</v>
          </cell>
        </row>
        <row r="56">
          <cell r="BF56" t="str">
            <v>BT</v>
          </cell>
        </row>
        <row r="57">
          <cell r="BF57" t="str">
            <v>BT</v>
          </cell>
        </row>
        <row r="58">
          <cell r="BF58" t="str">
            <v>Y</v>
          </cell>
        </row>
        <row r="59">
          <cell r="BF59" t="str">
            <v>Y</v>
          </cell>
        </row>
        <row r="60">
          <cell r="BF60" t="str">
            <v>BT</v>
          </cell>
        </row>
        <row r="61">
          <cell r="BF61" t="str">
            <v/>
          </cell>
        </row>
        <row r="62">
          <cell r="BF62" t="str">
            <v/>
          </cell>
        </row>
        <row r="63">
          <cell r="BF63" t="str">
            <v/>
          </cell>
        </row>
        <row r="64">
          <cell r="BF64" t="str">
            <v/>
          </cell>
        </row>
        <row r="65">
          <cell r="BF65" t="str">
            <v/>
          </cell>
        </row>
        <row r="66">
          <cell r="BF66" t="str">
            <v/>
          </cell>
        </row>
        <row r="67">
          <cell r="BF67" t="str">
            <v/>
          </cell>
        </row>
        <row r="68">
          <cell r="BF68" t="str">
            <v/>
          </cell>
        </row>
        <row r="69">
          <cell r="BF69" t="str">
            <v/>
          </cell>
        </row>
        <row r="70">
          <cell r="BF70" t="str">
            <v/>
          </cell>
        </row>
        <row r="71">
          <cell r="BF71" t="str">
            <v/>
          </cell>
        </row>
        <row r="72">
          <cell r="BF72" t="str">
            <v/>
          </cell>
        </row>
        <row r="73">
          <cell r="BF73" t="str">
            <v/>
          </cell>
        </row>
        <row r="74">
          <cell r="BF74" t="str">
            <v/>
          </cell>
        </row>
        <row r="75">
          <cell r="BF75" t="str">
            <v/>
          </cell>
        </row>
      </sheetData>
      <sheetData sheetId="5">
        <row r="11">
          <cell r="BZ11" t="str">
            <v>BT</v>
          </cell>
        </row>
        <row r="12">
          <cell r="BZ12" t="str">
            <v>BT</v>
          </cell>
        </row>
        <row r="13">
          <cell r="BZ13" t="str">
            <v>BT</v>
          </cell>
        </row>
        <row r="14">
          <cell r="BZ14" t="str">
            <v>BT</v>
          </cell>
        </row>
        <row r="15">
          <cell r="BZ15" t="str">
            <v>BT</v>
          </cell>
        </row>
        <row r="16">
          <cell r="BZ16" t="str">
            <v>BT</v>
          </cell>
        </row>
        <row r="17">
          <cell r="BZ17" t="str">
            <v>BT</v>
          </cell>
        </row>
        <row r="18">
          <cell r="BZ18" t="str">
            <v>BT</v>
          </cell>
        </row>
        <row r="19">
          <cell r="BZ19" t="str">
            <v>BT</v>
          </cell>
        </row>
        <row r="20">
          <cell r="BZ20" t="str">
            <v>BT</v>
          </cell>
        </row>
        <row r="21">
          <cell r="BZ21" t="str">
            <v>BT</v>
          </cell>
        </row>
        <row r="22">
          <cell r="BZ22" t="str">
            <v>BT</v>
          </cell>
        </row>
        <row r="23">
          <cell r="BZ23" t="str">
            <v>BT</v>
          </cell>
        </row>
        <row r="24">
          <cell r="BZ24" t="str">
            <v>BT</v>
          </cell>
        </row>
        <row r="25">
          <cell r="BZ25" t="str">
            <v>BT</v>
          </cell>
        </row>
        <row r="26">
          <cell r="BZ26" t="str">
            <v>BT</v>
          </cell>
        </row>
        <row r="27">
          <cell r="BZ27" t="str">
            <v>BT</v>
          </cell>
        </row>
        <row r="28">
          <cell r="BZ28" t="str">
            <v>BT</v>
          </cell>
        </row>
        <row r="29">
          <cell r="BZ29" t="str">
            <v>BT</v>
          </cell>
        </row>
        <row r="30">
          <cell r="BZ30" t="str">
            <v>BT</v>
          </cell>
        </row>
        <row r="31">
          <cell r="BZ31" t="str">
            <v>BT</v>
          </cell>
        </row>
        <row r="32">
          <cell r="BZ32" t="str">
            <v>BT</v>
          </cell>
        </row>
        <row r="33">
          <cell r="BZ33" t="str">
            <v>BT</v>
          </cell>
        </row>
        <row r="34">
          <cell r="BZ34" t="str">
            <v>BT</v>
          </cell>
        </row>
        <row r="35">
          <cell r="BZ35" t="str">
            <v>BT</v>
          </cell>
        </row>
        <row r="36">
          <cell r="BZ36" t="str">
            <v>Y</v>
          </cell>
        </row>
        <row r="37">
          <cell r="BZ37" t="str">
            <v>BT</v>
          </cell>
        </row>
        <row r="38">
          <cell r="BZ38" t="str">
            <v>BT</v>
          </cell>
        </row>
        <row r="39">
          <cell r="BZ39" t="str">
            <v>BT</v>
          </cell>
        </row>
        <row r="40">
          <cell r="BZ40" t="str">
            <v>BT</v>
          </cell>
        </row>
        <row r="41">
          <cell r="BZ41" t="str">
            <v>BT</v>
          </cell>
        </row>
        <row r="42">
          <cell r="BZ42" t="str">
            <v>BT</v>
          </cell>
        </row>
        <row r="43">
          <cell r="BZ43" t="str">
            <v>BT</v>
          </cell>
        </row>
        <row r="44">
          <cell r="BZ44" t="str">
            <v>BT</v>
          </cell>
        </row>
        <row r="45">
          <cell r="BZ45" t="str">
            <v>BT</v>
          </cell>
        </row>
        <row r="46">
          <cell r="BZ46" t="str">
            <v>BT</v>
          </cell>
        </row>
        <row r="47">
          <cell r="BZ47" t="str">
            <v>Y</v>
          </cell>
        </row>
        <row r="48">
          <cell r="BZ48" t="str">
            <v>BT</v>
          </cell>
        </row>
        <row r="49">
          <cell r="BZ49" t="str">
            <v>BT</v>
          </cell>
        </row>
        <row r="50">
          <cell r="BZ50" t="str">
            <v>BT</v>
          </cell>
        </row>
        <row r="51">
          <cell r="BZ51" t="str">
            <v>Y</v>
          </cell>
        </row>
        <row r="52">
          <cell r="BZ52" t="str">
            <v>BT</v>
          </cell>
        </row>
        <row r="53">
          <cell r="BZ53" t="str">
            <v/>
          </cell>
        </row>
        <row r="54">
          <cell r="BZ54" t="str">
            <v/>
          </cell>
        </row>
        <row r="55">
          <cell r="BZ55" t="str">
            <v/>
          </cell>
        </row>
        <row r="56">
          <cell r="BZ56" t="str">
            <v/>
          </cell>
        </row>
        <row r="57">
          <cell r="BZ57" t="str">
            <v/>
          </cell>
        </row>
        <row r="58">
          <cell r="BZ58" t="str">
            <v/>
          </cell>
        </row>
        <row r="59">
          <cell r="BZ59" t="str">
            <v/>
          </cell>
        </row>
        <row r="60">
          <cell r="BZ60" t="str">
            <v/>
          </cell>
        </row>
        <row r="61">
          <cell r="BZ61" t="str">
            <v/>
          </cell>
        </row>
        <row r="62">
          <cell r="BZ62" t="str">
            <v/>
          </cell>
        </row>
        <row r="63">
          <cell r="BZ63" t="str">
            <v/>
          </cell>
        </row>
        <row r="64">
          <cell r="BZ64" t="str">
            <v/>
          </cell>
        </row>
        <row r="65">
          <cell r="BZ65" t="str">
            <v/>
          </cell>
        </row>
        <row r="66">
          <cell r="BZ66" t="str">
            <v/>
          </cell>
        </row>
        <row r="67">
          <cell r="BZ67" t="str">
            <v/>
          </cell>
        </row>
        <row r="68">
          <cell r="BZ68" t="str">
            <v/>
          </cell>
        </row>
        <row r="69">
          <cell r="BZ69" t="str">
            <v/>
          </cell>
        </row>
        <row r="70">
          <cell r="BZ70" t="str">
            <v/>
          </cell>
        </row>
        <row r="71">
          <cell r="BZ71" t="str">
            <v/>
          </cell>
        </row>
        <row r="72">
          <cell r="BZ72" t="str">
            <v/>
          </cell>
        </row>
        <row r="73">
          <cell r="BZ73" t="str">
            <v/>
          </cell>
        </row>
        <row r="74">
          <cell r="BZ74" t="str">
            <v/>
          </cell>
        </row>
        <row r="75">
          <cell r="BZ75" t="str">
            <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sheet1.xml><?xml version="1.0" encoding="utf-8"?>
<worksheet xmlns="http://schemas.openxmlformats.org/spreadsheetml/2006/main" xmlns:r="http://schemas.openxmlformats.org/officeDocument/2006/relationships">
  <sheetPr codeName="Sheet3">
    <tabColor rgb="FF00B0F0"/>
    <pageSetUpPr fitToPage="1"/>
  </sheetPr>
  <dimension ref="A1:D23"/>
  <sheetViews>
    <sheetView topLeftCell="A15" workbookViewId="0">
      <selection activeCell="A20" sqref="A20:C20"/>
    </sheetView>
  </sheetViews>
  <sheetFormatPr defaultRowHeight="18"/>
  <cols>
    <col min="1" max="1" width="8.140625" style="109" bestFit="1" customWidth="1"/>
    <col min="2" max="2" width="32.42578125" style="109" bestFit="1" customWidth="1"/>
    <col min="3" max="3" width="87.85546875" style="109" customWidth="1"/>
    <col min="4" max="16384" width="9.140625" style="109"/>
  </cols>
  <sheetData>
    <row r="1" spans="1:4" s="96" customFormat="1" ht="25.5" customHeight="1">
      <c r="A1" s="562" t="s">
        <v>411</v>
      </c>
      <c r="B1" s="562"/>
      <c r="C1" s="562"/>
      <c r="D1" s="562"/>
    </row>
    <row r="2" spans="1:4" s="96" customFormat="1" ht="25.5">
      <c r="A2" s="563"/>
      <c r="B2" s="563"/>
      <c r="C2" s="563"/>
      <c r="D2" s="563"/>
    </row>
    <row r="3" spans="1:4" s="105" customFormat="1" ht="33">
      <c r="A3" s="97" t="s">
        <v>1533</v>
      </c>
      <c r="B3" s="97" t="s">
        <v>2066</v>
      </c>
      <c r="C3" s="97" t="s">
        <v>2067</v>
      </c>
      <c r="D3" s="104" t="s">
        <v>2068</v>
      </c>
    </row>
    <row r="4" spans="1:4" s="106" customFormat="1" ht="33">
      <c r="A4" s="98">
        <v>1</v>
      </c>
      <c r="B4" s="99" t="s">
        <v>2071</v>
      </c>
      <c r="C4" s="99" t="s">
        <v>410</v>
      </c>
      <c r="D4" s="556" t="s">
        <v>407</v>
      </c>
    </row>
    <row r="5" spans="1:4" s="106" customFormat="1" ht="16.5">
      <c r="A5" s="560">
        <v>2</v>
      </c>
      <c r="B5" s="561" t="s">
        <v>2072</v>
      </c>
      <c r="C5" s="99" t="s">
        <v>2073</v>
      </c>
      <c r="D5" s="556"/>
    </row>
    <row r="6" spans="1:4" s="106" customFormat="1" ht="33">
      <c r="A6" s="560"/>
      <c r="B6" s="561"/>
      <c r="C6" s="99" t="s">
        <v>2069</v>
      </c>
      <c r="D6" s="556"/>
    </row>
    <row r="7" spans="1:4" s="107" customFormat="1" ht="49.5">
      <c r="A7" s="100">
        <v>3</v>
      </c>
      <c r="B7" s="101" t="s">
        <v>2074</v>
      </c>
      <c r="C7" s="102" t="s">
        <v>2643</v>
      </c>
      <c r="D7" s="556" t="s">
        <v>406</v>
      </c>
    </row>
    <row r="8" spans="1:4" s="107" customFormat="1">
      <c r="A8" s="566">
        <v>4</v>
      </c>
      <c r="B8" s="561" t="s">
        <v>2080</v>
      </c>
      <c r="C8" s="99" t="s">
        <v>2070</v>
      </c>
      <c r="D8" s="556"/>
    </row>
    <row r="9" spans="1:4" s="107" customFormat="1" ht="66">
      <c r="A9" s="566"/>
      <c r="B9" s="561"/>
      <c r="C9" s="160" t="s">
        <v>414</v>
      </c>
      <c r="D9" s="556"/>
    </row>
    <row r="10" spans="1:4" s="107" customFormat="1" ht="33">
      <c r="A10" s="566"/>
      <c r="B10" s="561"/>
      <c r="C10" s="160" t="s">
        <v>412</v>
      </c>
      <c r="D10" s="556"/>
    </row>
    <row r="11" spans="1:4" s="107" customFormat="1" ht="49.5">
      <c r="A11" s="566"/>
      <c r="B11" s="561"/>
      <c r="C11" s="160" t="s">
        <v>413</v>
      </c>
      <c r="D11" s="556"/>
    </row>
    <row r="12" spans="1:4" s="106" customFormat="1" ht="33">
      <c r="A12" s="560">
        <v>5</v>
      </c>
      <c r="B12" s="561" t="s">
        <v>2072</v>
      </c>
      <c r="C12" s="99" t="s">
        <v>2081</v>
      </c>
      <c r="D12" s="556" t="s">
        <v>407</v>
      </c>
    </row>
    <row r="13" spans="1:4" s="106" customFormat="1" ht="16.5">
      <c r="A13" s="560"/>
      <c r="B13" s="561"/>
      <c r="C13" s="99" t="s">
        <v>2082</v>
      </c>
      <c r="D13" s="556"/>
    </row>
    <row r="14" spans="1:4" s="106" customFormat="1" ht="66">
      <c r="A14" s="560"/>
      <c r="B14" s="561"/>
      <c r="C14" s="160" t="s">
        <v>409</v>
      </c>
      <c r="D14" s="556"/>
    </row>
    <row r="15" spans="1:4" s="106" customFormat="1" ht="16.5">
      <c r="A15" s="560"/>
      <c r="B15" s="561"/>
      <c r="C15" s="99" t="s">
        <v>111</v>
      </c>
      <c r="D15" s="556"/>
    </row>
    <row r="16" spans="1:4" s="106" customFormat="1" ht="49.5">
      <c r="A16" s="560"/>
      <c r="B16" s="561"/>
      <c r="C16" s="108" t="s">
        <v>408</v>
      </c>
      <c r="D16" s="556"/>
    </row>
    <row r="17" spans="1:4" s="106" customFormat="1" ht="33">
      <c r="A17" s="98">
        <v>6</v>
      </c>
      <c r="B17" s="99" t="s">
        <v>107</v>
      </c>
      <c r="C17" s="108" t="s">
        <v>108</v>
      </c>
      <c r="D17" s="556"/>
    </row>
    <row r="18" spans="1:4" s="106" customFormat="1" ht="16.5">
      <c r="A18" s="564">
        <v>7</v>
      </c>
      <c r="B18" s="564" t="s">
        <v>109</v>
      </c>
      <c r="C18" s="108" t="s">
        <v>110</v>
      </c>
      <c r="D18" s="556"/>
    </row>
    <row r="19" spans="1:4" s="106" customFormat="1" ht="66">
      <c r="A19" s="565"/>
      <c r="B19" s="565"/>
      <c r="C19" s="104" t="s">
        <v>112</v>
      </c>
      <c r="D19" s="556"/>
    </row>
    <row r="20" spans="1:4" s="103" customFormat="1" ht="57" customHeight="1">
      <c r="A20" s="555" t="s">
        <v>2711</v>
      </c>
      <c r="B20" s="555"/>
      <c r="C20" s="555"/>
      <c r="D20" s="556"/>
    </row>
    <row r="21" spans="1:4" s="103" customFormat="1" ht="42.75" customHeight="1">
      <c r="A21" s="557" t="s">
        <v>1358</v>
      </c>
      <c r="B21" s="558"/>
      <c r="C21" s="559"/>
      <c r="D21" s="556"/>
    </row>
    <row r="22" spans="1:4" s="103" customFormat="1" ht="34.5" customHeight="1">
      <c r="A22" s="555" t="s">
        <v>1359</v>
      </c>
      <c r="B22" s="555"/>
      <c r="C22" s="555"/>
      <c r="D22" s="556"/>
    </row>
    <row r="23" spans="1:4" s="106" customFormat="1" ht="16.5"/>
  </sheetData>
  <mergeCells count="16">
    <mergeCell ref="A1:D1"/>
    <mergeCell ref="A2:D2"/>
    <mergeCell ref="A18:A19"/>
    <mergeCell ref="B18:B19"/>
    <mergeCell ref="A5:A6"/>
    <mergeCell ref="B5:B6"/>
    <mergeCell ref="A8:A11"/>
    <mergeCell ref="B8:B11"/>
    <mergeCell ref="A22:C22"/>
    <mergeCell ref="D4:D6"/>
    <mergeCell ref="D7:D11"/>
    <mergeCell ref="D12:D22"/>
    <mergeCell ref="A20:C20"/>
    <mergeCell ref="A21:C21"/>
    <mergeCell ref="A12:A16"/>
    <mergeCell ref="B12:B16"/>
  </mergeCells>
  <phoneticPr fontId="9" type="noConversion"/>
  <printOptions horizontalCentered="1" verticalCentered="1"/>
  <pageMargins left="0.25" right="0.25" top="0.5" bottom="0.5" header="0.5" footer="0.5"/>
  <pageSetup paperSize="9" scale="90" orientation="landscape" r:id="rId1"/>
  <headerFooter alignWithMargins="0">
    <oddHeader>&amp;LTrường Cao đẳng Kỹ thuật Lý Tự Trọng&amp;RPhòng KT&amp;KĐCLGD</oddHeader>
    <oddFooter>&amp;LQuy trình nhập điểm&amp;CBiên soạn: Ha Phuoc Tuan&amp;RTrang &amp;P</oddFooter>
  </headerFooter>
</worksheet>
</file>

<file path=xl/worksheets/sheet2.xml><?xml version="1.0" encoding="utf-8"?>
<worksheet xmlns="http://schemas.openxmlformats.org/spreadsheetml/2006/main" xmlns:r="http://schemas.openxmlformats.org/officeDocument/2006/relationships">
  <sheetPr codeName="Sheet4"/>
  <dimension ref="A1:I96"/>
  <sheetViews>
    <sheetView workbookViewId="0">
      <pane ySplit="3" topLeftCell="A13" activePane="bottomLeft" state="frozen"/>
      <selection pane="bottomLeft" activeCell="K62" sqref="K62"/>
    </sheetView>
  </sheetViews>
  <sheetFormatPr defaultRowHeight="12.75"/>
  <cols>
    <col min="1" max="1" width="4.140625" style="17" bestFit="1" customWidth="1"/>
    <col min="2" max="2" width="19.140625" style="17" bestFit="1" customWidth="1"/>
    <col min="3" max="3" width="5.140625" style="17" bestFit="1" customWidth="1"/>
    <col min="4" max="4" width="8.28515625" style="17" bestFit="1" customWidth="1"/>
    <col min="5" max="5" width="29.7109375" style="17" bestFit="1" customWidth="1"/>
    <col min="6" max="6" width="9.42578125" style="17" bestFit="1" customWidth="1"/>
    <col min="7" max="7" width="9.7109375" style="17" bestFit="1" customWidth="1"/>
    <col min="8" max="8" width="11.42578125" style="17" bestFit="1" customWidth="1"/>
    <col min="9" max="9" width="11.28515625" style="17" bestFit="1" customWidth="1"/>
    <col min="10" max="16384" width="9.140625" style="17"/>
  </cols>
  <sheetData>
    <row r="1" spans="1:9" ht="57" customHeight="1">
      <c r="A1" s="567" t="s">
        <v>104</v>
      </c>
      <c r="B1" s="567"/>
      <c r="C1" s="567"/>
      <c r="D1" s="567"/>
      <c r="E1" s="567"/>
      <c r="F1" s="567"/>
      <c r="G1" s="567"/>
      <c r="H1" s="567"/>
      <c r="I1" s="567"/>
    </row>
    <row r="2" spans="1:9" ht="19.5">
      <c r="A2" s="19"/>
      <c r="B2" s="118"/>
      <c r="C2" s="118"/>
      <c r="D2" s="118"/>
      <c r="E2" s="119"/>
      <c r="F2" s="119"/>
      <c r="G2" s="120"/>
      <c r="H2" s="121"/>
      <c r="I2" s="122"/>
    </row>
    <row r="3" spans="1:9" ht="18.75" thickBot="1">
      <c r="A3" s="239" t="s">
        <v>1514</v>
      </c>
      <c r="B3" s="240" t="s">
        <v>153</v>
      </c>
      <c r="C3" s="240" t="s">
        <v>1533</v>
      </c>
      <c r="D3" s="240" t="s">
        <v>177</v>
      </c>
      <c r="E3" s="240" t="s">
        <v>154</v>
      </c>
      <c r="F3" s="240" t="s">
        <v>168</v>
      </c>
      <c r="G3" s="241" t="s">
        <v>156</v>
      </c>
      <c r="H3" s="242" t="s">
        <v>157</v>
      </c>
      <c r="I3" s="240" t="s">
        <v>155</v>
      </c>
    </row>
    <row r="4" spans="1:9" ht="18.75" customHeight="1">
      <c r="A4" s="568">
        <v>1</v>
      </c>
      <c r="B4" s="571" t="s">
        <v>158</v>
      </c>
      <c r="C4" s="243">
        <v>1</v>
      </c>
      <c r="D4" s="243" t="s">
        <v>169</v>
      </c>
      <c r="E4" s="234" t="s">
        <v>923</v>
      </c>
      <c r="F4" s="244">
        <f>G4+H4</f>
        <v>3</v>
      </c>
      <c r="G4" s="244">
        <v>3</v>
      </c>
      <c r="H4" s="244"/>
      <c r="I4" s="245"/>
    </row>
    <row r="5" spans="1:9" ht="18.75">
      <c r="A5" s="569"/>
      <c r="B5" s="572"/>
      <c r="C5" s="123">
        <v>2</v>
      </c>
      <c r="D5" s="123" t="s">
        <v>170</v>
      </c>
      <c r="E5" s="235" t="s">
        <v>924</v>
      </c>
      <c r="F5" s="125">
        <f t="shared" ref="F5:F87" si="0">G5+H5</f>
        <v>3</v>
      </c>
      <c r="G5" s="125">
        <v>3</v>
      </c>
      <c r="H5" s="126"/>
      <c r="I5" s="246"/>
    </row>
    <row r="6" spans="1:9" ht="18.75">
      <c r="A6" s="569"/>
      <c r="B6" s="572"/>
      <c r="C6" s="123">
        <v>3</v>
      </c>
      <c r="D6" s="123" t="s">
        <v>171</v>
      </c>
      <c r="E6" s="235" t="s">
        <v>925</v>
      </c>
      <c r="F6" s="125">
        <f t="shared" si="0"/>
        <v>2</v>
      </c>
      <c r="G6" s="125">
        <v>2</v>
      </c>
      <c r="H6" s="126"/>
      <c r="I6" s="246"/>
    </row>
    <row r="7" spans="1:9" ht="18.75">
      <c r="A7" s="569"/>
      <c r="B7" s="572"/>
      <c r="C7" s="123">
        <v>4</v>
      </c>
      <c r="D7" s="123" t="s">
        <v>172</v>
      </c>
      <c r="E7" s="235" t="s">
        <v>926</v>
      </c>
      <c r="F7" s="125">
        <f t="shared" si="0"/>
        <v>2</v>
      </c>
      <c r="G7" s="127">
        <v>2</v>
      </c>
      <c r="H7" s="126"/>
      <c r="I7" s="246"/>
    </row>
    <row r="8" spans="1:9" ht="18.75">
      <c r="A8" s="569"/>
      <c r="B8" s="572"/>
      <c r="C8" s="123">
        <v>5</v>
      </c>
      <c r="D8" s="123" t="s">
        <v>173</v>
      </c>
      <c r="E8" s="235" t="s">
        <v>927</v>
      </c>
      <c r="F8" s="125">
        <f t="shared" si="0"/>
        <v>2</v>
      </c>
      <c r="G8" s="125">
        <v>2</v>
      </c>
      <c r="H8" s="126"/>
      <c r="I8" s="246"/>
    </row>
    <row r="9" spans="1:9" ht="18.75">
      <c r="A9" s="569"/>
      <c r="B9" s="572"/>
      <c r="C9" s="123">
        <v>6</v>
      </c>
      <c r="D9" s="123" t="s">
        <v>174</v>
      </c>
      <c r="E9" s="235" t="s">
        <v>928</v>
      </c>
      <c r="F9" s="125">
        <f t="shared" si="0"/>
        <v>5</v>
      </c>
      <c r="G9" s="125">
        <v>5</v>
      </c>
      <c r="H9" s="126"/>
      <c r="I9" s="246"/>
    </row>
    <row r="10" spans="1:9" ht="18.75">
      <c r="A10" s="569"/>
      <c r="B10" s="572"/>
      <c r="C10" s="123">
        <v>7</v>
      </c>
      <c r="D10" s="123" t="s">
        <v>175</v>
      </c>
      <c r="E10" s="124"/>
      <c r="F10" s="125">
        <f t="shared" si="0"/>
        <v>0</v>
      </c>
      <c r="G10" s="125"/>
      <c r="H10" s="126"/>
      <c r="I10" s="246"/>
    </row>
    <row r="11" spans="1:9" ht="18.75">
      <c r="A11" s="569"/>
      <c r="B11" s="572"/>
      <c r="C11" s="123">
        <v>8</v>
      </c>
      <c r="D11" s="123" t="s">
        <v>176</v>
      </c>
      <c r="E11" s="124"/>
      <c r="F11" s="125">
        <f t="shared" si="0"/>
        <v>0</v>
      </c>
      <c r="G11" s="125"/>
      <c r="H11" s="126"/>
      <c r="I11" s="246"/>
    </row>
    <row r="12" spans="1:9" ht="18.75">
      <c r="A12" s="569"/>
      <c r="B12" s="572"/>
      <c r="C12" s="123">
        <v>9</v>
      </c>
      <c r="D12" s="123" t="s">
        <v>932</v>
      </c>
      <c r="E12" s="124"/>
      <c r="F12" s="125">
        <f t="shared" si="0"/>
        <v>0</v>
      </c>
      <c r="G12" s="125"/>
      <c r="H12" s="126"/>
      <c r="I12" s="246"/>
    </row>
    <row r="13" spans="1:9" ht="18.75">
      <c r="A13" s="569"/>
      <c r="B13" s="572"/>
      <c r="C13" s="123">
        <v>10</v>
      </c>
      <c r="D13" s="123" t="s">
        <v>1311</v>
      </c>
      <c r="E13" s="235" t="s">
        <v>930</v>
      </c>
      <c r="F13" s="125">
        <f t="shared" si="0"/>
        <v>2</v>
      </c>
      <c r="G13" s="125"/>
      <c r="H13" s="237">
        <v>2</v>
      </c>
      <c r="I13" s="246"/>
    </row>
    <row r="14" spans="1:9" ht="19.5" thickBot="1">
      <c r="A14" s="570"/>
      <c r="B14" s="573"/>
      <c r="C14" s="247">
        <v>11</v>
      </c>
      <c r="D14" s="247" t="s">
        <v>929</v>
      </c>
      <c r="E14" s="236" t="s">
        <v>931</v>
      </c>
      <c r="F14" s="248">
        <f t="shared" si="0"/>
        <v>2</v>
      </c>
      <c r="G14" s="248"/>
      <c r="H14" s="238">
        <v>2</v>
      </c>
      <c r="I14" s="249"/>
    </row>
    <row r="15" spans="1:9" ht="18.75" customHeight="1">
      <c r="A15" s="568">
        <v>2</v>
      </c>
      <c r="B15" s="571" t="s">
        <v>159</v>
      </c>
      <c r="C15" s="243">
        <v>1</v>
      </c>
      <c r="D15" s="243" t="s">
        <v>169</v>
      </c>
      <c r="E15" s="234" t="s">
        <v>923</v>
      </c>
      <c r="F15" s="244">
        <f t="shared" si="0"/>
        <v>2</v>
      </c>
      <c r="G15" s="250">
        <v>2</v>
      </c>
      <c r="H15" s="244"/>
      <c r="I15" s="245"/>
    </row>
    <row r="16" spans="1:9" ht="18.75">
      <c r="A16" s="569"/>
      <c r="B16" s="572"/>
      <c r="C16" s="123">
        <v>2</v>
      </c>
      <c r="D16" s="123" t="s">
        <v>170</v>
      </c>
      <c r="E16" s="235" t="s">
        <v>924</v>
      </c>
      <c r="F16" s="125">
        <f t="shared" si="0"/>
        <v>3</v>
      </c>
      <c r="G16" s="237">
        <v>3</v>
      </c>
      <c r="H16" s="126"/>
      <c r="I16" s="246"/>
    </row>
    <row r="17" spans="1:9" ht="18.75">
      <c r="A17" s="569"/>
      <c r="B17" s="572"/>
      <c r="C17" s="123">
        <v>3</v>
      </c>
      <c r="D17" s="123" t="s">
        <v>171</v>
      </c>
      <c r="E17" s="235" t="s">
        <v>925</v>
      </c>
      <c r="F17" s="125">
        <f t="shared" si="0"/>
        <v>3</v>
      </c>
      <c r="G17" s="237">
        <v>3</v>
      </c>
      <c r="H17" s="126"/>
      <c r="I17" s="246"/>
    </row>
    <row r="18" spans="1:9" ht="18.75">
      <c r="A18" s="569"/>
      <c r="B18" s="572"/>
      <c r="C18" s="123">
        <v>4</v>
      </c>
      <c r="D18" s="123" t="s">
        <v>172</v>
      </c>
      <c r="E18" s="235" t="s">
        <v>926</v>
      </c>
      <c r="F18" s="125">
        <f t="shared" si="0"/>
        <v>2</v>
      </c>
      <c r="G18" s="237">
        <v>2</v>
      </c>
      <c r="H18" s="126"/>
      <c r="I18" s="246"/>
    </row>
    <row r="19" spans="1:9" ht="18.75">
      <c r="A19" s="569"/>
      <c r="B19" s="572"/>
      <c r="C19" s="123">
        <v>5</v>
      </c>
      <c r="D19" s="123" t="s">
        <v>173</v>
      </c>
      <c r="E19" s="235" t="s">
        <v>927</v>
      </c>
      <c r="F19" s="125">
        <f t="shared" si="0"/>
        <v>2</v>
      </c>
      <c r="G19" s="237">
        <v>2</v>
      </c>
      <c r="H19" s="126"/>
      <c r="I19" s="246"/>
    </row>
    <row r="20" spans="1:9" ht="18.75">
      <c r="A20" s="569"/>
      <c r="B20" s="572"/>
      <c r="C20" s="123">
        <v>6</v>
      </c>
      <c r="D20" s="123" t="s">
        <v>174</v>
      </c>
      <c r="E20" s="235" t="s">
        <v>928</v>
      </c>
      <c r="F20" s="125">
        <f t="shared" si="0"/>
        <v>2</v>
      </c>
      <c r="G20" s="237">
        <v>2</v>
      </c>
      <c r="H20" s="126"/>
      <c r="I20" s="246"/>
    </row>
    <row r="21" spans="1:9" ht="18.75">
      <c r="A21" s="569"/>
      <c r="B21" s="572"/>
      <c r="C21" s="123">
        <v>7</v>
      </c>
      <c r="D21" s="123" t="s">
        <v>175</v>
      </c>
      <c r="E21" s="124"/>
      <c r="F21" s="125">
        <f t="shared" si="0"/>
        <v>0</v>
      </c>
      <c r="G21" s="125"/>
      <c r="H21" s="126"/>
      <c r="I21" s="246"/>
    </row>
    <row r="22" spans="1:9" ht="18.75">
      <c r="A22" s="569"/>
      <c r="B22" s="572"/>
      <c r="C22" s="123">
        <v>8</v>
      </c>
      <c r="D22" s="123" t="s">
        <v>176</v>
      </c>
      <c r="E22" s="124"/>
      <c r="F22" s="125">
        <f t="shared" si="0"/>
        <v>0</v>
      </c>
      <c r="G22" s="125"/>
      <c r="H22" s="126"/>
      <c r="I22" s="246"/>
    </row>
    <row r="23" spans="1:9" ht="18.75">
      <c r="A23" s="569"/>
      <c r="B23" s="572"/>
      <c r="C23" s="123">
        <v>9</v>
      </c>
      <c r="D23" s="123" t="s">
        <v>932</v>
      </c>
      <c r="E23" s="124"/>
      <c r="F23" s="125">
        <f t="shared" si="0"/>
        <v>0</v>
      </c>
      <c r="G23" s="125"/>
      <c r="H23" s="126"/>
      <c r="I23" s="246"/>
    </row>
    <row r="24" spans="1:9" ht="18.75">
      <c r="A24" s="569"/>
      <c r="B24" s="572"/>
      <c r="C24" s="123">
        <v>10</v>
      </c>
      <c r="D24" s="123" t="s">
        <v>1311</v>
      </c>
      <c r="E24" s="235" t="s">
        <v>931</v>
      </c>
      <c r="F24" s="125">
        <f t="shared" si="0"/>
        <v>2</v>
      </c>
      <c r="G24" s="125"/>
      <c r="H24" s="237">
        <v>2</v>
      </c>
      <c r="I24" s="246"/>
    </row>
    <row r="25" spans="1:9" ht="19.5" thickBot="1">
      <c r="A25" s="570"/>
      <c r="B25" s="573"/>
      <c r="C25" s="247">
        <v>11</v>
      </c>
      <c r="D25" s="247" t="s">
        <v>929</v>
      </c>
      <c r="E25" s="236" t="s">
        <v>933</v>
      </c>
      <c r="F25" s="248">
        <f t="shared" si="0"/>
        <v>2</v>
      </c>
      <c r="G25" s="248"/>
      <c r="H25" s="238">
        <v>2</v>
      </c>
      <c r="I25" s="249"/>
    </row>
    <row r="26" spans="1:9" ht="18.75" customHeight="1">
      <c r="A26" s="568">
        <v>3</v>
      </c>
      <c r="B26" s="571" t="s">
        <v>942</v>
      </c>
      <c r="C26" s="243">
        <v>1</v>
      </c>
      <c r="D26" s="243" t="s">
        <v>169</v>
      </c>
      <c r="E26" s="234" t="s">
        <v>934</v>
      </c>
      <c r="F26" s="244">
        <f t="shared" si="0"/>
        <v>2</v>
      </c>
      <c r="G26" s="250">
        <v>2</v>
      </c>
      <c r="H26" s="244"/>
      <c r="I26" s="245"/>
    </row>
    <row r="27" spans="1:9" ht="18.75">
      <c r="A27" s="569"/>
      <c r="B27" s="572"/>
      <c r="C27" s="123">
        <v>2</v>
      </c>
      <c r="D27" s="123" t="s">
        <v>170</v>
      </c>
      <c r="E27" s="235" t="s">
        <v>935</v>
      </c>
      <c r="F27" s="125">
        <f t="shared" si="0"/>
        <v>2</v>
      </c>
      <c r="G27" s="237">
        <v>2</v>
      </c>
      <c r="H27" s="125"/>
      <c r="I27" s="246"/>
    </row>
    <row r="28" spans="1:9" ht="18.75">
      <c r="A28" s="569"/>
      <c r="B28" s="572"/>
      <c r="C28" s="123">
        <v>3</v>
      </c>
      <c r="D28" s="123" t="s">
        <v>171</v>
      </c>
      <c r="E28" s="235" t="s">
        <v>943</v>
      </c>
      <c r="F28" s="125">
        <f t="shared" si="0"/>
        <v>3</v>
      </c>
      <c r="G28" s="237">
        <v>3</v>
      </c>
      <c r="H28" s="126"/>
      <c r="I28" s="246"/>
    </row>
    <row r="29" spans="1:9" ht="18.75">
      <c r="A29" s="569"/>
      <c r="B29" s="572"/>
      <c r="C29" s="123">
        <v>4</v>
      </c>
      <c r="D29" s="123" t="s">
        <v>172</v>
      </c>
      <c r="E29" s="235" t="s">
        <v>944</v>
      </c>
      <c r="F29" s="125">
        <f t="shared" si="0"/>
        <v>2</v>
      </c>
      <c r="G29" s="237">
        <v>2</v>
      </c>
      <c r="H29" s="126"/>
      <c r="I29" s="246"/>
    </row>
    <row r="30" spans="1:9" ht="18.75">
      <c r="A30" s="569"/>
      <c r="B30" s="572"/>
      <c r="C30" s="123">
        <v>5</v>
      </c>
      <c r="D30" s="123" t="s">
        <v>173</v>
      </c>
      <c r="E30" s="235" t="s">
        <v>945</v>
      </c>
      <c r="F30" s="125">
        <f t="shared" si="0"/>
        <v>2</v>
      </c>
      <c r="G30" s="237">
        <v>2</v>
      </c>
      <c r="H30" s="126"/>
      <c r="I30" s="246"/>
    </row>
    <row r="31" spans="1:9" ht="18.75">
      <c r="A31" s="569"/>
      <c r="B31" s="572"/>
      <c r="C31" s="123">
        <v>6</v>
      </c>
      <c r="D31" s="123" t="s">
        <v>174</v>
      </c>
      <c r="E31" s="124"/>
      <c r="F31" s="125">
        <f t="shared" si="0"/>
        <v>0</v>
      </c>
      <c r="G31" s="125"/>
      <c r="H31" s="126"/>
      <c r="I31" s="246"/>
    </row>
    <row r="32" spans="1:9" ht="18.75">
      <c r="A32" s="569"/>
      <c r="B32" s="572"/>
      <c r="C32" s="123">
        <v>7</v>
      </c>
      <c r="D32" s="123" t="s">
        <v>175</v>
      </c>
      <c r="E32" s="124"/>
      <c r="F32" s="125">
        <f t="shared" si="0"/>
        <v>0</v>
      </c>
      <c r="G32" s="125"/>
      <c r="H32" s="126"/>
      <c r="I32" s="246"/>
    </row>
    <row r="33" spans="1:9" ht="18.75">
      <c r="A33" s="569"/>
      <c r="B33" s="572"/>
      <c r="C33" s="123">
        <v>8</v>
      </c>
      <c r="D33" s="123" t="s">
        <v>176</v>
      </c>
      <c r="E33" s="124"/>
      <c r="F33" s="125">
        <f t="shared" si="0"/>
        <v>0</v>
      </c>
      <c r="G33" s="125"/>
      <c r="H33" s="126"/>
      <c r="I33" s="246"/>
    </row>
    <row r="34" spans="1:9" ht="18.75">
      <c r="A34" s="569"/>
      <c r="B34" s="572"/>
      <c r="C34" s="123">
        <v>9</v>
      </c>
      <c r="D34" s="123" t="s">
        <v>932</v>
      </c>
      <c r="E34" s="124"/>
      <c r="F34" s="125">
        <f t="shared" si="0"/>
        <v>0</v>
      </c>
      <c r="G34" s="125"/>
      <c r="H34" s="126"/>
      <c r="I34" s="246"/>
    </row>
    <row r="35" spans="1:9" ht="18.75">
      <c r="A35" s="569"/>
      <c r="B35" s="572"/>
      <c r="C35" s="123">
        <v>10</v>
      </c>
      <c r="D35" s="123" t="s">
        <v>1311</v>
      </c>
      <c r="E35" s="235" t="s">
        <v>946</v>
      </c>
      <c r="F35" s="125">
        <f t="shared" si="0"/>
        <v>3</v>
      </c>
      <c r="G35" s="125"/>
      <c r="H35" s="237">
        <v>3</v>
      </c>
      <c r="I35" s="246"/>
    </row>
    <row r="36" spans="1:9" ht="19.5" thickBot="1">
      <c r="A36" s="570"/>
      <c r="B36" s="573"/>
      <c r="C36" s="247">
        <v>11</v>
      </c>
      <c r="D36" s="247" t="s">
        <v>929</v>
      </c>
      <c r="E36" s="236" t="s">
        <v>947</v>
      </c>
      <c r="F36" s="248">
        <f t="shared" si="0"/>
        <v>2</v>
      </c>
      <c r="G36" s="248"/>
      <c r="H36" s="238">
        <v>2</v>
      </c>
      <c r="I36" s="249"/>
    </row>
    <row r="37" spans="1:9" ht="18.75">
      <c r="A37" s="568">
        <v>4</v>
      </c>
      <c r="B37" s="571" t="s">
        <v>948</v>
      </c>
      <c r="C37" s="243">
        <v>1</v>
      </c>
      <c r="D37" s="243" t="s">
        <v>169</v>
      </c>
      <c r="E37" s="234" t="s">
        <v>934</v>
      </c>
      <c r="F37" s="244">
        <f t="shared" si="0"/>
        <v>2</v>
      </c>
      <c r="G37" s="250">
        <v>2</v>
      </c>
      <c r="H37" s="250"/>
      <c r="I37" s="245"/>
    </row>
    <row r="38" spans="1:9" ht="18.75">
      <c r="A38" s="569"/>
      <c r="B38" s="572"/>
      <c r="C38" s="123">
        <v>2</v>
      </c>
      <c r="D38" s="123" t="s">
        <v>170</v>
      </c>
      <c r="E38" s="235" t="s">
        <v>935</v>
      </c>
      <c r="F38" s="125">
        <f t="shared" si="0"/>
        <v>2</v>
      </c>
      <c r="G38" s="237">
        <v>2</v>
      </c>
      <c r="H38" s="253"/>
      <c r="I38" s="246"/>
    </row>
    <row r="39" spans="1:9" ht="18.75">
      <c r="A39" s="569"/>
      <c r="B39" s="572"/>
      <c r="C39" s="123">
        <v>3</v>
      </c>
      <c r="D39" s="123" t="s">
        <v>171</v>
      </c>
      <c r="E39" s="235" t="s">
        <v>944</v>
      </c>
      <c r="F39" s="125">
        <f t="shared" si="0"/>
        <v>2</v>
      </c>
      <c r="G39" s="237">
        <v>2</v>
      </c>
      <c r="H39" s="253"/>
      <c r="I39" s="246"/>
    </row>
    <row r="40" spans="1:9" ht="18.75">
      <c r="A40" s="569"/>
      <c r="B40" s="572"/>
      <c r="C40" s="123">
        <v>4</v>
      </c>
      <c r="D40" s="123" t="s">
        <v>172</v>
      </c>
      <c r="E40" s="235" t="s">
        <v>949</v>
      </c>
      <c r="F40" s="125">
        <f t="shared" si="0"/>
        <v>2</v>
      </c>
      <c r="G40" s="237">
        <v>2</v>
      </c>
      <c r="H40" s="237"/>
      <c r="I40" s="246"/>
    </row>
    <row r="41" spans="1:9" ht="18.75">
      <c r="A41" s="569"/>
      <c r="B41" s="572"/>
      <c r="C41" s="123">
        <v>5</v>
      </c>
      <c r="D41" s="123" t="s">
        <v>173</v>
      </c>
      <c r="E41" s="235" t="s">
        <v>950</v>
      </c>
      <c r="F41" s="125">
        <f t="shared" si="0"/>
        <v>2</v>
      </c>
      <c r="G41" s="237">
        <v>2</v>
      </c>
      <c r="H41" s="237"/>
      <c r="I41" s="246"/>
    </row>
    <row r="42" spans="1:9" ht="18.75">
      <c r="A42" s="569"/>
      <c r="B42" s="572"/>
      <c r="C42" s="123">
        <v>6</v>
      </c>
      <c r="D42" s="123" t="s">
        <v>174</v>
      </c>
      <c r="E42" s="235" t="s">
        <v>951</v>
      </c>
      <c r="F42" s="125">
        <f t="shared" si="0"/>
        <v>2</v>
      </c>
      <c r="G42" s="237">
        <v>2</v>
      </c>
      <c r="H42" s="237"/>
      <c r="I42" s="246"/>
    </row>
    <row r="43" spans="1:9" ht="18.75">
      <c r="A43" s="569"/>
      <c r="B43" s="572"/>
      <c r="C43" s="123">
        <v>7</v>
      </c>
      <c r="D43" s="123" t="s">
        <v>175</v>
      </c>
      <c r="E43" s="235" t="s">
        <v>952</v>
      </c>
      <c r="F43" s="125">
        <f t="shared" si="0"/>
        <v>3</v>
      </c>
      <c r="G43" s="237">
        <v>3</v>
      </c>
      <c r="H43" s="237"/>
      <c r="I43" s="246"/>
    </row>
    <row r="44" spans="1:9" ht="18.75">
      <c r="A44" s="569"/>
      <c r="B44" s="572"/>
      <c r="C44" s="123">
        <v>8</v>
      </c>
      <c r="D44" s="123" t="s">
        <v>176</v>
      </c>
      <c r="E44" s="235" t="s">
        <v>953</v>
      </c>
      <c r="F44" s="125">
        <f t="shared" si="0"/>
        <v>2</v>
      </c>
      <c r="G44" s="237">
        <v>2</v>
      </c>
      <c r="H44" s="237"/>
      <c r="I44" s="246"/>
    </row>
    <row r="45" spans="1:9" ht="18.75">
      <c r="A45" s="569"/>
      <c r="B45" s="572"/>
      <c r="C45" s="123">
        <v>9</v>
      </c>
      <c r="D45" s="123" t="s">
        <v>932</v>
      </c>
      <c r="E45" s="235" t="s">
        <v>954</v>
      </c>
      <c r="F45" s="125">
        <f t="shared" si="0"/>
        <v>3</v>
      </c>
      <c r="G45" s="237">
        <v>3</v>
      </c>
      <c r="H45" s="237"/>
      <c r="I45" s="246"/>
    </row>
    <row r="46" spans="1:9" ht="18.75">
      <c r="A46" s="569"/>
      <c r="B46" s="572"/>
      <c r="C46" s="123">
        <v>10</v>
      </c>
      <c r="D46" s="123" t="s">
        <v>1311</v>
      </c>
      <c r="E46" s="235" t="s">
        <v>941</v>
      </c>
      <c r="F46" s="125">
        <f t="shared" si="0"/>
        <v>2</v>
      </c>
      <c r="G46" s="237"/>
      <c r="H46" s="237">
        <v>2</v>
      </c>
      <c r="I46" s="246"/>
    </row>
    <row r="47" spans="1:9" ht="19.5" thickBot="1">
      <c r="A47" s="570"/>
      <c r="B47" s="573"/>
      <c r="C47" s="247">
        <v>11</v>
      </c>
      <c r="D47" s="247" t="s">
        <v>929</v>
      </c>
      <c r="E47" s="251"/>
      <c r="F47" s="248">
        <f t="shared" si="0"/>
        <v>0</v>
      </c>
      <c r="G47" s="248"/>
      <c r="H47" s="252"/>
      <c r="I47" s="249"/>
    </row>
    <row r="48" spans="1:9" ht="18.75" customHeight="1">
      <c r="A48" s="568">
        <v>5</v>
      </c>
      <c r="B48" s="571" t="s">
        <v>160</v>
      </c>
      <c r="C48" s="243">
        <v>1</v>
      </c>
      <c r="D48" s="243" t="s">
        <v>169</v>
      </c>
      <c r="E48" s="234" t="s">
        <v>934</v>
      </c>
      <c r="F48" s="244">
        <f t="shared" si="0"/>
        <v>2</v>
      </c>
      <c r="G48" s="250">
        <v>2</v>
      </c>
      <c r="H48" s="244"/>
      <c r="I48" s="245"/>
    </row>
    <row r="49" spans="1:9" ht="18.75">
      <c r="A49" s="569"/>
      <c r="B49" s="572"/>
      <c r="C49" s="123">
        <v>2</v>
      </c>
      <c r="D49" s="123" t="s">
        <v>170</v>
      </c>
      <c r="E49" s="235" t="s">
        <v>935</v>
      </c>
      <c r="F49" s="125">
        <f t="shared" si="0"/>
        <v>2</v>
      </c>
      <c r="G49" s="237">
        <v>2</v>
      </c>
      <c r="H49" s="125"/>
      <c r="I49" s="246"/>
    </row>
    <row r="50" spans="1:9" ht="18.75">
      <c r="A50" s="569"/>
      <c r="B50" s="572"/>
      <c r="C50" s="123">
        <v>3</v>
      </c>
      <c r="D50" s="123" t="s">
        <v>171</v>
      </c>
      <c r="E50" s="235" t="s">
        <v>936</v>
      </c>
      <c r="F50" s="125">
        <f t="shared" si="0"/>
        <v>3</v>
      </c>
      <c r="G50" s="237">
        <v>3</v>
      </c>
      <c r="H50" s="126"/>
      <c r="I50" s="246"/>
    </row>
    <row r="51" spans="1:9" ht="18.75">
      <c r="A51" s="569"/>
      <c r="B51" s="572"/>
      <c r="C51" s="123">
        <v>4</v>
      </c>
      <c r="D51" s="123" t="s">
        <v>172</v>
      </c>
      <c r="E51" s="235" t="s">
        <v>937</v>
      </c>
      <c r="F51" s="125">
        <f t="shared" si="0"/>
        <v>2</v>
      </c>
      <c r="G51" s="237">
        <v>2</v>
      </c>
      <c r="H51" s="126"/>
      <c r="I51" s="246"/>
    </row>
    <row r="52" spans="1:9" ht="18.75">
      <c r="A52" s="569"/>
      <c r="B52" s="572"/>
      <c r="C52" s="123">
        <v>5</v>
      </c>
      <c r="D52" s="123" t="s">
        <v>173</v>
      </c>
      <c r="E52" s="235" t="s">
        <v>938</v>
      </c>
      <c r="F52" s="125">
        <f t="shared" si="0"/>
        <v>3</v>
      </c>
      <c r="G52" s="237">
        <v>3</v>
      </c>
      <c r="H52" s="126"/>
      <c r="I52" s="246"/>
    </row>
    <row r="53" spans="1:9" ht="18.75">
      <c r="A53" s="569"/>
      <c r="B53" s="572"/>
      <c r="C53" s="123">
        <v>6</v>
      </c>
      <c r="D53" s="123" t="s">
        <v>174</v>
      </c>
      <c r="E53" s="235" t="s">
        <v>939</v>
      </c>
      <c r="F53" s="125">
        <f t="shared" si="0"/>
        <v>3</v>
      </c>
      <c r="G53" s="237">
        <v>3</v>
      </c>
      <c r="H53" s="126"/>
      <c r="I53" s="246"/>
    </row>
    <row r="54" spans="1:9" ht="18.75">
      <c r="A54" s="569"/>
      <c r="B54" s="572"/>
      <c r="C54" s="123">
        <v>7</v>
      </c>
      <c r="D54" s="123" t="s">
        <v>175</v>
      </c>
      <c r="E54" s="235" t="s">
        <v>940</v>
      </c>
      <c r="F54" s="125">
        <f t="shared" si="0"/>
        <v>2</v>
      </c>
      <c r="G54" s="237">
        <v>2</v>
      </c>
      <c r="H54" s="126"/>
      <c r="I54" s="246"/>
    </row>
    <row r="55" spans="1:9" ht="18.75">
      <c r="A55" s="569"/>
      <c r="B55" s="572"/>
      <c r="C55" s="123">
        <v>8</v>
      </c>
      <c r="D55" s="123" t="s">
        <v>176</v>
      </c>
      <c r="E55" s="124"/>
      <c r="F55" s="125">
        <f t="shared" si="0"/>
        <v>0</v>
      </c>
      <c r="G55" s="125"/>
      <c r="H55" s="126"/>
      <c r="I55" s="246"/>
    </row>
    <row r="56" spans="1:9" ht="18.75">
      <c r="A56" s="569"/>
      <c r="B56" s="572"/>
      <c r="C56" s="123">
        <v>9</v>
      </c>
      <c r="D56" s="123" t="s">
        <v>932</v>
      </c>
      <c r="E56" s="124"/>
      <c r="F56" s="125">
        <f t="shared" si="0"/>
        <v>0</v>
      </c>
      <c r="G56" s="125"/>
      <c r="H56" s="126"/>
      <c r="I56" s="246"/>
    </row>
    <row r="57" spans="1:9" ht="18.75">
      <c r="A57" s="569"/>
      <c r="B57" s="572"/>
      <c r="C57" s="123">
        <v>10</v>
      </c>
      <c r="D57" s="123" t="s">
        <v>1311</v>
      </c>
      <c r="E57" s="235" t="s">
        <v>941</v>
      </c>
      <c r="F57" s="125">
        <f t="shared" si="0"/>
        <v>2</v>
      </c>
      <c r="G57" s="125"/>
      <c r="H57" s="237">
        <v>2</v>
      </c>
      <c r="I57" s="246"/>
    </row>
    <row r="58" spans="1:9" ht="19.5" thickBot="1">
      <c r="A58" s="570"/>
      <c r="B58" s="573"/>
      <c r="C58" s="247">
        <v>11</v>
      </c>
      <c r="D58" s="247" t="s">
        <v>929</v>
      </c>
      <c r="E58" s="251"/>
      <c r="F58" s="248">
        <f t="shared" si="0"/>
        <v>0</v>
      </c>
      <c r="G58" s="248"/>
      <c r="H58" s="252"/>
      <c r="I58" s="249"/>
    </row>
    <row r="59" spans="1:9" ht="18.75">
      <c r="A59" s="568">
        <v>6</v>
      </c>
      <c r="B59" s="571" t="s">
        <v>161</v>
      </c>
      <c r="C59" s="243">
        <v>1</v>
      </c>
      <c r="D59" s="243" t="s">
        <v>169</v>
      </c>
      <c r="E59" s="234" t="s">
        <v>934</v>
      </c>
      <c r="F59" s="244">
        <f t="shared" si="0"/>
        <v>2</v>
      </c>
      <c r="G59" s="250">
        <v>2</v>
      </c>
      <c r="H59" s="244"/>
      <c r="I59" s="245"/>
    </row>
    <row r="60" spans="1:9" ht="18.75">
      <c r="A60" s="569"/>
      <c r="B60" s="572"/>
      <c r="C60" s="123">
        <v>2</v>
      </c>
      <c r="D60" s="123" t="s">
        <v>170</v>
      </c>
      <c r="E60" s="235" t="s">
        <v>955</v>
      </c>
      <c r="F60" s="125">
        <f t="shared" si="0"/>
        <v>2</v>
      </c>
      <c r="G60" s="237">
        <v>2</v>
      </c>
      <c r="H60" s="125"/>
      <c r="I60" s="246"/>
    </row>
    <row r="61" spans="1:9" ht="18.75">
      <c r="A61" s="569"/>
      <c r="B61" s="572"/>
      <c r="C61" s="123">
        <v>3</v>
      </c>
      <c r="D61" s="123" t="s">
        <v>171</v>
      </c>
      <c r="E61" s="235" t="s">
        <v>935</v>
      </c>
      <c r="F61" s="125">
        <f t="shared" si="0"/>
        <v>2</v>
      </c>
      <c r="G61" s="237">
        <v>2</v>
      </c>
      <c r="H61" s="126"/>
      <c r="I61" s="246"/>
    </row>
    <row r="62" spans="1:9" ht="18.75">
      <c r="A62" s="569"/>
      <c r="B62" s="572"/>
      <c r="C62" s="123">
        <v>4</v>
      </c>
      <c r="D62" s="123" t="s">
        <v>172</v>
      </c>
      <c r="E62" s="235" t="s">
        <v>956</v>
      </c>
      <c r="F62" s="125">
        <f t="shared" si="0"/>
        <v>2</v>
      </c>
      <c r="G62" s="237">
        <v>2</v>
      </c>
      <c r="H62" s="126"/>
      <c r="I62" s="246"/>
    </row>
    <row r="63" spans="1:9" ht="18.75">
      <c r="A63" s="569"/>
      <c r="B63" s="572"/>
      <c r="C63" s="123">
        <v>5</v>
      </c>
      <c r="D63" s="123" t="s">
        <v>173</v>
      </c>
      <c r="E63" s="235" t="s">
        <v>957</v>
      </c>
      <c r="F63" s="125">
        <f t="shared" si="0"/>
        <v>2</v>
      </c>
      <c r="G63" s="237">
        <v>2</v>
      </c>
      <c r="H63" s="126"/>
      <c r="I63" s="246"/>
    </row>
    <row r="64" spans="1:9" ht="18.75">
      <c r="A64" s="569"/>
      <c r="B64" s="572"/>
      <c r="C64" s="123">
        <v>6</v>
      </c>
      <c r="D64" s="123" t="s">
        <v>174</v>
      </c>
      <c r="E64" s="235" t="s">
        <v>958</v>
      </c>
      <c r="F64" s="125">
        <f t="shared" si="0"/>
        <v>2</v>
      </c>
      <c r="G64" s="237">
        <v>2</v>
      </c>
      <c r="H64" s="126"/>
      <c r="I64" s="246"/>
    </row>
    <row r="65" spans="1:9" ht="18.75">
      <c r="A65" s="569"/>
      <c r="B65" s="572"/>
      <c r="C65" s="123">
        <v>7</v>
      </c>
      <c r="D65" s="123" t="s">
        <v>175</v>
      </c>
      <c r="E65" s="235" t="s">
        <v>959</v>
      </c>
      <c r="F65" s="125">
        <f t="shared" si="0"/>
        <v>2</v>
      </c>
      <c r="G65" s="237">
        <v>2</v>
      </c>
      <c r="H65" s="126"/>
      <c r="I65" s="246"/>
    </row>
    <row r="66" spans="1:9" ht="18.75">
      <c r="A66" s="569"/>
      <c r="B66" s="572"/>
      <c r="C66" s="123">
        <v>8</v>
      </c>
      <c r="D66" s="123" t="s">
        <v>176</v>
      </c>
      <c r="E66" s="235" t="s">
        <v>960</v>
      </c>
      <c r="F66" s="125">
        <f t="shared" si="0"/>
        <v>2</v>
      </c>
      <c r="G66" s="237">
        <v>2</v>
      </c>
      <c r="H66" s="126"/>
      <c r="I66" s="246"/>
    </row>
    <row r="67" spans="1:9" ht="18.75">
      <c r="A67" s="569"/>
      <c r="B67" s="572"/>
      <c r="C67" s="123">
        <v>9</v>
      </c>
      <c r="D67" s="123" t="s">
        <v>932</v>
      </c>
      <c r="E67" s="235" t="s">
        <v>961</v>
      </c>
      <c r="F67" s="125">
        <f t="shared" si="0"/>
        <v>2</v>
      </c>
      <c r="G67" s="237">
        <v>2</v>
      </c>
      <c r="H67" s="126"/>
      <c r="I67" s="246"/>
    </row>
    <row r="68" spans="1:9" ht="18.75">
      <c r="A68" s="569"/>
      <c r="B68" s="572"/>
      <c r="C68" s="123">
        <v>10</v>
      </c>
      <c r="D68" s="123" t="s">
        <v>1311</v>
      </c>
      <c r="E68" s="235" t="s">
        <v>962</v>
      </c>
      <c r="F68" s="125">
        <f t="shared" si="0"/>
        <v>3</v>
      </c>
      <c r="G68" s="125"/>
      <c r="H68" s="237">
        <v>3</v>
      </c>
      <c r="I68" s="246"/>
    </row>
    <row r="69" spans="1:9" ht="19.5" thickBot="1">
      <c r="A69" s="570"/>
      <c r="B69" s="573"/>
      <c r="C69" s="247">
        <v>11</v>
      </c>
      <c r="D69" s="247" t="s">
        <v>929</v>
      </c>
      <c r="E69" s="251"/>
      <c r="F69" s="248">
        <f t="shared" si="0"/>
        <v>0</v>
      </c>
      <c r="G69" s="248"/>
      <c r="H69" s="252"/>
      <c r="I69" s="249"/>
    </row>
    <row r="70" spans="1:9" ht="18.75" customHeight="1">
      <c r="A70" s="568">
        <v>7</v>
      </c>
      <c r="B70" s="571" t="s">
        <v>963</v>
      </c>
      <c r="C70" s="243">
        <v>1</v>
      </c>
      <c r="D70" s="243" t="s">
        <v>169</v>
      </c>
      <c r="E70" s="234" t="s">
        <v>934</v>
      </c>
      <c r="F70" s="244">
        <f t="shared" si="0"/>
        <v>2</v>
      </c>
      <c r="G70" s="250">
        <v>2</v>
      </c>
      <c r="H70" s="250"/>
      <c r="I70" s="245"/>
    </row>
    <row r="71" spans="1:9" ht="18.75">
      <c r="A71" s="569"/>
      <c r="B71" s="572"/>
      <c r="C71" s="123">
        <v>2</v>
      </c>
      <c r="D71" s="123" t="s">
        <v>170</v>
      </c>
      <c r="E71" s="235" t="s">
        <v>935</v>
      </c>
      <c r="F71" s="125">
        <f t="shared" si="0"/>
        <v>2</v>
      </c>
      <c r="G71" s="237">
        <v>2</v>
      </c>
      <c r="H71" s="237"/>
      <c r="I71" s="246"/>
    </row>
    <row r="72" spans="1:9" ht="18.75">
      <c r="A72" s="569"/>
      <c r="B72" s="572"/>
      <c r="C72" s="123">
        <v>3</v>
      </c>
      <c r="D72" s="123" t="s">
        <v>171</v>
      </c>
      <c r="E72" s="254" t="s">
        <v>964</v>
      </c>
      <c r="F72" s="125">
        <f t="shared" si="0"/>
        <v>4</v>
      </c>
      <c r="G72" s="253">
        <v>3</v>
      </c>
      <c r="H72" s="253">
        <v>1</v>
      </c>
      <c r="I72" s="246"/>
    </row>
    <row r="73" spans="1:9" ht="18.75">
      <c r="A73" s="569"/>
      <c r="B73" s="572"/>
      <c r="C73" s="123">
        <v>4</v>
      </c>
      <c r="D73" s="123" t="s">
        <v>172</v>
      </c>
      <c r="E73" s="235" t="s">
        <v>965</v>
      </c>
      <c r="F73" s="125">
        <f t="shared" si="0"/>
        <v>4</v>
      </c>
      <c r="G73" s="237">
        <v>3</v>
      </c>
      <c r="H73" s="237">
        <v>1</v>
      </c>
      <c r="I73" s="246"/>
    </row>
    <row r="74" spans="1:9" ht="18.75">
      <c r="A74" s="569"/>
      <c r="B74" s="572"/>
      <c r="C74" s="123">
        <v>5</v>
      </c>
      <c r="D74" s="123" t="s">
        <v>173</v>
      </c>
      <c r="E74" s="235" t="s">
        <v>966</v>
      </c>
      <c r="F74" s="125">
        <f t="shared" si="0"/>
        <v>3</v>
      </c>
      <c r="G74" s="237">
        <v>3</v>
      </c>
      <c r="H74" s="237"/>
      <c r="I74" s="246"/>
    </row>
    <row r="75" spans="1:9" ht="18.75">
      <c r="A75" s="569"/>
      <c r="B75" s="572"/>
      <c r="C75" s="123">
        <v>6</v>
      </c>
      <c r="D75" s="123" t="s">
        <v>174</v>
      </c>
      <c r="E75" s="235" t="s">
        <v>967</v>
      </c>
      <c r="F75" s="125">
        <f t="shared" si="0"/>
        <v>3</v>
      </c>
      <c r="G75" s="237">
        <v>2</v>
      </c>
      <c r="H75" s="237">
        <v>1</v>
      </c>
      <c r="I75" s="246"/>
    </row>
    <row r="76" spans="1:9" ht="18.75">
      <c r="A76" s="569"/>
      <c r="B76" s="572"/>
      <c r="C76" s="123">
        <v>7</v>
      </c>
      <c r="D76" s="123" t="s">
        <v>175</v>
      </c>
      <c r="E76" s="124"/>
      <c r="F76" s="125">
        <f t="shared" si="0"/>
        <v>0</v>
      </c>
      <c r="G76" s="125"/>
      <c r="H76" s="126"/>
      <c r="I76" s="246"/>
    </row>
    <row r="77" spans="1:9" ht="18.75">
      <c r="A77" s="569"/>
      <c r="B77" s="572"/>
      <c r="C77" s="123">
        <v>8</v>
      </c>
      <c r="D77" s="123" t="s">
        <v>176</v>
      </c>
      <c r="E77" s="124"/>
      <c r="F77" s="125">
        <f t="shared" si="0"/>
        <v>0</v>
      </c>
      <c r="G77" s="125"/>
      <c r="H77" s="126"/>
      <c r="I77" s="246"/>
    </row>
    <row r="78" spans="1:9" ht="18.75">
      <c r="A78" s="569"/>
      <c r="B78" s="572"/>
      <c r="C78" s="123">
        <v>9</v>
      </c>
      <c r="D78" s="123" t="s">
        <v>932</v>
      </c>
      <c r="E78" s="124"/>
      <c r="F78" s="125">
        <f t="shared" si="0"/>
        <v>0</v>
      </c>
      <c r="G78" s="125"/>
      <c r="H78" s="126"/>
      <c r="I78" s="246"/>
    </row>
    <row r="79" spans="1:9" ht="18.75">
      <c r="A79" s="569"/>
      <c r="B79" s="572"/>
      <c r="C79" s="123">
        <v>10</v>
      </c>
      <c r="D79" s="123" t="s">
        <v>1311</v>
      </c>
      <c r="E79" s="124"/>
      <c r="F79" s="125">
        <f t="shared" si="0"/>
        <v>0</v>
      </c>
      <c r="G79" s="125"/>
      <c r="H79" s="126"/>
      <c r="I79" s="246"/>
    </row>
    <row r="80" spans="1:9" ht="19.5" thickBot="1">
      <c r="A80" s="570"/>
      <c r="B80" s="573"/>
      <c r="C80" s="247">
        <v>11</v>
      </c>
      <c r="D80" s="247" t="s">
        <v>929</v>
      </c>
      <c r="E80" s="251"/>
      <c r="F80" s="248">
        <f t="shared" si="0"/>
        <v>0</v>
      </c>
      <c r="G80" s="248"/>
      <c r="H80" s="252"/>
      <c r="I80" s="249"/>
    </row>
    <row r="81" spans="1:9" ht="18.75" customHeight="1">
      <c r="A81" s="568">
        <v>8</v>
      </c>
      <c r="B81" s="571" t="s">
        <v>162</v>
      </c>
      <c r="C81" s="243">
        <v>1</v>
      </c>
      <c r="D81" s="243" t="s">
        <v>169</v>
      </c>
      <c r="E81" s="234" t="s">
        <v>934</v>
      </c>
      <c r="F81" s="244">
        <f t="shared" si="0"/>
        <v>2</v>
      </c>
      <c r="G81" s="250">
        <v>2</v>
      </c>
      <c r="H81" s="250"/>
      <c r="I81" s="245"/>
    </row>
    <row r="82" spans="1:9" ht="18.75">
      <c r="A82" s="569"/>
      <c r="B82" s="572"/>
      <c r="C82" s="123">
        <v>2</v>
      </c>
      <c r="D82" s="123" t="s">
        <v>170</v>
      </c>
      <c r="E82" s="235" t="s">
        <v>935</v>
      </c>
      <c r="F82" s="125">
        <f t="shared" si="0"/>
        <v>2</v>
      </c>
      <c r="G82" s="237">
        <v>2</v>
      </c>
      <c r="H82" s="237"/>
      <c r="I82" s="246"/>
    </row>
    <row r="83" spans="1:9" ht="18.75">
      <c r="A83" s="569"/>
      <c r="B83" s="572"/>
      <c r="C83" s="123">
        <v>3</v>
      </c>
      <c r="D83" s="123" t="s">
        <v>171</v>
      </c>
      <c r="E83" s="254" t="s">
        <v>964</v>
      </c>
      <c r="F83" s="125">
        <f t="shared" si="0"/>
        <v>4</v>
      </c>
      <c r="G83" s="237">
        <v>3</v>
      </c>
      <c r="H83" s="237">
        <v>1</v>
      </c>
      <c r="I83" s="246"/>
    </row>
    <row r="84" spans="1:9" ht="18.75">
      <c r="A84" s="569"/>
      <c r="B84" s="572"/>
      <c r="C84" s="123">
        <v>4</v>
      </c>
      <c r="D84" s="123" t="s">
        <v>172</v>
      </c>
      <c r="E84" s="235" t="s">
        <v>965</v>
      </c>
      <c r="F84" s="125">
        <f t="shared" si="0"/>
        <v>4</v>
      </c>
      <c r="G84" s="253">
        <v>3</v>
      </c>
      <c r="H84" s="253">
        <v>1</v>
      </c>
      <c r="I84" s="246"/>
    </row>
    <row r="85" spans="1:9" ht="18.75">
      <c r="A85" s="569"/>
      <c r="B85" s="572"/>
      <c r="C85" s="123">
        <v>5</v>
      </c>
      <c r="D85" s="123" t="s">
        <v>173</v>
      </c>
      <c r="E85" s="235" t="s">
        <v>966</v>
      </c>
      <c r="F85" s="125">
        <f t="shared" si="0"/>
        <v>3</v>
      </c>
      <c r="G85" s="237">
        <v>3</v>
      </c>
      <c r="H85" s="237"/>
      <c r="I85" s="246"/>
    </row>
    <row r="86" spans="1:9" ht="18.75">
      <c r="A86" s="569"/>
      <c r="B86" s="572"/>
      <c r="C86" s="123">
        <v>6</v>
      </c>
      <c r="D86" s="123" t="s">
        <v>174</v>
      </c>
      <c r="E86" s="235" t="s">
        <v>968</v>
      </c>
      <c r="F86" s="125">
        <f t="shared" si="0"/>
        <v>3</v>
      </c>
      <c r="G86" s="237">
        <v>2</v>
      </c>
      <c r="H86" s="237">
        <v>1</v>
      </c>
      <c r="I86" s="246"/>
    </row>
    <row r="87" spans="1:9" ht="18.75">
      <c r="A87" s="569"/>
      <c r="B87" s="572"/>
      <c r="C87" s="123">
        <v>7</v>
      </c>
      <c r="D87" s="123" t="s">
        <v>175</v>
      </c>
      <c r="E87" s="124"/>
      <c r="F87" s="125">
        <f t="shared" si="0"/>
        <v>0</v>
      </c>
      <c r="G87" s="125"/>
      <c r="H87" s="126"/>
      <c r="I87" s="246"/>
    </row>
    <row r="88" spans="1:9" ht="18.75">
      <c r="A88" s="569"/>
      <c r="B88" s="572"/>
      <c r="C88" s="123">
        <v>8</v>
      </c>
      <c r="D88" s="123" t="s">
        <v>176</v>
      </c>
      <c r="E88" s="124"/>
      <c r="F88" s="125">
        <f>G88+H88</f>
        <v>0</v>
      </c>
      <c r="G88" s="125"/>
      <c r="H88" s="126"/>
      <c r="I88" s="246"/>
    </row>
    <row r="89" spans="1:9" ht="18.75">
      <c r="A89" s="569"/>
      <c r="B89" s="572"/>
      <c r="C89" s="123">
        <v>9</v>
      </c>
      <c r="D89" s="123" t="s">
        <v>932</v>
      </c>
      <c r="E89" s="124"/>
      <c r="F89" s="125">
        <f>G89+H89</f>
        <v>0</v>
      </c>
      <c r="G89" s="125"/>
      <c r="H89" s="126"/>
      <c r="I89" s="246"/>
    </row>
    <row r="90" spans="1:9" ht="18.75">
      <c r="A90" s="569"/>
      <c r="B90" s="572"/>
      <c r="C90" s="123">
        <v>10</v>
      </c>
      <c r="D90" s="123" t="s">
        <v>1311</v>
      </c>
      <c r="E90" s="124"/>
      <c r="F90" s="125">
        <f>G90+H90</f>
        <v>0</v>
      </c>
      <c r="G90" s="125"/>
      <c r="H90" s="126"/>
      <c r="I90" s="246"/>
    </row>
    <row r="91" spans="1:9" ht="19.5" thickBot="1">
      <c r="A91" s="570"/>
      <c r="B91" s="573"/>
      <c r="C91" s="247">
        <v>11</v>
      </c>
      <c r="D91" s="247" t="s">
        <v>929</v>
      </c>
      <c r="E91" s="251"/>
      <c r="F91" s="248">
        <f>G91+H91</f>
        <v>0</v>
      </c>
      <c r="G91" s="248"/>
      <c r="H91" s="252"/>
      <c r="I91" s="249"/>
    </row>
    <row r="92" spans="1:9" s="134" customFormat="1" ht="19.5">
      <c r="A92" s="128"/>
      <c r="B92" s="129"/>
      <c r="C92" s="129"/>
      <c r="D92" s="129"/>
      <c r="E92" s="130"/>
      <c r="F92" s="130"/>
      <c r="G92" s="131"/>
      <c r="H92" s="132"/>
      <c r="I92" s="133"/>
    </row>
    <row r="93" spans="1:9" ht="17.25">
      <c r="A93" s="135"/>
      <c r="B93" s="136" t="s">
        <v>163</v>
      </c>
      <c r="C93" s="136"/>
      <c r="D93" s="136"/>
      <c r="E93" s="574" t="s">
        <v>164</v>
      </c>
      <c r="F93" s="574"/>
      <c r="G93" s="574"/>
      <c r="H93" s="574"/>
      <c r="I93" s="574"/>
    </row>
    <row r="94" spans="1:9" ht="17.25">
      <c r="A94" s="135"/>
      <c r="B94" s="137" t="s">
        <v>165</v>
      </c>
      <c r="C94" s="137"/>
      <c r="D94" s="137"/>
      <c r="E94" s="575"/>
      <c r="F94" s="575"/>
      <c r="G94" s="575"/>
      <c r="H94" s="575"/>
      <c r="I94" s="575"/>
    </row>
    <row r="95" spans="1:9" ht="17.25">
      <c r="A95" s="135"/>
      <c r="B95" s="137" t="s">
        <v>166</v>
      </c>
      <c r="C95" s="137"/>
      <c r="D95" s="137"/>
      <c r="E95" s="137"/>
      <c r="F95" s="137"/>
      <c r="G95" s="138"/>
      <c r="H95" s="138"/>
      <c r="I95" s="139"/>
    </row>
    <row r="96" spans="1:9" ht="17.25">
      <c r="A96" s="135"/>
      <c r="B96" s="137" t="s">
        <v>167</v>
      </c>
      <c r="C96" s="137"/>
      <c r="D96" s="137"/>
      <c r="E96" s="137"/>
      <c r="F96" s="137"/>
      <c r="G96" s="138"/>
      <c r="H96" s="138"/>
      <c r="I96" s="139"/>
    </row>
  </sheetData>
  <mergeCells count="19">
    <mergeCell ref="E93:I93"/>
    <mergeCell ref="E94:I94"/>
    <mergeCell ref="B4:B14"/>
    <mergeCell ref="A4:A14"/>
    <mergeCell ref="B15:B25"/>
    <mergeCell ref="A15:A25"/>
    <mergeCell ref="A59:A69"/>
    <mergeCell ref="B59:B69"/>
    <mergeCell ref="A70:A80"/>
    <mergeCell ref="B70:B80"/>
    <mergeCell ref="B81:B91"/>
    <mergeCell ref="A81:A91"/>
    <mergeCell ref="B48:B58"/>
    <mergeCell ref="A48:A58"/>
    <mergeCell ref="A1:I1"/>
    <mergeCell ref="A37:A47"/>
    <mergeCell ref="B37:B47"/>
    <mergeCell ref="A26:A36"/>
    <mergeCell ref="B26:B36"/>
  </mergeCells>
  <phoneticPr fontId="9" type="noConversion"/>
  <pageMargins left="0.75" right="0.75" top="1" bottom="1" header="0.5" footer="0.5"/>
  <headerFooter alignWithMargins="0"/>
  <drawing r:id="rId1"/>
</worksheet>
</file>

<file path=xl/worksheets/sheet3.xml><?xml version="1.0" encoding="utf-8"?>
<worksheet xmlns="http://schemas.openxmlformats.org/spreadsheetml/2006/main" xmlns:r="http://schemas.openxmlformats.org/officeDocument/2006/relationships">
  <sheetPr codeName="Sheet5"/>
  <dimension ref="A1:N55"/>
  <sheetViews>
    <sheetView topLeftCell="C1" zoomScale="85" workbookViewId="0">
      <pane ySplit="1" topLeftCell="A32" activePane="bottomLeft" state="frozen"/>
      <selection activeCell="B1" sqref="B1"/>
      <selection pane="bottomLeft" activeCell="N2" sqref="N2"/>
    </sheetView>
  </sheetViews>
  <sheetFormatPr defaultRowHeight="12.75"/>
  <cols>
    <col min="1" max="1" width="4.28515625" style="19" bestFit="1" customWidth="1"/>
    <col min="2" max="2" width="5.7109375" style="19" bestFit="1" customWidth="1"/>
    <col min="3" max="3" width="13.7109375" style="44" bestFit="1" customWidth="1"/>
    <col min="4" max="13" width="13.7109375" style="17" customWidth="1"/>
    <col min="14" max="16384" width="9.140625" style="17"/>
  </cols>
  <sheetData>
    <row r="1" spans="1:14" s="116" customFormat="1" ht="13.5" thickBot="1">
      <c r="A1" s="115" t="s">
        <v>1514</v>
      </c>
      <c r="B1" s="115" t="s">
        <v>1533</v>
      </c>
      <c r="C1" s="22" t="s">
        <v>1537</v>
      </c>
      <c r="D1" s="23" t="s">
        <v>169</v>
      </c>
      <c r="E1" s="23" t="s">
        <v>170</v>
      </c>
      <c r="F1" s="23" t="s">
        <v>171</v>
      </c>
      <c r="G1" s="23" t="s">
        <v>172</v>
      </c>
      <c r="H1" s="23" t="s">
        <v>173</v>
      </c>
      <c r="I1" s="23" t="s">
        <v>174</v>
      </c>
      <c r="J1" s="23" t="s">
        <v>175</v>
      </c>
      <c r="K1" s="23" t="s">
        <v>176</v>
      </c>
      <c r="L1" s="23" t="s">
        <v>932</v>
      </c>
      <c r="M1" s="117" t="s">
        <v>1311</v>
      </c>
      <c r="N1" s="117" t="s">
        <v>929</v>
      </c>
    </row>
    <row r="2" spans="1:14" ht="38.25">
      <c r="A2" s="578">
        <v>1</v>
      </c>
      <c r="B2" s="568">
        <v>1</v>
      </c>
      <c r="C2" s="26" t="s">
        <v>1543</v>
      </c>
      <c r="D2" s="27" t="str">
        <f>VLOOKUP(D$1,'TEN HOC PHAN HKI'!$D$4:$F$14,2,0)</f>
        <v>Anh văn 2</v>
      </c>
      <c r="E2" s="27" t="str">
        <f>VLOOKUP(E$1,'TEN HOC PHAN HKI'!$D$4:$F$14,2,0)</f>
        <v>Những NLCB của CNMLN 2</v>
      </c>
      <c r="F2" s="27" t="str">
        <f>VLOOKUP(F$1,'TEN HOC PHAN HKI'!$D$4:$F$14,2,0)</f>
        <v xml:space="preserve">Khí cụ điện và máy điện </v>
      </c>
      <c r="G2" s="27" t="str">
        <f>VLOOKUP(G$1,'TEN HOC PHAN HKI'!$D$4:$F$14,2,0)</f>
        <v xml:space="preserve">Kỹ thuật số </v>
      </c>
      <c r="H2" s="27" t="str">
        <f>VLOOKUP(H$1,'TEN HOC PHAN HKI'!$D$4:$F$14,2,0)</f>
        <v xml:space="preserve">Điện tử công suất </v>
      </c>
      <c r="I2" s="27" t="str">
        <f>VLOOKUP(I$1,'TEN HOC PHAN HKI'!$D$4:$F$14,2,0)</f>
        <v xml:space="preserve">Kỹ thuật truyền số liệu </v>
      </c>
      <c r="J2" s="27">
        <f>VLOOKUP(J$1,'TEN HOC PHAN HKI'!$D$4:$F$14,2,0)</f>
        <v>0</v>
      </c>
      <c r="K2" s="28">
        <f>VLOOKUP(K$1,'TEN HOC PHAN HKI'!$D$4:$F$14,2,0)</f>
        <v>0</v>
      </c>
      <c r="L2" s="28">
        <f>VLOOKUP(L$1,'TEN HOC PHAN HKI'!$D$4:$F$14,2,0)</f>
        <v>0</v>
      </c>
      <c r="M2" s="28" t="str">
        <f>VLOOKUP(M$1,'TEN HOC PHAN HKI'!$D$4:$F$14,2,0)</f>
        <v xml:space="preserve">Thực tập Điện cơ bản </v>
      </c>
      <c r="N2" s="28" t="str">
        <f>VLOOKUP(N$1,'TEN HOC PHAN HKI'!$D$4:$F$14,2,0)</f>
        <v xml:space="preserve">Thực tập Điện tử cơ bản </v>
      </c>
    </row>
    <row r="3" spans="1:14">
      <c r="A3" s="578"/>
      <c r="B3" s="569"/>
      <c r="C3" s="20" t="s">
        <v>178</v>
      </c>
      <c r="D3" s="18">
        <f>VLOOKUP(D$1,'TEN HOC PHAN HKI'!$D$4:$F$14,3,0)</f>
        <v>3</v>
      </c>
      <c r="E3" s="18">
        <f>VLOOKUP(E$1,'TEN HOC PHAN HKI'!$D$4:$F$14,3,0)</f>
        <v>3</v>
      </c>
      <c r="F3" s="18">
        <f>VLOOKUP(F$1,'TEN HOC PHAN HKI'!$D$4:$F$14,3,0)</f>
        <v>2</v>
      </c>
      <c r="G3" s="18">
        <f>VLOOKUP(G$1,'TEN HOC PHAN HKI'!$D$4:$F$14,3,0)</f>
        <v>2</v>
      </c>
      <c r="H3" s="18">
        <f>VLOOKUP(H$1,'TEN HOC PHAN HKI'!$D$4:$F$14,3,0)</f>
        <v>2</v>
      </c>
      <c r="I3" s="18">
        <f>VLOOKUP(I$1,'TEN HOC PHAN HKI'!$D$4:$F$14,3,0)</f>
        <v>5</v>
      </c>
      <c r="J3" s="18">
        <f>VLOOKUP(J$1,'TEN HOC PHAN HKI'!$D$4:$F$14,3,0)</f>
        <v>0</v>
      </c>
      <c r="K3" s="29">
        <f>VLOOKUP(K$1,'TEN HOC PHAN HKI'!$D$4:$F$14,3,0)</f>
        <v>0</v>
      </c>
      <c r="L3" s="29">
        <f>VLOOKUP(L$1,'TEN HOC PHAN HKI'!$D$4:$F$14,3,0)</f>
        <v>0</v>
      </c>
      <c r="M3" s="29">
        <f>VLOOKUP(M$1,'TEN HOC PHAN HKI'!$D$4:$F$14,3,0)</f>
        <v>2</v>
      </c>
      <c r="N3" s="29">
        <f>VLOOKUP(N$1,'TEN HOC PHAN HKI'!$D$4:$F$14,3,0)</f>
        <v>2</v>
      </c>
    </row>
    <row r="4" spans="1:14" ht="38.25">
      <c r="A4" s="578">
        <v>2</v>
      </c>
      <c r="B4" s="569">
        <v>2</v>
      </c>
      <c r="C4" s="20" t="s">
        <v>1714</v>
      </c>
      <c r="D4" s="18" t="str">
        <f>VLOOKUP(D$1,'TEN HOC PHAN HKI'!$D$4:$F$14,2,0)</f>
        <v>Anh văn 2</v>
      </c>
      <c r="E4" s="18" t="str">
        <f>VLOOKUP(E$1,'TEN HOC PHAN HKI'!$D$4:$F$14,2,0)</f>
        <v>Những NLCB của CNMLN 2</v>
      </c>
      <c r="F4" s="18" t="str">
        <f>VLOOKUP(F$1,'TEN HOC PHAN HKI'!$D$4:$F$14,2,0)</f>
        <v xml:space="preserve">Khí cụ điện và máy điện </v>
      </c>
      <c r="G4" s="18" t="str">
        <f>VLOOKUP(G$1,'TEN HOC PHAN HKI'!$D$4:$F$14,2,0)</f>
        <v xml:space="preserve">Kỹ thuật số </v>
      </c>
      <c r="H4" s="18" t="str">
        <f>VLOOKUP(H$1,'TEN HOC PHAN HKI'!$D$4:$F$14,2,0)</f>
        <v xml:space="preserve">Điện tử công suất </v>
      </c>
      <c r="I4" s="18" t="str">
        <f>VLOOKUP(I$1,'TEN HOC PHAN HKI'!$D$4:$F$14,2,0)</f>
        <v xml:space="preserve">Kỹ thuật truyền số liệu </v>
      </c>
      <c r="J4" s="18">
        <f>VLOOKUP(J$1,'TEN HOC PHAN HKI'!$D$4:$F$14,2,0)</f>
        <v>0</v>
      </c>
      <c r="K4" s="29">
        <f>VLOOKUP(K$1,'TEN HOC PHAN HKI'!$D$4:$F$14,2,0)</f>
        <v>0</v>
      </c>
      <c r="L4" s="29">
        <f>VLOOKUP(L$1,'TEN HOC PHAN HKI'!$D$4:$F$14,2,0)</f>
        <v>0</v>
      </c>
      <c r="M4" s="29" t="str">
        <f>VLOOKUP(M$1,'TEN HOC PHAN HKI'!$D$4:$F$14,2,0)</f>
        <v xml:space="preserve">Thực tập Điện cơ bản </v>
      </c>
      <c r="N4" s="29" t="str">
        <f>VLOOKUP(N$1,'TEN HOC PHAN HKI'!$D$4:$F$14,2,0)</f>
        <v xml:space="preserve">Thực tập Điện tử cơ bản </v>
      </c>
    </row>
    <row r="5" spans="1:14">
      <c r="A5" s="578"/>
      <c r="B5" s="569"/>
      <c r="C5" s="20" t="s">
        <v>179</v>
      </c>
      <c r="D5" s="18">
        <f>VLOOKUP(D$1,'TEN HOC PHAN HKI'!$D$4:$F$14,3,0)</f>
        <v>3</v>
      </c>
      <c r="E5" s="18">
        <f>VLOOKUP(E$1,'TEN HOC PHAN HKI'!$D$4:$F$14,3,0)</f>
        <v>3</v>
      </c>
      <c r="F5" s="18">
        <f>VLOOKUP(F$1,'TEN HOC PHAN HKI'!$D$4:$F$14,3,0)</f>
        <v>2</v>
      </c>
      <c r="G5" s="18">
        <f>VLOOKUP(G$1,'TEN HOC PHAN HKI'!$D$4:$F$14,3,0)</f>
        <v>2</v>
      </c>
      <c r="H5" s="18">
        <f>VLOOKUP(H$1,'TEN HOC PHAN HKI'!$D$4:$F$14,3,0)</f>
        <v>2</v>
      </c>
      <c r="I5" s="18">
        <f>VLOOKUP(I$1,'TEN HOC PHAN HKI'!$D$4:$F$14,3,0)</f>
        <v>5</v>
      </c>
      <c r="J5" s="18">
        <f>VLOOKUP(J$1,'TEN HOC PHAN HKI'!$D$4:$F$14,3,0)</f>
        <v>0</v>
      </c>
      <c r="K5" s="29">
        <f>VLOOKUP(K$1,'TEN HOC PHAN HKI'!$D$4:$F$14,3,0)</f>
        <v>0</v>
      </c>
      <c r="L5" s="29">
        <f>VLOOKUP(L$1,'TEN HOC PHAN HKI'!$D$4:$F$14,3,0)</f>
        <v>0</v>
      </c>
      <c r="M5" s="29">
        <f>VLOOKUP(M$1,'TEN HOC PHAN HKI'!$D$4:$F$14,3,0)</f>
        <v>2</v>
      </c>
      <c r="N5" s="29">
        <f>VLOOKUP(N$1,'TEN HOC PHAN HKI'!$D$4:$F$14,3,0)</f>
        <v>2</v>
      </c>
    </row>
    <row r="6" spans="1:14" ht="38.25">
      <c r="A6" s="578">
        <v>3</v>
      </c>
      <c r="B6" s="569">
        <v>3</v>
      </c>
      <c r="C6" s="20" t="s">
        <v>1827</v>
      </c>
      <c r="D6" s="18" t="str">
        <f>VLOOKUP(D$1,'TEN HOC PHAN HKI'!$D$4:$F$14,2,0)</f>
        <v>Anh văn 2</v>
      </c>
      <c r="E6" s="18" t="str">
        <f>VLOOKUP(E$1,'TEN HOC PHAN HKI'!$D$4:$F$14,2,0)</f>
        <v>Những NLCB của CNMLN 2</v>
      </c>
      <c r="F6" s="18" t="str">
        <f>VLOOKUP(F$1,'TEN HOC PHAN HKI'!$D$4:$F$14,2,0)</f>
        <v xml:space="preserve">Khí cụ điện và máy điện </v>
      </c>
      <c r="G6" s="18" t="str">
        <f>VLOOKUP(G$1,'TEN HOC PHAN HKI'!$D$4:$F$14,2,0)</f>
        <v xml:space="preserve">Kỹ thuật số </v>
      </c>
      <c r="H6" s="18" t="str">
        <f>VLOOKUP(H$1,'TEN HOC PHAN HKI'!$D$4:$F$14,2,0)</f>
        <v xml:space="preserve">Điện tử công suất </v>
      </c>
      <c r="I6" s="18" t="str">
        <f>VLOOKUP(I$1,'TEN HOC PHAN HKI'!$D$4:$F$14,2,0)</f>
        <v xml:space="preserve">Kỹ thuật truyền số liệu </v>
      </c>
      <c r="J6" s="18">
        <f>VLOOKUP(J$1,'TEN HOC PHAN HKI'!$D$4:$F$14,2,0)</f>
        <v>0</v>
      </c>
      <c r="K6" s="29">
        <f>VLOOKUP(K$1,'TEN HOC PHAN HKI'!$D$4:$F$14,2,0)</f>
        <v>0</v>
      </c>
      <c r="L6" s="29">
        <f>VLOOKUP(L$1,'TEN HOC PHAN HKI'!$D$4:$F$14,2,0)</f>
        <v>0</v>
      </c>
      <c r="M6" s="29" t="str">
        <f>VLOOKUP(M$1,'TEN HOC PHAN HKI'!$D$4:$F$14,2,0)</f>
        <v xml:space="preserve">Thực tập Điện cơ bản </v>
      </c>
      <c r="N6" s="29" t="str">
        <f>VLOOKUP(N$1,'TEN HOC PHAN HKI'!$D$4:$F$14,2,0)</f>
        <v xml:space="preserve">Thực tập Điện tử cơ bản </v>
      </c>
    </row>
    <row r="7" spans="1:14">
      <c r="A7" s="578"/>
      <c r="B7" s="569"/>
      <c r="C7" s="20" t="s">
        <v>180</v>
      </c>
      <c r="D7" s="18">
        <f>VLOOKUP(D$1,'TEN HOC PHAN HKI'!$D$4:$F$14,3,0)</f>
        <v>3</v>
      </c>
      <c r="E7" s="18">
        <f>VLOOKUP(E$1,'TEN HOC PHAN HKI'!$D$4:$F$14,3,0)</f>
        <v>3</v>
      </c>
      <c r="F7" s="18">
        <f>VLOOKUP(F$1,'TEN HOC PHAN HKI'!$D$4:$F$14,3,0)</f>
        <v>2</v>
      </c>
      <c r="G7" s="18">
        <f>VLOOKUP(G$1,'TEN HOC PHAN HKI'!$D$4:$F$14,3,0)</f>
        <v>2</v>
      </c>
      <c r="H7" s="18">
        <f>VLOOKUP(H$1,'TEN HOC PHAN HKI'!$D$4:$F$14,3,0)</f>
        <v>2</v>
      </c>
      <c r="I7" s="18">
        <f>VLOOKUP(I$1,'TEN HOC PHAN HKI'!$D$4:$F$14,3,0)</f>
        <v>5</v>
      </c>
      <c r="J7" s="18">
        <f>VLOOKUP(J$1,'TEN HOC PHAN HKI'!$D$4:$F$14,3,0)</f>
        <v>0</v>
      </c>
      <c r="K7" s="29">
        <f>VLOOKUP(K$1,'TEN HOC PHAN HKI'!$D$4:$F$14,3,0)</f>
        <v>0</v>
      </c>
      <c r="L7" s="29">
        <f>VLOOKUP(L$1,'TEN HOC PHAN HKI'!$D$4:$F$14,3,0)</f>
        <v>0</v>
      </c>
      <c r="M7" s="29">
        <f>VLOOKUP(M$1,'TEN HOC PHAN HKI'!$D$4:$F$14,3,0)</f>
        <v>2</v>
      </c>
      <c r="N7" s="29">
        <f>VLOOKUP(N$1,'TEN HOC PHAN HKI'!$D$4:$F$14,3,0)</f>
        <v>2</v>
      </c>
    </row>
    <row r="8" spans="1:14" ht="38.25">
      <c r="A8" s="578">
        <v>4</v>
      </c>
      <c r="B8" s="569">
        <v>4</v>
      </c>
      <c r="C8" s="20" t="s">
        <v>1928</v>
      </c>
      <c r="D8" s="18" t="str">
        <f>VLOOKUP(D$1,'TEN HOC PHAN HKI'!$D$4:$F$14,2,0)</f>
        <v>Anh văn 2</v>
      </c>
      <c r="E8" s="18" t="str">
        <f>VLOOKUP(E$1,'TEN HOC PHAN HKI'!$D$4:$F$14,2,0)</f>
        <v>Những NLCB của CNMLN 2</v>
      </c>
      <c r="F8" s="18" t="str">
        <f>VLOOKUP(F$1,'TEN HOC PHAN HKI'!$D$4:$F$14,2,0)</f>
        <v xml:space="preserve">Khí cụ điện và máy điện </v>
      </c>
      <c r="G8" s="18" t="str">
        <f>VLOOKUP(G$1,'TEN HOC PHAN HKI'!$D$4:$F$14,2,0)</f>
        <v xml:space="preserve">Kỹ thuật số </v>
      </c>
      <c r="H8" s="18" t="str">
        <f>VLOOKUP(H$1,'TEN HOC PHAN HKI'!$D$4:$F$14,2,0)</f>
        <v xml:space="preserve">Điện tử công suất </v>
      </c>
      <c r="I8" s="18" t="str">
        <f>VLOOKUP(I$1,'TEN HOC PHAN HKI'!$D$4:$F$14,2,0)</f>
        <v xml:space="preserve">Kỹ thuật truyền số liệu </v>
      </c>
      <c r="J8" s="18">
        <f>VLOOKUP(J$1,'TEN HOC PHAN HKI'!$D$4:$F$14,2,0)</f>
        <v>0</v>
      </c>
      <c r="K8" s="29">
        <f>VLOOKUP(K$1,'TEN HOC PHAN HKI'!$D$4:$F$14,2,0)</f>
        <v>0</v>
      </c>
      <c r="L8" s="29">
        <f>VLOOKUP(L$1,'TEN HOC PHAN HKI'!$D$4:$F$14,2,0)</f>
        <v>0</v>
      </c>
      <c r="M8" s="29" t="str">
        <f>VLOOKUP(M$1,'TEN HOC PHAN HKI'!$D$4:$F$14,2,0)</f>
        <v xml:space="preserve">Thực tập Điện cơ bản </v>
      </c>
      <c r="N8" s="29" t="str">
        <f>VLOOKUP(N$1,'TEN HOC PHAN HKI'!$D$4:$F$14,2,0)</f>
        <v xml:space="preserve">Thực tập Điện tử cơ bản </v>
      </c>
    </row>
    <row r="9" spans="1:14" ht="13.5" thickBot="1">
      <c r="A9" s="578"/>
      <c r="B9" s="570"/>
      <c r="C9" s="30" t="s">
        <v>181</v>
      </c>
      <c r="D9" s="31">
        <f>VLOOKUP(D$1,'TEN HOC PHAN HKI'!$D$4:$F$14,3,0)</f>
        <v>3</v>
      </c>
      <c r="E9" s="31">
        <f>VLOOKUP(E$1,'TEN HOC PHAN HKI'!$D$4:$F$14,3,0)</f>
        <v>3</v>
      </c>
      <c r="F9" s="31">
        <f>VLOOKUP(F$1,'TEN HOC PHAN HKI'!$D$4:$F$14,3,0)</f>
        <v>2</v>
      </c>
      <c r="G9" s="31">
        <f>VLOOKUP(G$1,'TEN HOC PHAN HKI'!$D$4:$F$14,3,0)</f>
        <v>2</v>
      </c>
      <c r="H9" s="31">
        <f>VLOOKUP(H$1,'TEN HOC PHAN HKI'!$D$4:$F$14,3,0)</f>
        <v>2</v>
      </c>
      <c r="I9" s="31">
        <f>VLOOKUP(I$1,'TEN HOC PHAN HKI'!$D$4:$F$14,3,0)</f>
        <v>5</v>
      </c>
      <c r="J9" s="31">
        <f>VLOOKUP(J$1,'TEN HOC PHAN HKI'!$D$4:$F$14,3,0)</f>
        <v>0</v>
      </c>
      <c r="K9" s="32">
        <f>VLOOKUP(K$1,'TEN HOC PHAN HKI'!$D$4:$F$14,3,0)</f>
        <v>0</v>
      </c>
      <c r="L9" s="32">
        <f>VLOOKUP(L$1,'TEN HOC PHAN HKI'!$D$4:$F$14,3,0)</f>
        <v>0</v>
      </c>
      <c r="M9" s="32">
        <f>VLOOKUP(M$1,'TEN HOC PHAN HKI'!$D$4:$F$14,3,0)</f>
        <v>2</v>
      </c>
      <c r="N9" s="32">
        <f>VLOOKUP(N$1,'TEN HOC PHAN HKI'!$D$4:$F$14,3,0)</f>
        <v>2</v>
      </c>
    </row>
    <row r="10" spans="1:14" ht="51">
      <c r="A10" s="578">
        <v>5</v>
      </c>
      <c r="B10" s="576">
        <v>1</v>
      </c>
      <c r="C10" s="24" t="s">
        <v>2016</v>
      </c>
      <c r="D10" s="25" t="str">
        <f>VLOOKUP(D$1,'TEN HOC PHAN HKI'!$D$15:$F$25,2,0)</f>
        <v>Anh văn 2</v>
      </c>
      <c r="E10" s="25" t="str">
        <f>VLOOKUP(E$1,'TEN HOC PHAN HKI'!$D$15:$F$25,2,0)</f>
        <v>Những NLCB của CNMLN 2</v>
      </c>
      <c r="F10" s="25" t="str">
        <f>VLOOKUP(F$1,'TEN HOC PHAN HKI'!$D$15:$F$25,2,0)</f>
        <v xml:space="preserve">Khí cụ điện và máy điện </v>
      </c>
      <c r="G10" s="25" t="str">
        <f>VLOOKUP(G$1,'TEN HOC PHAN HKI'!$D$15:$F$25,2,0)</f>
        <v xml:space="preserve">Kỹ thuật số </v>
      </c>
      <c r="H10" s="25" t="str">
        <f>VLOOKUP(H$1,'TEN HOC PHAN HKI'!$D$15:$F$25,2,0)</f>
        <v xml:space="preserve">Điện tử công suất </v>
      </c>
      <c r="I10" s="25" t="str">
        <f>VLOOKUP(I$1,'TEN HOC PHAN HKI'!$D$15:$F$25,2,0)</f>
        <v xml:space="preserve">Kỹ thuật truyền số liệu </v>
      </c>
      <c r="J10" s="25">
        <f>VLOOKUP(J$1,'TEN HOC PHAN HKI'!$D$15:$F$25,2,0)</f>
        <v>0</v>
      </c>
      <c r="K10" s="37">
        <f>VLOOKUP(K$1,'TEN HOC PHAN HKI'!$D$15:$F$25,2,0)</f>
        <v>0</v>
      </c>
      <c r="L10" s="37">
        <f>VLOOKUP(L$1,'TEN HOC PHAN HKI'!$D$15:$F$25,2,0)</f>
        <v>0</v>
      </c>
      <c r="M10" s="37" t="str">
        <f>VLOOKUP(M$1,'TEN HOC PHAN HKI'!$D$15:$F$25,2,0)</f>
        <v xml:space="preserve">Thực tập Điện tử cơ bản </v>
      </c>
      <c r="N10" s="37" t="str">
        <f>VLOOKUP(N$1,'TEN HOC PHAN HKI'!$D$15:$F$25,2,0)</f>
        <v xml:space="preserve">Thực tập Đo lường và mạch điện </v>
      </c>
    </row>
    <row r="11" spans="1:14">
      <c r="A11" s="578"/>
      <c r="B11" s="569"/>
      <c r="C11" s="20" t="s">
        <v>182</v>
      </c>
      <c r="D11" s="18">
        <f>VLOOKUP(D$1,'TEN HOC PHAN HKI'!$D$15:$F$25,3,0)</f>
        <v>2</v>
      </c>
      <c r="E11" s="18">
        <f>VLOOKUP(E$1,'TEN HOC PHAN HKI'!$D$15:$F$25,3,0)</f>
        <v>3</v>
      </c>
      <c r="F11" s="18">
        <f>VLOOKUP(F$1,'TEN HOC PHAN HKI'!$D$15:$F$25,3,0)</f>
        <v>3</v>
      </c>
      <c r="G11" s="18">
        <f>VLOOKUP(G$1,'TEN HOC PHAN HKI'!$D$15:$F$25,3,0)</f>
        <v>2</v>
      </c>
      <c r="H11" s="18">
        <f>VLOOKUP(H$1,'TEN HOC PHAN HKI'!$D$15:$F$25,3,0)</f>
        <v>2</v>
      </c>
      <c r="I11" s="18">
        <f>VLOOKUP(I$1,'TEN HOC PHAN HKI'!$D$15:$F$25,3,0)</f>
        <v>2</v>
      </c>
      <c r="J11" s="18">
        <f>VLOOKUP(J$1,'TEN HOC PHAN HKI'!$D$15:$F$25,3,0)</f>
        <v>0</v>
      </c>
      <c r="K11" s="29">
        <f>VLOOKUP(K$1,'TEN HOC PHAN HKI'!$D$15:$F$25,3,0)</f>
        <v>0</v>
      </c>
      <c r="L11" s="29">
        <f>VLOOKUP(L$1,'TEN HOC PHAN HKI'!$D$15:$F$25,3,0)</f>
        <v>0</v>
      </c>
      <c r="M11" s="29">
        <f>VLOOKUP(M$1,'TEN HOC PHAN HKI'!$D$15:$F$25,3,0)</f>
        <v>2</v>
      </c>
      <c r="N11" s="29">
        <f>VLOOKUP(N$1,'TEN HOC PHAN HKI'!$D$15:$F$25,3,0)</f>
        <v>2</v>
      </c>
    </row>
    <row r="12" spans="1:14" ht="51">
      <c r="A12" s="578">
        <v>6</v>
      </c>
      <c r="B12" s="569">
        <v>2</v>
      </c>
      <c r="C12" s="20" t="s">
        <v>2134</v>
      </c>
      <c r="D12" s="18" t="str">
        <f>VLOOKUP(D$1,'TEN HOC PHAN HKI'!$D$15:$F$25,2,0)</f>
        <v>Anh văn 2</v>
      </c>
      <c r="E12" s="18" t="str">
        <f>VLOOKUP(E$1,'TEN HOC PHAN HKI'!$D$15:$F$25,2,0)</f>
        <v>Những NLCB của CNMLN 2</v>
      </c>
      <c r="F12" s="18" t="str">
        <f>VLOOKUP(F$1,'TEN HOC PHAN HKI'!$D$15:$F$25,2,0)</f>
        <v xml:space="preserve">Khí cụ điện và máy điện </v>
      </c>
      <c r="G12" s="18" t="str">
        <f>VLOOKUP(G$1,'TEN HOC PHAN HKI'!$D$15:$F$25,2,0)</f>
        <v xml:space="preserve">Kỹ thuật số </v>
      </c>
      <c r="H12" s="18" t="str">
        <f>VLOOKUP(H$1,'TEN HOC PHAN HKI'!$D$15:$F$25,2,0)</f>
        <v xml:space="preserve">Điện tử công suất </v>
      </c>
      <c r="I12" s="18" t="str">
        <f>VLOOKUP(I$1,'TEN HOC PHAN HKI'!$D$15:$F$25,2,0)</f>
        <v xml:space="preserve">Kỹ thuật truyền số liệu </v>
      </c>
      <c r="J12" s="18">
        <f>VLOOKUP(J$1,'TEN HOC PHAN HKI'!$D$15:$F$25,2,0)</f>
        <v>0</v>
      </c>
      <c r="K12" s="29">
        <f>VLOOKUP(K$1,'TEN HOC PHAN HKI'!$D$15:$F$25,2,0)</f>
        <v>0</v>
      </c>
      <c r="L12" s="29">
        <f>VLOOKUP(L$1,'TEN HOC PHAN HKI'!$D$15:$F$25,2,0)</f>
        <v>0</v>
      </c>
      <c r="M12" s="29" t="str">
        <f>VLOOKUP(M$1,'TEN HOC PHAN HKI'!$D$15:$F$25,2,0)</f>
        <v xml:space="preserve">Thực tập Điện tử cơ bản </v>
      </c>
      <c r="N12" s="29" t="str">
        <f>VLOOKUP(N$1,'TEN HOC PHAN HKI'!$D$15:$F$25,2,0)</f>
        <v xml:space="preserve">Thực tập Đo lường và mạch điện </v>
      </c>
    </row>
    <row r="13" spans="1:14">
      <c r="A13" s="578"/>
      <c r="B13" s="569"/>
      <c r="C13" s="20" t="s">
        <v>183</v>
      </c>
      <c r="D13" s="18">
        <f>VLOOKUP(D$1,'TEN HOC PHAN HKI'!$D$15:$F$25,3,0)</f>
        <v>2</v>
      </c>
      <c r="E13" s="18">
        <f>VLOOKUP(E$1,'TEN HOC PHAN HKI'!$D$15:$F$25,3,0)</f>
        <v>3</v>
      </c>
      <c r="F13" s="18">
        <f>VLOOKUP(F$1,'TEN HOC PHAN HKI'!$D$15:$F$25,3,0)</f>
        <v>3</v>
      </c>
      <c r="G13" s="18">
        <f>VLOOKUP(G$1,'TEN HOC PHAN HKI'!$D$15:$F$25,3,0)</f>
        <v>2</v>
      </c>
      <c r="H13" s="18">
        <f>VLOOKUP(H$1,'TEN HOC PHAN HKI'!$D$15:$F$25,3,0)</f>
        <v>2</v>
      </c>
      <c r="I13" s="18">
        <f>VLOOKUP(I$1,'TEN HOC PHAN HKI'!$D$15:$F$25,3,0)</f>
        <v>2</v>
      </c>
      <c r="J13" s="18">
        <f>VLOOKUP(J$1,'TEN HOC PHAN HKI'!$D$15:$F$25,3,0)</f>
        <v>0</v>
      </c>
      <c r="K13" s="29">
        <f>VLOOKUP(K$1,'TEN HOC PHAN HKI'!$D$15:$F$25,3,0)</f>
        <v>0</v>
      </c>
      <c r="L13" s="29">
        <f>VLOOKUP(L$1,'TEN HOC PHAN HKI'!$D$15:$F$25,3,0)</f>
        <v>0</v>
      </c>
      <c r="M13" s="29">
        <f>VLOOKUP(M$1,'TEN HOC PHAN HKI'!$D$15:$F$25,3,0)</f>
        <v>2</v>
      </c>
      <c r="N13" s="29">
        <f>VLOOKUP(N$1,'TEN HOC PHAN HKI'!$D$15:$F$25,3,0)</f>
        <v>2</v>
      </c>
    </row>
    <row r="14" spans="1:14" ht="51">
      <c r="A14" s="578">
        <v>7</v>
      </c>
      <c r="B14" s="569">
        <v>3</v>
      </c>
      <c r="C14" s="20" t="s">
        <v>2246</v>
      </c>
      <c r="D14" s="18" t="str">
        <f>VLOOKUP(D$1,'TEN HOC PHAN HKI'!$D$15:$F$25,2,0)</f>
        <v>Anh văn 2</v>
      </c>
      <c r="E14" s="18" t="str">
        <f>VLOOKUP(E$1,'TEN HOC PHAN HKI'!$D$15:$F$25,2,0)</f>
        <v>Những NLCB của CNMLN 2</v>
      </c>
      <c r="F14" s="18" t="str">
        <f>VLOOKUP(F$1,'TEN HOC PHAN HKI'!$D$15:$F$25,2,0)</f>
        <v xml:space="preserve">Khí cụ điện và máy điện </v>
      </c>
      <c r="G14" s="18" t="str">
        <f>VLOOKUP(G$1,'TEN HOC PHAN HKI'!$D$15:$F$25,2,0)</f>
        <v xml:space="preserve">Kỹ thuật số </v>
      </c>
      <c r="H14" s="18" t="str">
        <f>VLOOKUP(H$1,'TEN HOC PHAN HKI'!$D$15:$F$25,2,0)</f>
        <v xml:space="preserve">Điện tử công suất </v>
      </c>
      <c r="I14" s="18" t="str">
        <f>VLOOKUP(I$1,'TEN HOC PHAN HKI'!$D$15:$F$25,2,0)</f>
        <v xml:space="preserve">Kỹ thuật truyền số liệu </v>
      </c>
      <c r="J14" s="18">
        <f>VLOOKUP(J$1,'TEN HOC PHAN HKI'!$D$15:$F$25,2,0)</f>
        <v>0</v>
      </c>
      <c r="K14" s="29">
        <f>VLOOKUP(K$1,'TEN HOC PHAN HKI'!$D$15:$F$25,2,0)</f>
        <v>0</v>
      </c>
      <c r="L14" s="29">
        <f>VLOOKUP(L$1,'TEN HOC PHAN HKI'!$D$15:$F$25,2,0)</f>
        <v>0</v>
      </c>
      <c r="M14" s="29" t="str">
        <f>VLOOKUP(M$1,'TEN HOC PHAN HKI'!$D$15:$F$25,2,0)</f>
        <v xml:space="preserve">Thực tập Điện tử cơ bản </v>
      </c>
      <c r="N14" s="29" t="str">
        <f>VLOOKUP(N$1,'TEN HOC PHAN HKI'!$D$15:$F$25,2,0)</f>
        <v xml:space="preserve">Thực tập Đo lường và mạch điện </v>
      </c>
    </row>
    <row r="15" spans="1:14">
      <c r="A15" s="578"/>
      <c r="B15" s="569"/>
      <c r="C15" s="20" t="s">
        <v>184</v>
      </c>
      <c r="D15" s="18">
        <f>VLOOKUP(D$1,'TEN HOC PHAN HKI'!$D$15:$F$25,3,0)</f>
        <v>2</v>
      </c>
      <c r="E15" s="18">
        <f>VLOOKUP(E$1,'TEN HOC PHAN HKI'!$D$15:$F$25,3,0)</f>
        <v>3</v>
      </c>
      <c r="F15" s="18">
        <f>VLOOKUP(F$1,'TEN HOC PHAN HKI'!$D$15:$F$25,3,0)</f>
        <v>3</v>
      </c>
      <c r="G15" s="18">
        <f>VLOOKUP(G$1,'TEN HOC PHAN HKI'!$D$15:$F$25,3,0)</f>
        <v>2</v>
      </c>
      <c r="H15" s="18">
        <f>VLOOKUP(H$1,'TEN HOC PHAN HKI'!$D$15:$F$25,3,0)</f>
        <v>2</v>
      </c>
      <c r="I15" s="18">
        <f>VLOOKUP(I$1,'TEN HOC PHAN HKI'!$D$15:$F$25,3,0)</f>
        <v>2</v>
      </c>
      <c r="J15" s="18">
        <f>VLOOKUP(J$1,'TEN HOC PHAN HKI'!$D$15:$F$25,3,0)</f>
        <v>0</v>
      </c>
      <c r="K15" s="29">
        <f>VLOOKUP(K$1,'TEN HOC PHAN HKI'!$D$15:$F$25,3,0)</f>
        <v>0</v>
      </c>
      <c r="L15" s="29">
        <f>VLOOKUP(L$1,'TEN HOC PHAN HKI'!$D$15:$F$25,3,0)</f>
        <v>0</v>
      </c>
      <c r="M15" s="29">
        <f>VLOOKUP(M$1,'TEN HOC PHAN HKI'!$D$15:$F$25,3,0)</f>
        <v>2</v>
      </c>
      <c r="N15" s="29">
        <f>VLOOKUP(N$1,'TEN HOC PHAN HKI'!$D$15:$F$25,3,0)</f>
        <v>2</v>
      </c>
    </row>
    <row r="16" spans="1:14" ht="51">
      <c r="A16" s="578">
        <v>8</v>
      </c>
      <c r="B16" s="569">
        <v>4</v>
      </c>
      <c r="C16" s="20" t="s">
        <v>2351</v>
      </c>
      <c r="D16" s="18" t="str">
        <f>VLOOKUP(D$1,'TEN HOC PHAN HKI'!$D$15:$F$25,2,0)</f>
        <v>Anh văn 2</v>
      </c>
      <c r="E16" s="18" t="str">
        <f>VLOOKUP(E$1,'TEN HOC PHAN HKI'!$D$15:$F$25,2,0)</f>
        <v>Những NLCB của CNMLN 2</v>
      </c>
      <c r="F16" s="18" t="str">
        <f>VLOOKUP(F$1,'TEN HOC PHAN HKI'!$D$15:$F$25,2,0)</f>
        <v xml:space="preserve">Khí cụ điện và máy điện </v>
      </c>
      <c r="G16" s="18" t="str">
        <f>VLOOKUP(G$1,'TEN HOC PHAN HKI'!$D$15:$F$25,2,0)</f>
        <v xml:space="preserve">Kỹ thuật số </v>
      </c>
      <c r="H16" s="18" t="str">
        <f>VLOOKUP(H$1,'TEN HOC PHAN HKI'!$D$15:$F$25,2,0)</f>
        <v xml:space="preserve">Điện tử công suất </v>
      </c>
      <c r="I16" s="18" t="str">
        <f>VLOOKUP(I$1,'TEN HOC PHAN HKI'!$D$15:$F$25,2,0)</f>
        <v xml:space="preserve">Kỹ thuật truyền số liệu </v>
      </c>
      <c r="J16" s="18">
        <f>VLOOKUP(J$1,'TEN HOC PHAN HKI'!$D$15:$F$25,2,0)</f>
        <v>0</v>
      </c>
      <c r="K16" s="29">
        <f>VLOOKUP(K$1,'TEN HOC PHAN HKI'!$D$15:$F$25,2,0)</f>
        <v>0</v>
      </c>
      <c r="L16" s="29">
        <f>VLOOKUP(L$1,'TEN HOC PHAN HKI'!$D$15:$F$25,2,0)</f>
        <v>0</v>
      </c>
      <c r="M16" s="29" t="str">
        <f>VLOOKUP(M$1,'TEN HOC PHAN HKI'!$D$15:$F$25,2,0)</f>
        <v xml:space="preserve">Thực tập Điện tử cơ bản </v>
      </c>
      <c r="N16" s="29" t="str">
        <f>VLOOKUP(N$1,'TEN HOC PHAN HKI'!$D$15:$F$25,2,0)</f>
        <v xml:space="preserve">Thực tập Đo lường và mạch điện </v>
      </c>
    </row>
    <row r="17" spans="1:14" ht="13.5" thickBot="1">
      <c r="A17" s="578"/>
      <c r="B17" s="577"/>
      <c r="C17" s="22" t="s">
        <v>185</v>
      </c>
      <c r="D17" s="34">
        <f>VLOOKUP(D$1,'TEN HOC PHAN HKI'!$D$15:$F$25,3,0)</f>
        <v>2</v>
      </c>
      <c r="E17" s="34">
        <f>VLOOKUP(E$1,'TEN HOC PHAN HKI'!$D$15:$F$25,3,0)</f>
        <v>3</v>
      </c>
      <c r="F17" s="34">
        <f>VLOOKUP(F$1,'TEN HOC PHAN HKI'!$D$15:$F$25,3,0)</f>
        <v>3</v>
      </c>
      <c r="G17" s="34">
        <f>VLOOKUP(G$1,'TEN HOC PHAN HKI'!$D$15:$F$25,3,0)</f>
        <v>2</v>
      </c>
      <c r="H17" s="34">
        <f>VLOOKUP(H$1,'TEN HOC PHAN HKI'!$D$15:$F$25,3,0)</f>
        <v>2</v>
      </c>
      <c r="I17" s="34">
        <f>VLOOKUP(I$1,'TEN HOC PHAN HKI'!$D$15:$F$25,3,0)</f>
        <v>2</v>
      </c>
      <c r="J17" s="34">
        <f>VLOOKUP(J$1,'TEN HOC PHAN HKI'!$D$15:$F$25,3,0)</f>
        <v>0</v>
      </c>
      <c r="K17" s="35">
        <f>VLOOKUP(K$1,'TEN HOC PHAN HKI'!$D$15:$F$25,3,0)</f>
        <v>0</v>
      </c>
      <c r="L17" s="35">
        <f>VLOOKUP(L$1,'TEN HOC PHAN HKI'!$D$15:$F$25,3,0)</f>
        <v>0</v>
      </c>
      <c r="M17" s="35">
        <f>VLOOKUP(M$1,'TEN HOC PHAN HKI'!$D$15:$F$25,3,0)</f>
        <v>2</v>
      </c>
      <c r="N17" s="35">
        <f>VLOOKUP(N$1,'TEN HOC PHAN HKI'!$D$15:$F$25,3,0)</f>
        <v>2</v>
      </c>
    </row>
    <row r="18" spans="1:14" ht="25.5">
      <c r="A18" s="578">
        <v>9</v>
      </c>
      <c r="B18" s="568">
        <v>1</v>
      </c>
      <c r="C18" s="36" t="s">
        <v>2592</v>
      </c>
      <c r="D18" s="27" t="str">
        <f>VLOOKUP(D$1,'TEN HOC PHAN HKI'!$D$26:$F$36,2,0)</f>
        <v xml:space="preserve">Anh văn chuyên ngành </v>
      </c>
      <c r="E18" s="27" t="str">
        <f>VLOOKUP(E$1,'TEN HOC PHAN HKI'!$D$26:$F$36,2,0)</f>
        <v xml:space="preserve">Tư tưởng Hồ Chí Minh </v>
      </c>
      <c r="F18" s="27" t="str">
        <f>VLOOKUP(F$1,'TEN HOC PHAN HKI'!$D$26:$F$36,2,0)</f>
        <v xml:space="preserve">Cơ ứng dụng </v>
      </c>
      <c r="G18" s="27" t="str">
        <f>VLOOKUP(G$1,'TEN HOC PHAN HKI'!$D$26:$F$36,2,0)</f>
        <v xml:space="preserve">Vật liệu học </v>
      </c>
      <c r="H18" s="27" t="str">
        <f>VLOOKUP(H$1,'TEN HOC PHAN HKI'!$D$26:$F$36,2,0)</f>
        <v>Autocad (2D)</v>
      </c>
      <c r="I18" s="27">
        <f>VLOOKUP(I$1,'TEN HOC PHAN HKI'!$D$26:$F$36,2,0)</f>
        <v>0</v>
      </c>
      <c r="J18" s="27">
        <f>VLOOKUP(J$1,'TEN HOC PHAN HKI'!$D$26:$F$36,2,0)</f>
        <v>0</v>
      </c>
      <c r="K18" s="28">
        <f>VLOOKUP(K$1,'TEN HOC PHAN HKI'!$D$26:$F$36,2,0)</f>
        <v>0</v>
      </c>
      <c r="L18" s="28">
        <f>VLOOKUP(L$1,'TEN HOC PHAN HKI'!$D$26:$F$36,2,0)</f>
        <v>0</v>
      </c>
      <c r="M18" s="28" t="str">
        <f>VLOOKUP(M$1,'TEN HOC PHAN HKI'!$D$26:$F$36,2,0)</f>
        <v xml:space="preserve">Thực tập Nguội - Hàn cơ bản </v>
      </c>
      <c r="N18" s="28" t="str">
        <f>VLOOKUP(N$1,'TEN HOC PHAN HKI'!$D$26:$F$36,2,0)</f>
        <v>Thực tập Tiện 1</v>
      </c>
    </row>
    <row r="19" spans="1:14">
      <c r="A19" s="578"/>
      <c r="B19" s="569"/>
      <c r="C19" s="20" t="s">
        <v>186</v>
      </c>
      <c r="D19" s="18">
        <f>VLOOKUP(D$1,'TEN HOC PHAN HKI'!$D$26:$F$36,3,0)</f>
        <v>2</v>
      </c>
      <c r="E19" s="18">
        <f>VLOOKUP(E$1,'TEN HOC PHAN HKI'!$D$26:$F$36,3,0)</f>
        <v>2</v>
      </c>
      <c r="F19" s="18">
        <f>VLOOKUP(F$1,'TEN HOC PHAN HKI'!$D$26:$F$36,3,0)</f>
        <v>3</v>
      </c>
      <c r="G19" s="18">
        <f>VLOOKUP(G$1,'TEN HOC PHAN HKI'!$D$26:$F$36,3,0)</f>
        <v>2</v>
      </c>
      <c r="H19" s="18">
        <f>VLOOKUP(H$1,'TEN HOC PHAN HKI'!$D$26:$F$36,3,0)</f>
        <v>2</v>
      </c>
      <c r="I19" s="18">
        <f>VLOOKUP(I$1,'TEN HOC PHAN HKI'!$D$26:$F$36,3,0)</f>
        <v>0</v>
      </c>
      <c r="J19" s="18">
        <f>VLOOKUP(J$1,'TEN HOC PHAN HKI'!$D$26:$F$36,3,0)</f>
        <v>0</v>
      </c>
      <c r="K19" s="29">
        <f>VLOOKUP(K$1,'TEN HOC PHAN HKI'!$D$26:$F$36,3,0)</f>
        <v>0</v>
      </c>
      <c r="L19" s="29">
        <f>VLOOKUP(L$1,'TEN HOC PHAN HKI'!$D$26:$F$36,3,0)</f>
        <v>0</v>
      </c>
      <c r="M19" s="29">
        <f>VLOOKUP(M$1,'TEN HOC PHAN HKI'!$D$26:$F$36,3,0)</f>
        <v>3</v>
      </c>
      <c r="N19" s="29">
        <f>VLOOKUP(N$1,'TEN HOC PHAN HKI'!$D$26:$F$36,3,0)</f>
        <v>2</v>
      </c>
    </row>
    <row r="20" spans="1:14" ht="25.5">
      <c r="A20" s="578">
        <v>10</v>
      </c>
      <c r="B20" s="569">
        <v>2</v>
      </c>
      <c r="C20" s="21" t="s">
        <v>2675</v>
      </c>
      <c r="D20" s="18" t="str">
        <f>VLOOKUP(D$1,'TEN HOC PHAN HKI'!$D$26:$F$36,2,0)</f>
        <v xml:space="preserve">Anh văn chuyên ngành </v>
      </c>
      <c r="E20" s="18" t="str">
        <f>VLOOKUP(E$1,'TEN HOC PHAN HKI'!$D$26:$F$36,2,0)</f>
        <v xml:space="preserve">Tư tưởng Hồ Chí Minh </v>
      </c>
      <c r="F20" s="18" t="str">
        <f>VLOOKUP(F$1,'TEN HOC PHAN HKI'!$D$26:$F$36,2,0)</f>
        <v xml:space="preserve">Cơ ứng dụng </v>
      </c>
      <c r="G20" s="18" t="str">
        <f>VLOOKUP(G$1,'TEN HOC PHAN HKI'!$D$26:$F$36,2,0)</f>
        <v xml:space="preserve">Vật liệu học </v>
      </c>
      <c r="H20" s="18" t="str">
        <f>VLOOKUP(H$1,'TEN HOC PHAN HKI'!$D$26:$F$36,2,0)</f>
        <v>Autocad (2D)</v>
      </c>
      <c r="I20" s="18">
        <f>VLOOKUP(I$1,'TEN HOC PHAN HKI'!$D$26:$F$36,2,0)</f>
        <v>0</v>
      </c>
      <c r="J20" s="18">
        <f>VLOOKUP(J$1,'TEN HOC PHAN HKI'!$D$26:$F$36,2,0)</f>
        <v>0</v>
      </c>
      <c r="K20" s="29">
        <f>VLOOKUP(K$1,'TEN HOC PHAN HKI'!$D$26:$F$36,2,0)</f>
        <v>0</v>
      </c>
      <c r="L20" s="29">
        <f>VLOOKUP(L$1,'TEN HOC PHAN HKI'!$D$26:$F$36,2,0)</f>
        <v>0</v>
      </c>
      <c r="M20" s="29" t="str">
        <f>VLOOKUP(M$1,'TEN HOC PHAN HKI'!$D$26:$F$36,2,0)</f>
        <v xml:space="preserve">Thực tập Nguội - Hàn cơ bản </v>
      </c>
      <c r="N20" s="29" t="str">
        <f>VLOOKUP(N$1,'TEN HOC PHAN HKI'!$D$26:$F$36,2,0)</f>
        <v>Thực tập Tiện 1</v>
      </c>
    </row>
    <row r="21" spans="1:14">
      <c r="A21" s="578"/>
      <c r="B21" s="569"/>
      <c r="C21" s="20" t="s">
        <v>187</v>
      </c>
      <c r="D21" s="18">
        <f>VLOOKUP(D$1,'TEN HOC PHAN HKI'!$D$26:$F$36,3,0)</f>
        <v>2</v>
      </c>
      <c r="E21" s="18">
        <f>VLOOKUP(E$1,'TEN HOC PHAN HKI'!$D$26:$F$36,3,0)</f>
        <v>2</v>
      </c>
      <c r="F21" s="18">
        <f>VLOOKUP(F$1,'TEN HOC PHAN HKI'!$D$26:$F$36,3,0)</f>
        <v>3</v>
      </c>
      <c r="G21" s="18">
        <f>VLOOKUP(G$1,'TEN HOC PHAN HKI'!$D$26:$F$36,3,0)</f>
        <v>2</v>
      </c>
      <c r="H21" s="18">
        <f>VLOOKUP(H$1,'TEN HOC PHAN HKI'!$D$26:$F$36,3,0)</f>
        <v>2</v>
      </c>
      <c r="I21" s="18">
        <f>VLOOKUP(I$1,'TEN HOC PHAN HKI'!$D$26:$F$36,3,0)</f>
        <v>0</v>
      </c>
      <c r="J21" s="18">
        <f>VLOOKUP(J$1,'TEN HOC PHAN HKI'!$D$26:$F$36,3,0)</f>
        <v>0</v>
      </c>
      <c r="K21" s="29">
        <f>VLOOKUP(K$1,'TEN HOC PHAN HKI'!$D$26:$F$36,3,0)</f>
        <v>0</v>
      </c>
      <c r="L21" s="29">
        <f>VLOOKUP(L$1,'TEN HOC PHAN HKI'!$D$26:$F$36,3,0)</f>
        <v>0</v>
      </c>
      <c r="M21" s="29">
        <f>VLOOKUP(M$1,'TEN HOC PHAN HKI'!$D$26:$F$36,3,0)</f>
        <v>3</v>
      </c>
      <c r="N21" s="29">
        <f>VLOOKUP(N$1,'TEN HOC PHAN HKI'!$D$26:$F$36,3,0)</f>
        <v>2</v>
      </c>
    </row>
    <row r="22" spans="1:14" ht="25.5">
      <c r="A22" s="578">
        <v>11</v>
      </c>
      <c r="B22" s="569">
        <v>3</v>
      </c>
      <c r="C22" s="21" t="s">
        <v>58</v>
      </c>
      <c r="D22" s="18" t="str">
        <f>VLOOKUP(D$1,'TEN HOC PHAN HKI'!$D$26:$F$36,2,0)</f>
        <v xml:space="preserve">Anh văn chuyên ngành </v>
      </c>
      <c r="E22" s="18" t="str">
        <f>VLOOKUP(E$1,'TEN HOC PHAN HKI'!$D$26:$F$36,2,0)</f>
        <v xml:space="preserve">Tư tưởng Hồ Chí Minh </v>
      </c>
      <c r="F22" s="18" t="str">
        <f>VLOOKUP(F$1,'TEN HOC PHAN HKI'!$D$26:$F$36,2,0)</f>
        <v xml:space="preserve">Cơ ứng dụng </v>
      </c>
      <c r="G22" s="18" t="str">
        <f>VLOOKUP(G$1,'TEN HOC PHAN HKI'!$D$26:$F$36,2,0)</f>
        <v xml:space="preserve">Vật liệu học </v>
      </c>
      <c r="H22" s="18" t="str">
        <f>VLOOKUP(H$1,'TEN HOC PHAN HKI'!$D$26:$F$36,2,0)</f>
        <v>Autocad (2D)</v>
      </c>
      <c r="I22" s="18">
        <f>VLOOKUP(I$1,'TEN HOC PHAN HKI'!$D$26:$F$36,2,0)</f>
        <v>0</v>
      </c>
      <c r="J22" s="18">
        <f>VLOOKUP(J$1,'TEN HOC PHAN HKI'!$D$26:$F$36,2,0)</f>
        <v>0</v>
      </c>
      <c r="K22" s="29">
        <f>VLOOKUP(K$1,'TEN HOC PHAN HKI'!$D$26:$F$36,2,0)</f>
        <v>0</v>
      </c>
      <c r="L22" s="29">
        <f>VLOOKUP(L$1,'TEN HOC PHAN HKI'!$D$26:$F$36,2,0)</f>
        <v>0</v>
      </c>
      <c r="M22" s="29" t="str">
        <f>VLOOKUP(M$1,'TEN HOC PHAN HKI'!$D$26:$F$36,2,0)</f>
        <v xml:space="preserve">Thực tập Nguội - Hàn cơ bản </v>
      </c>
      <c r="N22" s="29" t="str">
        <f>VLOOKUP(N$1,'TEN HOC PHAN HKI'!$D$26:$F$36,2,0)</f>
        <v>Thực tập Tiện 1</v>
      </c>
    </row>
    <row r="23" spans="1:14">
      <c r="A23" s="578"/>
      <c r="B23" s="569"/>
      <c r="C23" s="20" t="s">
        <v>188</v>
      </c>
      <c r="D23" s="18">
        <f>VLOOKUP(D$1,'TEN HOC PHAN HKI'!$D$26:$F$36,3,0)</f>
        <v>2</v>
      </c>
      <c r="E23" s="18">
        <f>VLOOKUP(E$1,'TEN HOC PHAN HKI'!$D$26:$F$36,3,0)</f>
        <v>2</v>
      </c>
      <c r="F23" s="18">
        <f>VLOOKUP(F$1,'TEN HOC PHAN HKI'!$D$26:$F$36,3,0)</f>
        <v>3</v>
      </c>
      <c r="G23" s="18">
        <f>VLOOKUP(G$1,'TEN HOC PHAN HKI'!$D$26:$F$36,3,0)</f>
        <v>2</v>
      </c>
      <c r="H23" s="18">
        <f>VLOOKUP(H$1,'TEN HOC PHAN HKI'!$D$26:$F$36,3,0)</f>
        <v>2</v>
      </c>
      <c r="I23" s="18">
        <f>VLOOKUP(I$1,'TEN HOC PHAN HKI'!$D$26:$F$36,3,0)</f>
        <v>0</v>
      </c>
      <c r="J23" s="18">
        <f>VLOOKUP(J$1,'TEN HOC PHAN HKI'!$D$26:$F$36,3,0)</f>
        <v>0</v>
      </c>
      <c r="K23" s="29">
        <f>VLOOKUP(K$1,'TEN HOC PHAN HKI'!$D$26:$F$36,3,0)</f>
        <v>0</v>
      </c>
      <c r="L23" s="29">
        <f>VLOOKUP(L$1,'TEN HOC PHAN HKI'!$D$26:$F$36,3,0)</f>
        <v>0</v>
      </c>
      <c r="M23" s="29">
        <f>VLOOKUP(M$1,'TEN HOC PHAN HKI'!$D$26:$F$36,3,0)</f>
        <v>3</v>
      </c>
      <c r="N23" s="29">
        <f>VLOOKUP(N$1,'TEN HOC PHAN HKI'!$D$26:$F$36,3,0)</f>
        <v>2</v>
      </c>
    </row>
    <row r="24" spans="1:14" ht="25.5">
      <c r="A24" s="578">
        <v>12</v>
      </c>
      <c r="B24" s="569">
        <v>4</v>
      </c>
      <c r="C24" s="21" t="s">
        <v>207</v>
      </c>
      <c r="D24" s="18" t="str">
        <f>VLOOKUP(D$1,'TEN HOC PHAN HKI'!$D$26:$F$36,2,0)</f>
        <v xml:space="preserve">Anh văn chuyên ngành </v>
      </c>
      <c r="E24" s="18" t="str">
        <f>VLOOKUP(E$1,'TEN HOC PHAN HKI'!$D$26:$F$36,2,0)</f>
        <v xml:space="preserve">Tư tưởng Hồ Chí Minh </v>
      </c>
      <c r="F24" s="18" t="str">
        <f>VLOOKUP(F$1,'TEN HOC PHAN HKI'!$D$26:$F$36,2,0)</f>
        <v xml:space="preserve">Cơ ứng dụng </v>
      </c>
      <c r="G24" s="18" t="str">
        <f>VLOOKUP(G$1,'TEN HOC PHAN HKI'!$D$26:$F$36,2,0)</f>
        <v xml:space="preserve">Vật liệu học </v>
      </c>
      <c r="H24" s="18" t="str">
        <f>VLOOKUP(H$1,'TEN HOC PHAN HKI'!$D$26:$F$36,2,0)</f>
        <v>Autocad (2D)</v>
      </c>
      <c r="I24" s="18">
        <f>VLOOKUP(I$1,'TEN HOC PHAN HKI'!$D$26:$F$36,2,0)</f>
        <v>0</v>
      </c>
      <c r="J24" s="18">
        <f>VLOOKUP(J$1,'TEN HOC PHAN HKI'!$D$26:$F$36,2,0)</f>
        <v>0</v>
      </c>
      <c r="K24" s="29">
        <f>VLOOKUP(K$1,'TEN HOC PHAN HKI'!$D$26:$F$36,2,0)</f>
        <v>0</v>
      </c>
      <c r="L24" s="29">
        <f>VLOOKUP(L$1,'TEN HOC PHAN HKI'!$D$26:$F$36,2,0)</f>
        <v>0</v>
      </c>
      <c r="M24" s="29" t="str">
        <f>VLOOKUP(M$1,'TEN HOC PHAN HKI'!$D$26:$F$36,2,0)</f>
        <v xml:space="preserve">Thực tập Nguội - Hàn cơ bản </v>
      </c>
      <c r="N24" s="29" t="str">
        <f>VLOOKUP(N$1,'TEN HOC PHAN HKI'!$D$26:$F$36,2,0)</f>
        <v>Thực tập Tiện 1</v>
      </c>
    </row>
    <row r="25" spans="1:14">
      <c r="A25" s="578"/>
      <c r="B25" s="569"/>
      <c r="C25" s="20" t="s">
        <v>189</v>
      </c>
      <c r="D25" s="18">
        <f>VLOOKUP(D$1,'TEN HOC PHAN HKI'!$D$26:$F$36,3,0)</f>
        <v>2</v>
      </c>
      <c r="E25" s="18">
        <f>VLOOKUP(E$1,'TEN HOC PHAN HKI'!$D$26:$F$36,3,0)</f>
        <v>2</v>
      </c>
      <c r="F25" s="18">
        <f>VLOOKUP(F$1,'TEN HOC PHAN HKI'!$D$26:$F$36,3,0)</f>
        <v>3</v>
      </c>
      <c r="G25" s="18">
        <f>VLOOKUP(G$1,'TEN HOC PHAN HKI'!$D$26:$F$36,3,0)</f>
        <v>2</v>
      </c>
      <c r="H25" s="18">
        <f>VLOOKUP(H$1,'TEN HOC PHAN HKI'!$D$26:$F$36,3,0)</f>
        <v>2</v>
      </c>
      <c r="I25" s="18">
        <f>VLOOKUP(I$1,'TEN HOC PHAN HKI'!$D$26:$F$36,3,0)</f>
        <v>0</v>
      </c>
      <c r="J25" s="18">
        <f>VLOOKUP(J$1,'TEN HOC PHAN HKI'!$D$26:$F$36,3,0)</f>
        <v>0</v>
      </c>
      <c r="K25" s="29">
        <f>VLOOKUP(K$1,'TEN HOC PHAN HKI'!$D$26:$F$36,3,0)</f>
        <v>0</v>
      </c>
      <c r="L25" s="29">
        <f>VLOOKUP(L$1,'TEN HOC PHAN HKI'!$D$26:$F$36,3,0)</f>
        <v>0</v>
      </c>
      <c r="M25" s="29">
        <f>VLOOKUP(M$1,'TEN HOC PHAN HKI'!$D$26:$F$36,3,0)</f>
        <v>3</v>
      </c>
      <c r="N25" s="29">
        <f>VLOOKUP(N$1,'TEN HOC PHAN HKI'!$D$26:$F$36,3,0)</f>
        <v>2</v>
      </c>
    </row>
    <row r="26" spans="1:14" ht="25.5">
      <c r="A26" s="578">
        <v>13</v>
      </c>
      <c r="B26" s="569">
        <v>5</v>
      </c>
      <c r="C26" s="21" t="s">
        <v>285</v>
      </c>
      <c r="D26" s="18" t="str">
        <f>VLOOKUP(D$1,'TEN HOC PHAN HKI'!$D$26:$F$36,2,0)</f>
        <v xml:space="preserve">Anh văn chuyên ngành </v>
      </c>
      <c r="E26" s="18" t="str">
        <f>VLOOKUP(E$1,'TEN HOC PHAN HKI'!$D$26:$F$36,2,0)</f>
        <v xml:space="preserve">Tư tưởng Hồ Chí Minh </v>
      </c>
      <c r="F26" s="18" t="str">
        <f>VLOOKUP(F$1,'TEN HOC PHAN HKI'!$D$26:$F$36,2,0)</f>
        <v xml:space="preserve">Cơ ứng dụng </v>
      </c>
      <c r="G26" s="18" t="str">
        <f>VLOOKUP(G$1,'TEN HOC PHAN HKI'!$D$26:$F$36,2,0)</f>
        <v xml:space="preserve">Vật liệu học </v>
      </c>
      <c r="H26" s="18" t="str">
        <f>VLOOKUP(H$1,'TEN HOC PHAN HKI'!$D$26:$F$36,2,0)</f>
        <v>Autocad (2D)</v>
      </c>
      <c r="I26" s="18">
        <f>VLOOKUP(I$1,'TEN HOC PHAN HKI'!$D$26:$F$36,2,0)</f>
        <v>0</v>
      </c>
      <c r="J26" s="18">
        <f>VLOOKUP(J$1,'TEN HOC PHAN HKI'!$D$26:$F$36,2,0)</f>
        <v>0</v>
      </c>
      <c r="K26" s="29">
        <f>VLOOKUP(K$1,'TEN HOC PHAN HKI'!$D$26:$F$36,2,0)</f>
        <v>0</v>
      </c>
      <c r="L26" s="29">
        <f>VLOOKUP(L$1,'TEN HOC PHAN HKI'!$D$26:$F$36,2,0)</f>
        <v>0</v>
      </c>
      <c r="M26" s="29" t="str">
        <f>VLOOKUP(M$1,'TEN HOC PHAN HKI'!$D$26:$F$36,2,0)</f>
        <v xml:space="preserve">Thực tập Nguội - Hàn cơ bản </v>
      </c>
      <c r="N26" s="29" t="str">
        <f>VLOOKUP(N$1,'TEN HOC PHAN HKI'!$D$26:$F$36,2,0)</f>
        <v>Thực tập Tiện 1</v>
      </c>
    </row>
    <row r="27" spans="1:14">
      <c r="A27" s="578"/>
      <c r="B27" s="569"/>
      <c r="C27" s="20" t="s">
        <v>190</v>
      </c>
      <c r="D27" s="18">
        <f>VLOOKUP(D$1,'TEN HOC PHAN HKI'!$D$26:$F$36,3,0)</f>
        <v>2</v>
      </c>
      <c r="E27" s="18">
        <f>VLOOKUP(E$1,'TEN HOC PHAN HKI'!$D$26:$F$36,3,0)</f>
        <v>2</v>
      </c>
      <c r="F27" s="18">
        <f>VLOOKUP(F$1,'TEN HOC PHAN HKI'!$D$26:$F$36,3,0)</f>
        <v>3</v>
      </c>
      <c r="G27" s="18">
        <f>VLOOKUP(G$1,'TEN HOC PHAN HKI'!$D$26:$F$36,3,0)</f>
        <v>2</v>
      </c>
      <c r="H27" s="18">
        <f>VLOOKUP(H$1,'TEN HOC PHAN HKI'!$D$26:$F$36,3,0)</f>
        <v>2</v>
      </c>
      <c r="I27" s="18">
        <f>VLOOKUP(I$1,'TEN HOC PHAN HKI'!$D$26:$F$36,3,0)</f>
        <v>0</v>
      </c>
      <c r="J27" s="18">
        <f>VLOOKUP(J$1,'TEN HOC PHAN HKI'!$D$26:$F$36,3,0)</f>
        <v>0</v>
      </c>
      <c r="K27" s="29">
        <f>VLOOKUP(K$1,'TEN HOC PHAN HKI'!$D$26:$F$36,3,0)</f>
        <v>0</v>
      </c>
      <c r="L27" s="29">
        <f>VLOOKUP(L$1,'TEN HOC PHAN HKI'!$D$26:$F$36,3,0)</f>
        <v>0</v>
      </c>
      <c r="M27" s="29">
        <f>VLOOKUP(M$1,'TEN HOC PHAN HKI'!$D$26:$F$36,3,0)</f>
        <v>3</v>
      </c>
      <c r="N27" s="29">
        <f>VLOOKUP(N$1,'TEN HOC PHAN HKI'!$D$26:$F$36,3,0)</f>
        <v>2</v>
      </c>
    </row>
    <row r="28" spans="1:14" ht="25.5">
      <c r="A28" s="578">
        <v>14</v>
      </c>
      <c r="B28" s="569">
        <v>6</v>
      </c>
      <c r="C28" s="21" t="s">
        <v>362</v>
      </c>
      <c r="D28" s="18" t="str">
        <f>VLOOKUP(D$1,'TEN HOC PHAN HKI'!$D$26:$F$36,2,0)</f>
        <v xml:space="preserve">Anh văn chuyên ngành </v>
      </c>
      <c r="E28" s="18" t="str">
        <f>VLOOKUP(E$1,'TEN HOC PHAN HKI'!$D$26:$F$36,2,0)</f>
        <v xml:space="preserve">Tư tưởng Hồ Chí Minh </v>
      </c>
      <c r="F28" s="18" t="str">
        <f>VLOOKUP(F$1,'TEN HOC PHAN HKI'!$D$26:$F$36,2,0)</f>
        <v xml:space="preserve">Cơ ứng dụng </v>
      </c>
      <c r="G28" s="18" t="str">
        <f>VLOOKUP(G$1,'TEN HOC PHAN HKI'!$D$26:$F$36,2,0)</f>
        <v xml:space="preserve">Vật liệu học </v>
      </c>
      <c r="H28" s="18" t="str">
        <f>VLOOKUP(H$1,'TEN HOC PHAN HKI'!$D$26:$F$36,2,0)</f>
        <v>Autocad (2D)</v>
      </c>
      <c r="I28" s="18">
        <f>VLOOKUP(I$1,'TEN HOC PHAN HKI'!$D$26:$F$36,2,0)</f>
        <v>0</v>
      </c>
      <c r="J28" s="18">
        <f>VLOOKUP(J$1,'TEN HOC PHAN HKI'!$D$26:$F$36,2,0)</f>
        <v>0</v>
      </c>
      <c r="K28" s="29">
        <f>VLOOKUP(K$1,'TEN HOC PHAN HKI'!$D$26:$F$36,2,0)</f>
        <v>0</v>
      </c>
      <c r="L28" s="29">
        <f>VLOOKUP(L$1,'TEN HOC PHAN HKI'!$D$26:$F$36,2,0)</f>
        <v>0</v>
      </c>
      <c r="M28" s="29" t="str">
        <f>VLOOKUP(M$1,'TEN HOC PHAN HKI'!$D$26:$F$36,2,0)</f>
        <v xml:space="preserve">Thực tập Nguội - Hàn cơ bản </v>
      </c>
      <c r="N28" s="29" t="str">
        <f>VLOOKUP(N$1,'TEN HOC PHAN HKI'!$D$26:$F$36,2,0)</f>
        <v>Thực tập Tiện 1</v>
      </c>
    </row>
    <row r="29" spans="1:14" ht="13.5" thickBot="1">
      <c r="A29" s="578"/>
      <c r="B29" s="570"/>
      <c r="C29" s="30" t="s">
        <v>201</v>
      </c>
      <c r="D29" s="31">
        <f>VLOOKUP(D$1,'TEN HOC PHAN HKI'!$D$26:$F$36,3,0)</f>
        <v>2</v>
      </c>
      <c r="E29" s="31">
        <f>VLOOKUP(E$1,'TEN HOC PHAN HKI'!$D$26:$F$36,3,0)</f>
        <v>2</v>
      </c>
      <c r="F29" s="31">
        <f>VLOOKUP(F$1,'TEN HOC PHAN HKI'!$D$26:$F$36,3,0)</f>
        <v>3</v>
      </c>
      <c r="G29" s="31">
        <f>VLOOKUP(G$1,'TEN HOC PHAN HKI'!$D$26:$F$36,3,0)</f>
        <v>2</v>
      </c>
      <c r="H29" s="31">
        <f>VLOOKUP(H$1,'TEN HOC PHAN HKI'!$D$26:$F$36,3,0)</f>
        <v>2</v>
      </c>
      <c r="I29" s="31">
        <f>VLOOKUP(I$1,'TEN HOC PHAN HKI'!$D$26:$F$36,3,0)</f>
        <v>0</v>
      </c>
      <c r="J29" s="31">
        <f>VLOOKUP(J$1,'TEN HOC PHAN HKI'!$D$26:$F$36,3,0)</f>
        <v>0</v>
      </c>
      <c r="K29" s="32">
        <f>VLOOKUP(K$1,'TEN HOC PHAN HKI'!$D$26:$F$36,3,0)</f>
        <v>0</v>
      </c>
      <c r="L29" s="32">
        <f>VLOOKUP(L$1,'TEN HOC PHAN HKI'!$D$26:$F$36,3,0)</f>
        <v>0</v>
      </c>
      <c r="M29" s="32">
        <f>VLOOKUP(M$1,'TEN HOC PHAN HKI'!$D$26:$F$36,3,0)</f>
        <v>3</v>
      </c>
      <c r="N29" s="32">
        <f>VLOOKUP(N$1,'TEN HOC PHAN HKI'!$D$26:$F$36,3,0)</f>
        <v>2</v>
      </c>
    </row>
    <row r="30" spans="1:14" ht="25.5">
      <c r="A30" s="578">
        <v>15</v>
      </c>
      <c r="B30" s="576">
        <v>1</v>
      </c>
      <c r="C30" s="33" t="s">
        <v>462</v>
      </c>
      <c r="D30" s="25" t="str">
        <f>VLOOKUP(D$1,'TEN HOC PHAN HKI'!$D$37:$F$47,2,0)</f>
        <v xml:space="preserve">Anh văn chuyên ngành </v>
      </c>
      <c r="E30" s="25" t="str">
        <f>VLOOKUP(E$1,'TEN HOC PHAN HKI'!$D$37:$F$47,2,0)</f>
        <v xml:space="preserve">Tư tưởng Hồ Chí Minh </v>
      </c>
      <c r="F30" s="25" t="str">
        <f>VLOOKUP(F$1,'TEN HOC PHAN HKI'!$D$37:$F$47,2,0)</f>
        <v xml:space="preserve">Vật liệu học </v>
      </c>
      <c r="G30" s="25" t="str">
        <f>VLOOKUP(G$1,'TEN HOC PHAN HKI'!$D$37:$F$47,2,0)</f>
        <v xml:space="preserve">Công nghệ kim loại </v>
      </c>
      <c r="H30" s="25" t="str">
        <f>VLOOKUP(H$1,'TEN HOC PHAN HKI'!$D$37:$F$47,2,0)</f>
        <v xml:space="preserve">Cơ lý thuyết </v>
      </c>
      <c r="I30" s="25" t="str">
        <f>VLOOKUP(I$1,'TEN HOC PHAN HKI'!$D$37:$F$47,2,0)</f>
        <v xml:space="preserve">Sức bền vật liệu </v>
      </c>
      <c r="J30" s="25" t="str">
        <f>VLOOKUP(J$1,'TEN HOC PHAN HKI'!$D$37:$F$47,2,0)</f>
        <v xml:space="preserve">Kỹ thuật điện - điện tử </v>
      </c>
      <c r="K30" s="37" t="str">
        <f>VLOOKUP(K$1,'TEN HOC PHAN HKI'!$D$37:$F$47,2,0)</f>
        <v xml:space="preserve">An toàn và môi trường CN </v>
      </c>
      <c r="L30" s="37" t="str">
        <f>VLOOKUP(L$1,'TEN HOC PHAN HKI'!$D$37:$F$47,2,0)</f>
        <v xml:space="preserve">Động cơ đốt trong </v>
      </c>
      <c r="M30" s="37" t="str">
        <f>VLOOKUP(M$1,'TEN HOC PHAN HKI'!$D$37:$F$47,2,0)</f>
        <v xml:space="preserve">Thực tập Nhập môn Cơ khí </v>
      </c>
      <c r="N30" s="37">
        <f>VLOOKUP(N$1,'TEN HOC PHAN HKI'!$D$37:$F$47,2,0)</f>
        <v>0</v>
      </c>
    </row>
    <row r="31" spans="1:14">
      <c r="A31" s="578"/>
      <c r="B31" s="569"/>
      <c r="C31" s="20" t="s">
        <v>191</v>
      </c>
      <c r="D31" s="18">
        <f>VLOOKUP(D$1,'TEN HOC PHAN HKI'!$D$37:$F$47,3,0)</f>
        <v>2</v>
      </c>
      <c r="E31" s="18">
        <f>VLOOKUP(E$1,'TEN HOC PHAN HKI'!$D$37:$F$47,3,0)</f>
        <v>2</v>
      </c>
      <c r="F31" s="18">
        <f>VLOOKUP(F$1,'TEN HOC PHAN HKI'!$D$37:$F$47,3,0)</f>
        <v>2</v>
      </c>
      <c r="G31" s="18">
        <f>VLOOKUP(G$1,'TEN HOC PHAN HKI'!$D$37:$F$47,3,0)</f>
        <v>2</v>
      </c>
      <c r="H31" s="18">
        <f>VLOOKUP(H$1,'TEN HOC PHAN HKI'!$D$37:$F$47,3,0)</f>
        <v>2</v>
      </c>
      <c r="I31" s="18">
        <f>VLOOKUP(I$1,'TEN HOC PHAN HKI'!$D$37:$F$47,3,0)</f>
        <v>2</v>
      </c>
      <c r="J31" s="18">
        <f>VLOOKUP(J$1,'TEN HOC PHAN HKI'!$D$37:$F$47,3,0)</f>
        <v>3</v>
      </c>
      <c r="K31" s="29">
        <f>VLOOKUP(K$1,'TEN HOC PHAN HKI'!$D$37:$F$47,3,0)</f>
        <v>2</v>
      </c>
      <c r="L31" s="29">
        <f>VLOOKUP(L$1,'TEN HOC PHAN HKI'!$D$37:$F$47,3,0)</f>
        <v>3</v>
      </c>
      <c r="M31" s="29">
        <f>VLOOKUP(M$1,'TEN HOC PHAN HKI'!$D$37:$F$47,3,0)</f>
        <v>2</v>
      </c>
      <c r="N31" s="29">
        <f>VLOOKUP(N$1,'TEN HOC PHAN HKI'!$D$37:$F$47,3,0)</f>
        <v>0</v>
      </c>
    </row>
    <row r="32" spans="1:14" ht="25.5">
      <c r="A32" s="578">
        <v>16</v>
      </c>
      <c r="B32" s="569">
        <v>2</v>
      </c>
      <c r="C32" s="21" t="s">
        <v>538</v>
      </c>
      <c r="D32" s="18" t="str">
        <f>VLOOKUP(D$1,'TEN HOC PHAN HKI'!$D$37:$F$47,2,0)</f>
        <v xml:space="preserve">Anh văn chuyên ngành </v>
      </c>
      <c r="E32" s="18" t="str">
        <f>VLOOKUP(E$1,'TEN HOC PHAN HKI'!$D$37:$F$47,2,0)</f>
        <v xml:space="preserve">Tư tưởng Hồ Chí Minh </v>
      </c>
      <c r="F32" s="18" t="str">
        <f>VLOOKUP(F$1,'TEN HOC PHAN HKI'!$D$37:$F$47,2,0)</f>
        <v xml:space="preserve">Vật liệu học </v>
      </c>
      <c r="G32" s="18" t="str">
        <f>VLOOKUP(G$1,'TEN HOC PHAN HKI'!$D$37:$F$47,2,0)</f>
        <v xml:space="preserve">Công nghệ kim loại </v>
      </c>
      <c r="H32" s="18" t="str">
        <f>VLOOKUP(H$1,'TEN HOC PHAN HKI'!$D$37:$F$47,2,0)</f>
        <v xml:space="preserve">Cơ lý thuyết </v>
      </c>
      <c r="I32" s="18" t="str">
        <f>VLOOKUP(I$1,'TEN HOC PHAN HKI'!$D$37:$F$47,2,0)</f>
        <v xml:space="preserve">Sức bền vật liệu </v>
      </c>
      <c r="J32" s="18" t="str">
        <f>VLOOKUP(J$1,'TEN HOC PHAN HKI'!$D$37:$F$47,2,0)</f>
        <v xml:space="preserve">Kỹ thuật điện - điện tử </v>
      </c>
      <c r="K32" s="29" t="str">
        <f>VLOOKUP(K$1,'TEN HOC PHAN HKI'!$D$37:$F$47,2,0)</f>
        <v xml:space="preserve">An toàn và môi trường CN </v>
      </c>
      <c r="L32" s="29" t="str">
        <f>VLOOKUP(L$1,'TEN HOC PHAN HKI'!$D$37:$F$47,2,0)</f>
        <v xml:space="preserve">Động cơ đốt trong </v>
      </c>
      <c r="M32" s="29" t="str">
        <f>VLOOKUP(M$1,'TEN HOC PHAN HKI'!$D$37:$F$47,2,0)</f>
        <v xml:space="preserve">Thực tập Nhập môn Cơ khí </v>
      </c>
      <c r="N32" s="29">
        <f>VLOOKUP(N$1,'TEN HOC PHAN HKI'!$D$37:$F$47,2,0)</f>
        <v>0</v>
      </c>
    </row>
    <row r="33" spans="1:14">
      <c r="A33" s="578"/>
      <c r="B33" s="569"/>
      <c r="C33" s="20" t="s">
        <v>192</v>
      </c>
      <c r="D33" s="18">
        <f>VLOOKUP(D$1,'TEN HOC PHAN HKI'!$D$37:$F$47,3,0)</f>
        <v>2</v>
      </c>
      <c r="E33" s="18">
        <f>VLOOKUP(E$1,'TEN HOC PHAN HKI'!$D$37:$F$47,3,0)</f>
        <v>2</v>
      </c>
      <c r="F33" s="18">
        <f>VLOOKUP(F$1,'TEN HOC PHAN HKI'!$D$37:$F$47,3,0)</f>
        <v>2</v>
      </c>
      <c r="G33" s="18">
        <f>VLOOKUP(G$1,'TEN HOC PHAN HKI'!$D$37:$F$47,3,0)</f>
        <v>2</v>
      </c>
      <c r="H33" s="18">
        <f>VLOOKUP(H$1,'TEN HOC PHAN HKI'!$D$37:$F$47,3,0)</f>
        <v>2</v>
      </c>
      <c r="I33" s="18">
        <f>VLOOKUP(I$1,'TEN HOC PHAN HKI'!$D$37:$F$47,3,0)</f>
        <v>2</v>
      </c>
      <c r="J33" s="18">
        <f>VLOOKUP(J$1,'TEN HOC PHAN HKI'!$D$37:$F$47,3,0)</f>
        <v>3</v>
      </c>
      <c r="K33" s="29">
        <f>VLOOKUP(K$1,'TEN HOC PHAN HKI'!$D$37:$F$47,3,0)</f>
        <v>2</v>
      </c>
      <c r="L33" s="29">
        <f>VLOOKUP(L$1,'TEN HOC PHAN HKI'!$D$37:$F$47,3,0)</f>
        <v>3</v>
      </c>
      <c r="M33" s="29">
        <f>VLOOKUP(M$1,'TEN HOC PHAN HKI'!$D$37:$F$47,3,0)</f>
        <v>2</v>
      </c>
      <c r="N33" s="29">
        <f>VLOOKUP(N$1,'TEN HOC PHAN HKI'!$D$37:$F$47,3,0)</f>
        <v>0</v>
      </c>
    </row>
    <row r="34" spans="1:14" ht="25.5">
      <c r="A34" s="578">
        <v>17</v>
      </c>
      <c r="B34" s="569">
        <v>3</v>
      </c>
      <c r="C34" s="21" t="s">
        <v>639</v>
      </c>
      <c r="D34" s="18" t="str">
        <f>VLOOKUP(D$1,'TEN HOC PHAN HKI'!$D$37:$F$47,2,0)</f>
        <v xml:space="preserve">Anh văn chuyên ngành </v>
      </c>
      <c r="E34" s="18" t="str">
        <f>VLOOKUP(E$1,'TEN HOC PHAN HKI'!$D$37:$F$47,2,0)</f>
        <v xml:space="preserve">Tư tưởng Hồ Chí Minh </v>
      </c>
      <c r="F34" s="18" t="str">
        <f>VLOOKUP(F$1,'TEN HOC PHAN HKI'!$D$37:$F$47,2,0)</f>
        <v xml:space="preserve">Vật liệu học </v>
      </c>
      <c r="G34" s="18" t="str">
        <f>VLOOKUP(G$1,'TEN HOC PHAN HKI'!$D$37:$F$47,2,0)</f>
        <v xml:space="preserve">Công nghệ kim loại </v>
      </c>
      <c r="H34" s="18" t="str">
        <f>VLOOKUP(H$1,'TEN HOC PHAN HKI'!$D$37:$F$47,2,0)</f>
        <v xml:space="preserve">Cơ lý thuyết </v>
      </c>
      <c r="I34" s="18" t="str">
        <f>VLOOKUP(I$1,'TEN HOC PHAN HKI'!$D$37:$F$47,2,0)</f>
        <v xml:space="preserve">Sức bền vật liệu </v>
      </c>
      <c r="J34" s="18" t="str">
        <f>VLOOKUP(J$1,'TEN HOC PHAN HKI'!$D$37:$F$47,2,0)</f>
        <v xml:space="preserve">Kỹ thuật điện - điện tử </v>
      </c>
      <c r="K34" s="29" t="str">
        <f>VLOOKUP(K$1,'TEN HOC PHAN HKI'!$D$37:$F$47,2,0)</f>
        <v xml:space="preserve">An toàn và môi trường CN </v>
      </c>
      <c r="L34" s="29" t="str">
        <f>VLOOKUP(L$1,'TEN HOC PHAN HKI'!$D$37:$F$47,2,0)</f>
        <v xml:space="preserve">Động cơ đốt trong </v>
      </c>
      <c r="M34" s="29" t="str">
        <f>VLOOKUP(M$1,'TEN HOC PHAN HKI'!$D$37:$F$47,2,0)</f>
        <v xml:space="preserve">Thực tập Nhập môn Cơ khí </v>
      </c>
      <c r="N34" s="29">
        <f>VLOOKUP(N$1,'TEN HOC PHAN HKI'!$D$37:$F$47,2,0)</f>
        <v>0</v>
      </c>
    </row>
    <row r="35" spans="1:14">
      <c r="A35" s="578"/>
      <c r="B35" s="569"/>
      <c r="C35" s="20" t="s">
        <v>193</v>
      </c>
      <c r="D35" s="18">
        <f>VLOOKUP(D$1,'TEN HOC PHAN HKI'!$D$37:$F$47,3,0)</f>
        <v>2</v>
      </c>
      <c r="E35" s="18">
        <f>VLOOKUP(E$1,'TEN HOC PHAN HKI'!$D$37:$F$47,3,0)</f>
        <v>2</v>
      </c>
      <c r="F35" s="18">
        <f>VLOOKUP(F$1,'TEN HOC PHAN HKI'!$D$37:$F$47,3,0)</f>
        <v>2</v>
      </c>
      <c r="G35" s="18">
        <f>VLOOKUP(G$1,'TEN HOC PHAN HKI'!$D$37:$F$47,3,0)</f>
        <v>2</v>
      </c>
      <c r="H35" s="18">
        <f>VLOOKUP(H$1,'TEN HOC PHAN HKI'!$D$37:$F$47,3,0)</f>
        <v>2</v>
      </c>
      <c r="I35" s="18">
        <f>VLOOKUP(I$1,'TEN HOC PHAN HKI'!$D$37:$F$47,3,0)</f>
        <v>2</v>
      </c>
      <c r="J35" s="18">
        <f>VLOOKUP(J$1,'TEN HOC PHAN HKI'!$D$37:$F$47,3,0)</f>
        <v>3</v>
      </c>
      <c r="K35" s="29">
        <f>VLOOKUP(K$1,'TEN HOC PHAN HKI'!$D$37:$F$47,3,0)</f>
        <v>2</v>
      </c>
      <c r="L35" s="29">
        <f>VLOOKUP(L$1,'TEN HOC PHAN HKI'!$D$37:$F$47,3,0)</f>
        <v>3</v>
      </c>
      <c r="M35" s="29">
        <f>VLOOKUP(M$1,'TEN HOC PHAN HKI'!$D$37:$F$47,3,0)</f>
        <v>2</v>
      </c>
      <c r="N35" s="29">
        <f>VLOOKUP(N$1,'TEN HOC PHAN HKI'!$D$37:$F$47,3,0)</f>
        <v>0</v>
      </c>
    </row>
    <row r="36" spans="1:14" ht="25.5">
      <c r="A36" s="578">
        <v>18</v>
      </c>
      <c r="B36" s="569">
        <v>4</v>
      </c>
      <c r="C36" s="21" t="s">
        <v>719</v>
      </c>
      <c r="D36" s="18" t="str">
        <f>VLOOKUP(D$1,'TEN HOC PHAN HKI'!$D$37:$F$47,2,0)</f>
        <v xml:space="preserve">Anh văn chuyên ngành </v>
      </c>
      <c r="E36" s="18" t="str">
        <f>VLOOKUP(E$1,'TEN HOC PHAN HKI'!$D$37:$F$47,2,0)</f>
        <v xml:space="preserve">Tư tưởng Hồ Chí Minh </v>
      </c>
      <c r="F36" s="18" t="str">
        <f>VLOOKUP(F$1,'TEN HOC PHAN HKI'!$D$37:$F$47,2,0)</f>
        <v xml:space="preserve">Vật liệu học </v>
      </c>
      <c r="G36" s="18" t="str">
        <f>VLOOKUP(G$1,'TEN HOC PHAN HKI'!$D$37:$F$47,2,0)</f>
        <v xml:space="preserve">Công nghệ kim loại </v>
      </c>
      <c r="H36" s="18" t="str">
        <f>VLOOKUP(H$1,'TEN HOC PHAN HKI'!$D$37:$F$47,2,0)</f>
        <v xml:space="preserve">Cơ lý thuyết </v>
      </c>
      <c r="I36" s="18" t="str">
        <f>VLOOKUP(I$1,'TEN HOC PHAN HKI'!$D$37:$F$47,2,0)</f>
        <v xml:space="preserve">Sức bền vật liệu </v>
      </c>
      <c r="J36" s="18" t="str">
        <f>VLOOKUP(J$1,'TEN HOC PHAN HKI'!$D$37:$F$47,2,0)</f>
        <v xml:space="preserve">Kỹ thuật điện - điện tử </v>
      </c>
      <c r="K36" s="29" t="str">
        <f>VLOOKUP(K$1,'TEN HOC PHAN HKI'!$D$37:$F$47,2,0)</f>
        <v xml:space="preserve">An toàn và môi trường CN </v>
      </c>
      <c r="L36" s="29" t="str">
        <f>VLOOKUP(L$1,'TEN HOC PHAN HKI'!$D$37:$F$47,2,0)</f>
        <v xml:space="preserve">Động cơ đốt trong </v>
      </c>
      <c r="M36" s="29" t="str">
        <f>VLOOKUP(M$1,'TEN HOC PHAN HKI'!$D$37:$F$47,2,0)</f>
        <v xml:space="preserve">Thực tập Nhập môn Cơ khí </v>
      </c>
      <c r="N36" s="29">
        <f>VLOOKUP(N$1,'TEN HOC PHAN HKI'!$D$37:$F$47,2,0)</f>
        <v>0</v>
      </c>
    </row>
    <row r="37" spans="1:14">
      <c r="A37" s="578"/>
      <c r="B37" s="569"/>
      <c r="C37" s="20" t="s">
        <v>194</v>
      </c>
      <c r="D37" s="18">
        <f>VLOOKUP(D$1,'TEN HOC PHAN HKI'!$D$37:$F$47,3,0)</f>
        <v>2</v>
      </c>
      <c r="E37" s="18">
        <f>VLOOKUP(E$1,'TEN HOC PHAN HKI'!$D$37:$F$47,3,0)</f>
        <v>2</v>
      </c>
      <c r="F37" s="18">
        <f>VLOOKUP(F$1,'TEN HOC PHAN HKI'!$D$37:$F$47,3,0)</f>
        <v>2</v>
      </c>
      <c r="G37" s="18">
        <f>VLOOKUP(G$1,'TEN HOC PHAN HKI'!$D$37:$F$47,3,0)</f>
        <v>2</v>
      </c>
      <c r="H37" s="18">
        <f>VLOOKUP(H$1,'TEN HOC PHAN HKI'!$D$37:$F$47,3,0)</f>
        <v>2</v>
      </c>
      <c r="I37" s="18">
        <f>VLOOKUP(I$1,'TEN HOC PHAN HKI'!$D$37:$F$47,3,0)</f>
        <v>2</v>
      </c>
      <c r="J37" s="18">
        <f>VLOOKUP(J$1,'TEN HOC PHAN HKI'!$D$37:$F$47,3,0)</f>
        <v>3</v>
      </c>
      <c r="K37" s="29">
        <f>VLOOKUP(K$1,'TEN HOC PHAN HKI'!$D$37:$F$47,3,0)</f>
        <v>2</v>
      </c>
      <c r="L37" s="29">
        <f>VLOOKUP(L$1,'TEN HOC PHAN HKI'!$D$37:$F$47,3,0)</f>
        <v>3</v>
      </c>
      <c r="M37" s="29">
        <f>VLOOKUP(M$1,'TEN HOC PHAN HKI'!$D$37:$F$47,3,0)</f>
        <v>2</v>
      </c>
      <c r="N37" s="29">
        <f>VLOOKUP(N$1,'TEN HOC PHAN HKI'!$D$37:$F$47,3,0)</f>
        <v>0</v>
      </c>
    </row>
    <row r="38" spans="1:14" ht="25.5">
      <c r="A38" s="578">
        <v>19</v>
      </c>
      <c r="B38" s="569">
        <v>5</v>
      </c>
      <c r="C38" s="21" t="s">
        <v>784</v>
      </c>
      <c r="D38" s="18" t="str">
        <f>VLOOKUP(D$1,'TEN HOC PHAN HKI'!$D$37:$F$47,2,0)</f>
        <v xml:space="preserve">Anh văn chuyên ngành </v>
      </c>
      <c r="E38" s="18" t="str">
        <f>VLOOKUP(E$1,'TEN HOC PHAN HKI'!$D$37:$F$47,2,0)</f>
        <v xml:space="preserve">Tư tưởng Hồ Chí Minh </v>
      </c>
      <c r="F38" s="18" t="str">
        <f>VLOOKUP(F$1,'TEN HOC PHAN HKI'!$D$37:$F$47,2,0)</f>
        <v xml:space="preserve">Vật liệu học </v>
      </c>
      <c r="G38" s="18" t="str">
        <f>VLOOKUP(G$1,'TEN HOC PHAN HKI'!$D$37:$F$47,2,0)</f>
        <v xml:space="preserve">Công nghệ kim loại </v>
      </c>
      <c r="H38" s="18" t="str">
        <f>VLOOKUP(H$1,'TEN HOC PHAN HKI'!$D$37:$F$47,2,0)</f>
        <v xml:space="preserve">Cơ lý thuyết </v>
      </c>
      <c r="I38" s="18" t="str">
        <f>VLOOKUP(I$1,'TEN HOC PHAN HKI'!$D$37:$F$47,2,0)</f>
        <v xml:space="preserve">Sức bền vật liệu </v>
      </c>
      <c r="J38" s="18" t="str">
        <f>VLOOKUP(J$1,'TEN HOC PHAN HKI'!$D$37:$F$47,2,0)</f>
        <v xml:space="preserve">Kỹ thuật điện - điện tử </v>
      </c>
      <c r="K38" s="29" t="str">
        <f>VLOOKUP(K$1,'TEN HOC PHAN HKI'!$D$37:$F$47,2,0)</f>
        <v xml:space="preserve">An toàn và môi trường CN </v>
      </c>
      <c r="L38" s="29" t="str">
        <f>VLOOKUP(L$1,'TEN HOC PHAN HKI'!$D$37:$F$47,2,0)</f>
        <v xml:space="preserve">Động cơ đốt trong </v>
      </c>
      <c r="M38" s="29" t="str">
        <f>VLOOKUP(M$1,'TEN HOC PHAN HKI'!$D$37:$F$47,2,0)</f>
        <v xml:space="preserve">Thực tập Nhập môn Cơ khí </v>
      </c>
      <c r="N38" s="29">
        <f>VLOOKUP(N$1,'TEN HOC PHAN HKI'!$D$37:$F$47,2,0)</f>
        <v>0</v>
      </c>
    </row>
    <row r="39" spans="1:14" ht="13.5" thickBot="1">
      <c r="A39" s="578"/>
      <c r="B39" s="570"/>
      <c r="C39" s="30" t="s">
        <v>195</v>
      </c>
      <c r="D39" s="31">
        <f>VLOOKUP(D$1,'TEN HOC PHAN HKI'!$D$37:$F$47,3,0)</f>
        <v>2</v>
      </c>
      <c r="E39" s="31">
        <f>VLOOKUP(E$1,'TEN HOC PHAN HKI'!$D$37:$F$47,3,0)</f>
        <v>2</v>
      </c>
      <c r="F39" s="31">
        <f>VLOOKUP(F$1,'TEN HOC PHAN HKI'!$D$37:$F$47,3,0)</f>
        <v>2</v>
      </c>
      <c r="G39" s="31">
        <f>VLOOKUP(G$1,'TEN HOC PHAN HKI'!$D$37:$F$47,3,0)</f>
        <v>2</v>
      </c>
      <c r="H39" s="31">
        <f>VLOOKUP(H$1,'TEN HOC PHAN HKI'!$D$37:$F$47,3,0)</f>
        <v>2</v>
      </c>
      <c r="I39" s="31">
        <f>VLOOKUP(I$1,'TEN HOC PHAN HKI'!$D$37:$F$47,3,0)</f>
        <v>2</v>
      </c>
      <c r="J39" s="31">
        <f>VLOOKUP(J$1,'TEN HOC PHAN HKI'!$D$37:$F$47,3,0)</f>
        <v>3</v>
      </c>
      <c r="K39" s="32">
        <f>VLOOKUP(K$1,'TEN HOC PHAN HKI'!$D$37:$F$47,3,0)</f>
        <v>2</v>
      </c>
      <c r="L39" s="32">
        <f>VLOOKUP(L$1,'TEN HOC PHAN HKI'!$D$37:$F$47,3,0)</f>
        <v>3</v>
      </c>
      <c r="M39" s="32">
        <f>VLOOKUP(M$1,'TEN HOC PHAN HKI'!$D$37:$F$47,3,0)</f>
        <v>2</v>
      </c>
      <c r="N39" s="32">
        <f>VLOOKUP(N$1,'TEN HOC PHAN HKI'!$D$37:$F$47,3,0)</f>
        <v>0</v>
      </c>
    </row>
    <row r="40" spans="1:14" ht="25.5">
      <c r="A40" s="578">
        <v>20</v>
      </c>
      <c r="B40" s="576">
        <v>1</v>
      </c>
      <c r="C40" s="33" t="s">
        <v>2445</v>
      </c>
      <c r="D40" s="25" t="str">
        <f>VLOOKUP(D$1,'TEN HOC PHAN HKI'!$D$48:$F$58,2,0)</f>
        <v xml:space="preserve">Anh văn chuyên ngành </v>
      </c>
      <c r="E40" s="25" t="str">
        <f>VLOOKUP(E$1,'TEN HOC PHAN HKI'!$D$48:$F$58,2,0)</f>
        <v xml:space="preserve">Tư tưởng Hồ Chí Minh </v>
      </c>
      <c r="F40" s="25" t="str">
        <f>VLOOKUP(F$1,'TEN HOC PHAN HKI'!$D$48:$F$58,2,0)</f>
        <v xml:space="preserve">Kỹ thuật điện </v>
      </c>
      <c r="G40" s="25" t="str">
        <f>VLOOKUP(G$1,'TEN HOC PHAN HKI'!$D$48:$F$58,2,0)</f>
        <v xml:space="preserve">Kỹ thuật điện tử </v>
      </c>
      <c r="H40" s="25" t="str">
        <f>VLOOKUP(H$1,'TEN HOC PHAN HKI'!$D$48:$F$58,2,0)</f>
        <v xml:space="preserve">Nhiệt động kỹ thuật </v>
      </c>
      <c r="I40" s="25" t="str">
        <f>VLOOKUP(I$1,'TEN HOC PHAN HKI'!$D$48:$F$58,2,0)</f>
        <v xml:space="preserve">Truyền nhiệt </v>
      </c>
      <c r="J40" s="25" t="str">
        <f>VLOOKUP(J$1,'TEN HOC PHAN HKI'!$D$48:$F$58,2,0)</f>
        <v xml:space="preserve">Bơm quạt máy nén </v>
      </c>
      <c r="K40" s="37">
        <f>VLOOKUP(K$1,'TEN HOC PHAN HKI'!$D$48:$F$58,2,0)</f>
        <v>0</v>
      </c>
      <c r="L40" s="37">
        <f>VLOOKUP(L$1,'TEN HOC PHAN HKI'!$D$48:$F$58,2,0)</f>
        <v>0</v>
      </c>
      <c r="M40" s="37" t="str">
        <f>VLOOKUP(M$1,'TEN HOC PHAN HKI'!$D$48:$F$58,2,0)</f>
        <v xml:space="preserve">Thực tập Nhập môn Cơ khí </v>
      </c>
      <c r="N40" s="37">
        <f>VLOOKUP(N$1,'TEN HOC PHAN HKI'!$D$48:$F$58,2,0)</f>
        <v>0</v>
      </c>
    </row>
    <row r="41" spans="1:14">
      <c r="A41" s="578"/>
      <c r="B41" s="569"/>
      <c r="C41" s="20" t="s">
        <v>202</v>
      </c>
      <c r="D41" s="18">
        <f>VLOOKUP(D$1,'TEN HOC PHAN HKI'!$D$48:$F$58,3,0)</f>
        <v>2</v>
      </c>
      <c r="E41" s="18">
        <f>VLOOKUP(E$1,'TEN HOC PHAN HKI'!$D$48:$F$58,3,0)</f>
        <v>2</v>
      </c>
      <c r="F41" s="18">
        <f>VLOOKUP(F$1,'TEN HOC PHAN HKI'!$D$48:$F$58,3,0)</f>
        <v>3</v>
      </c>
      <c r="G41" s="18">
        <f>VLOOKUP(G$1,'TEN HOC PHAN HKI'!$D$48:$F$58,3,0)</f>
        <v>2</v>
      </c>
      <c r="H41" s="18">
        <f>VLOOKUP(H$1,'TEN HOC PHAN HKI'!$D$48:$F$58,3,0)</f>
        <v>3</v>
      </c>
      <c r="I41" s="18">
        <f>VLOOKUP(I$1,'TEN HOC PHAN HKI'!$D$48:$F$58,3,0)</f>
        <v>3</v>
      </c>
      <c r="J41" s="18">
        <f>VLOOKUP(J$1,'TEN HOC PHAN HKI'!$D$48:$F$58,3,0)</f>
        <v>2</v>
      </c>
      <c r="K41" s="29">
        <f>VLOOKUP(K$1,'TEN HOC PHAN HKI'!$D$48:$F$58,3,0)</f>
        <v>0</v>
      </c>
      <c r="L41" s="29">
        <f>VLOOKUP(L$1,'TEN HOC PHAN HKI'!$D$48:$F$58,3,0)</f>
        <v>0</v>
      </c>
      <c r="M41" s="29">
        <f>VLOOKUP(M$1,'TEN HOC PHAN HKI'!$D$48:$F$58,3,0)</f>
        <v>2</v>
      </c>
      <c r="N41" s="29">
        <f>VLOOKUP(N$1,'TEN HOC PHAN HKI'!$D$48:$F$58,3,0)</f>
        <v>0</v>
      </c>
    </row>
    <row r="42" spans="1:14" ht="25.5">
      <c r="A42" s="578">
        <v>21</v>
      </c>
      <c r="B42" s="569">
        <v>2</v>
      </c>
      <c r="C42" s="21" t="s">
        <v>2519</v>
      </c>
      <c r="D42" s="18" t="str">
        <f>VLOOKUP(D$1,'TEN HOC PHAN HKI'!$D$48:$F$58,2,0)</f>
        <v xml:space="preserve">Anh văn chuyên ngành </v>
      </c>
      <c r="E42" s="18" t="str">
        <f>VLOOKUP(E$1,'TEN HOC PHAN HKI'!$D$48:$F$58,2,0)</f>
        <v xml:space="preserve">Tư tưởng Hồ Chí Minh </v>
      </c>
      <c r="F42" s="18" t="str">
        <f>VLOOKUP(F$1,'TEN HOC PHAN HKI'!$D$48:$F$58,2,0)</f>
        <v xml:space="preserve">Kỹ thuật điện </v>
      </c>
      <c r="G42" s="18" t="str">
        <f>VLOOKUP(G$1,'TEN HOC PHAN HKI'!$D$48:$F$58,2,0)</f>
        <v xml:space="preserve">Kỹ thuật điện tử </v>
      </c>
      <c r="H42" s="18" t="str">
        <f>VLOOKUP(H$1,'TEN HOC PHAN HKI'!$D$48:$F$58,2,0)</f>
        <v xml:space="preserve">Nhiệt động kỹ thuật </v>
      </c>
      <c r="I42" s="18" t="str">
        <f>VLOOKUP(I$1,'TEN HOC PHAN HKI'!$D$48:$F$58,2,0)</f>
        <v xml:space="preserve">Truyền nhiệt </v>
      </c>
      <c r="J42" s="18" t="str">
        <f>VLOOKUP(J$1,'TEN HOC PHAN HKI'!$D$48:$F$58,2,0)</f>
        <v xml:space="preserve">Bơm quạt máy nén </v>
      </c>
      <c r="K42" s="29">
        <f>VLOOKUP(K$1,'TEN HOC PHAN HKI'!$D$48:$F$58,2,0)</f>
        <v>0</v>
      </c>
      <c r="L42" s="29">
        <f>VLOOKUP(L$1,'TEN HOC PHAN HKI'!$D$48:$F$58,2,0)</f>
        <v>0</v>
      </c>
      <c r="M42" s="29" t="str">
        <f>VLOOKUP(M$1,'TEN HOC PHAN HKI'!$D$48:$F$58,2,0)</f>
        <v xml:space="preserve">Thực tập Nhập môn Cơ khí </v>
      </c>
      <c r="N42" s="29">
        <f>VLOOKUP(N$1,'TEN HOC PHAN HKI'!$D$48:$F$58,2,0)</f>
        <v>0</v>
      </c>
    </row>
    <row r="43" spans="1:14" ht="13.5" thickBot="1">
      <c r="A43" s="578"/>
      <c r="B43" s="570"/>
      <c r="C43" s="30" t="s">
        <v>203</v>
      </c>
      <c r="D43" s="31">
        <f>VLOOKUP(D$1,'TEN HOC PHAN HKI'!$D$48:$F$58,3,0)</f>
        <v>2</v>
      </c>
      <c r="E43" s="31">
        <f>VLOOKUP(E$1,'TEN HOC PHAN HKI'!$D$48:$F$58,3,0)</f>
        <v>2</v>
      </c>
      <c r="F43" s="31">
        <f>VLOOKUP(F$1,'TEN HOC PHAN HKI'!$D$48:$F$58,3,0)</f>
        <v>3</v>
      </c>
      <c r="G43" s="31">
        <f>VLOOKUP(G$1,'TEN HOC PHAN HKI'!$D$48:$F$58,3,0)</f>
        <v>2</v>
      </c>
      <c r="H43" s="31">
        <f>VLOOKUP(H$1,'TEN HOC PHAN HKI'!$D$48:$F$58,3,0)</f>
        <v>3</v>
      </c>
      <c r="I43" s="31">
        <f>VLOOKUP(I$1,'TEN HOC PHAN HKI'!$D$48:$F$58,3,0)</f>
        <v>3</v>
      </c>
      <c r="J43" s="31">
        <f>VLOOKUP(J$1,'TEN HOC PHAN HKI'!$D$48:$F$58,3,0)</f>
        <v>2</v>
      </c>
      <c r="K43" s="32">
        <f>VLOOKUP(K$1,'TEN HOC PHAN HKI'!$D$48:$F$58,3,0)</f>
        <v>0</v>
      </c>
      <c r="L43" s="32">
        <f>VLOOKUP(L$1,'TEN HOC PHAN HKI'!$D$48:$F$58,3,0)</f>
        <v>0</v>
      </c>
      <c r="M43" s="32">
        <f>VLOOKUP(M$1,'TEN HOC PHAN HKI'!$D$48:$F$58,3,0)</f>
        <v>2</v>
      </c>
      <c r="N43" s="32">
        <f>VLOOKUP(N$1,'TEN HOC PHAN HKI'!$D$48:$F$58,3,0)</f>
        <v>0</v>
      </c>
    </row>
    <row r="44" spans="1:14" ht="38.25">
      <c r="A44" s="578">
        <v>22</v>
      </c>
      <c r="B44" s="576">
        <v>1</v>
      </c>
      <c r="C44" s="33" t="s">
        <v>850</v>
      </c>
      <c r="D44" s="25" t="str">
        <f>VLOOKUP(D$1,'TEN HOC PHAN HKI'!$D$59:$F$69,2,0)</f>
        <v xml:space="preserve">Anh văn chuyên ngành </v>
      </c>
      <c r="E44" s="25" t="str">
        <f>VLOOKUP(E$1,'TEN HOC PHAN HKI'!$D$59:$F$69,2,0)</f>
        <v xml:space="preserve">Kỹ năng giao tiếp </v>
      </c>
      <c r="F44" s="25" t="str">
        <f>VLOOKUP(F$1,'TEN HOC PHAN HKI'!$D$59:$F$69,2,0)</f>
        <v xml:space="preserve">Tư tưởng Hồ Chí Minh </v>
      </c>
      <c r="G44" s="25" t="str">
        <f>VLOOKUP(G$1,'TEN HOC PHAN HKI'!$D$59:$F$69,2,0)</f>
        <v xml:space="preserve">Nguyên phụ liệu dệt may </v>
      </c>
      <c r="H44" s="25" t="str">
        <f>VLOOKUP(H$1,'TEN HOC PHAN HKI'!$D$59:$F$69,2,0)</f>
        <v xml:space="preserve">An toàn điện CN và môi trường </v>
      </c>
      <c r="I44" s="25" t="str">
        <f>VLOOKUP(I$1,'TEN HOC PHAN HKI'!$D$59:$F$69,2,0)</f>
        <v>Thiết kế trang phục 2</v>
      </c>
      <c r="J44" s="25" t="str">
        <f>VLOOKUP(J$1,'TEN HOC PHAN HKI'!$D$59:$F$69,2,0)</f>
        <v>Công nghệ may trang phục 2</v>
      </c>
      <c r="K44" s="37" t="str">
        <f>VLOOKUP(K$1,'TEN HOC PHAN HKI'!$D$59:$F$69,2,0)</f>
        <v xml:space="preserve">Tin học ứng dụng ngành may </v>
      </c>
      <c r="L44" s="37" t="str">
        <f>VLOOKUP(L$1,'TEN HOC PHAN HKI'!$D$59:$F$69,2,0)</f>
        <v xml:space="preserve">Kỹ năng học và thuyết trình </v>
      </c>
      <c r="M44" s="37" t="str">
        <f>VLOOKUP(M$1,'TEN HOC PHAN HKI'!$D$59:$F$69,2,0)</f>
        <v>Thực tập May trang phục 1</v>
      </c>
      <c r="N44" s="37">
        <f>VLOOKUP(N$1,'TEN HOC PHAN HKI'!$D$59:$F$69,2,0)</f>
        <v>0</v>
      </c>
    </row>
    <row r="45" spans="1:14" ht="13.5" thickBot="1">
      <c r="A45" s="578"/>
      <c r="B45" s="577"/>
      <c r="C45" s="22" t="s">
        <v>204</v>
      </c>
      <c r="D45" s="34">
        <f>VLOOKUP(D$1,'TEN HOC PHAN HKI'!$D$59:$F$69,3,0)</f>
        <v>2</v>
      </c>
      <c r="E45" s="34">
        <f>VLOOKUP(E$1,'TEN HOC PHAN HKI'!$D$59:$F$69,3,0)</f>
        <v>2</v>
      </c>
      <c r="F45" s="34">
        <f>VLOOKUP(F$1,'TEN HOC PHAN HKI'!$D$59:$F$69,3,0)</f>
        <v>2</v>
      </c>
      <c r="G45" s="34">
        <f>VLOOKUP(G$1,'TEN HOC PHAN HKI'!$D$59:$F$69,3,0)</f>
        <v>2</v>
      </c>
      <c r="H45" s="34">
        <f>VLOOKUP(H$1,'TEN HOC PHAN HKI'!$D$59:$F$69,3,0)</f>
        <v>2</v>
      </c>
      <c r="I45" s="34">
        <f>VLOOKUP(I$1,'TEN HOC PHAN HKI'!$D$59:$F$69,3,0)</f>
        <v>2</v>
      </c>
      <c r="J45" s="34">
        <f>VLOOKUP(J$1,'TEN HOC PHAN HKI'!$D$59:$F$69,3,0)</f>
        <v>2</v>
      </c>
      <c r="K45" s="35">
        <f>VLOOKUP(K$1,'TEN HOC PHAN HKI'!$D$59:$F$69,3,0)</f>
        <v>2</v>
      </c>
      <c r="L45" s="35">
        <f>VLOOKUP(L$1,'TEN HOC PHAN HKI'!$D$59:$F$69,3,0)</f>
        <v>2</v>
      </c>
      <c r="M45" s="35">
        <f>VLOOKUP(M$1,'TEN HOC PHAN HKI'!$D$59:$F$69,3,0)</f>
        <v>3</v>
      </c>
      <c r="N45" s="35">
        <f>VLOOKUP(N$1,'TEN HOC PHAN HKI'!$D$59:$F$69,3,0)</f>
        <v>0</v>
      </c>
    </row>
    <row r="46" spans="1:14" ht="38.25">
      <c r="A46" s="578">
        <v>23</v>
      </c>
      <c r="B46" s="568">
        <v>1</v>
      </c>
      <c r="C46" s="36" t="s">
        <v>1110</v>
      </c>
      <c r="D46" s="27" t="str">
        <f>VLOOKUP(D$1,'TEN HOC PHAN HKI'!$D$70:$F$80,2,0)</f>
        <v xml:space="preserve">Anh văn chuyên ngành </v>
      </c>
      <c r="E46" s="27" t="str">
        <f>VLOOKUP(E$1,'TEN HOC PHAN HKI'!$D$70:$F$80,2,0)</f>
        <v xml:space="preserve">Tư tưởng Hồ Chí Minh </v>
      </c>
      <c r="F46" s="27" t="str">
        <f>VLOOKUP(F$1,'TEN HOC PHAN HKI'!$D$70:$F$80,2,0)</f>
        <v xml:space="preserve">Cấu trúc dữ liệu </v>
      </c>
      <c r="G46" s="27" t="str">
        <f>VLOOKUP(G$1,'TEN HOC PHAN HKI'!$D$70:$F$80,2,0)</f>
        <v xml:space="preserve">Lập trình quản lý </v>
      </c>
      <c r="H46" s="27" t="str">
        <f>VLOOKUP(H$1,'TEN HOC PHAN HKI'!$D$70:$F$80,2,0)</f>
        <v xml:space="preserve">Phân tích và thiết kế hệ thống </v>
      </c>
      <c r="I46" s="27" t="str">
        <f>VLOOKUP(I$1,'TEN HOC PHAN HKI'!$D$70:$F$80,2,0)</f>
        <v xml:space="preserve">Lập trình hướng đối tượng </v>
      </c>
      <c r="J46" s="27">
        <f>VLOOKUP(J$1,'TEN HOC PHAN HKI'!$D$70:$F$80,2,0)</f>
        <v>0</v>
      </c>
      <c r="K46" s="28">
        <f>VLOOKUP(K$1,'TEN HOC PHAN HKI'!$D$70:$F$80,2,0)</f>
        <v>0</v>
      </c>
      <c r="L46" s="28">
        <f>VLOOKUP(L$1,'TEN HOC PHAN HKI'!$D$70:$F$80,2,0)</f>
        <v>0</v>
      </c>
      <c r="M46" s="28">
        <f>VLOOKUP(M$1,'TEN HOC PHAN HKI'!$D$70:$F$80,2,0)</f>
        <v>0</v>
      </c>
      <c r="N46" s="28">
        <f>VLOOKUP(N$1,'TEN HOC PHAN HKI'!$D$70:$F$80,2,0)</f>
        <v>0</v>
      </c>
    </row>
    <row r="47" spans="1:14">
      <c r="A47" s="578"/>
      <c r="B47" s="569"/>
      <c r="C47" s="20" t="s">
        <v>196</v>
      </c>
      <c r="D47" s="18">
        <f>VLOOKUP(D$1,'TEN HOC PHAN HKI'!$D$70:$F$80,3,0)</f>
        <v>2</v>
      </c>
      <c r="E47" s="18">
        <f>VLOOKUP(E$1,'TEN HOC PHAN HKI'!$D$70:$F$80,3,0)</f>
        <v>2</v>
      </c>
      <c r="F47" s="18">
        <f>VLOOKUP(F$1,'TEN HOC PHAN HKI'!$D$70:$F$80,3,0)</f>
        <v>4</v>
      </c>
      <c r="G47" s="18">
        <f>VLOOKUP(G$1,'TEN HOC PHAN HKI'!$D$70:$F$80,3,0)</f>
        <v>4</v>
      </c>
      <c r="H47" s="18">
        <f>VLOOKUP(H$1,'TEN HOC PHAN HKI'!$D$70:$F$80,3,0)</f>
        <v>3</v>
      </c>
      <c r="I47" s="18">
        <f>VLOOKUP(I$1,'TEN HOC PHAN HKI'!$D$70:$F$80,3,0)</f>
        <v>3</v>
      </c>
      <c r="J47" s="18">
        <f>VLOOKUP(J$1,'TEN HOC PHAN HKI'!$D$70:$F$80,3,0)</f>
        <v>0</v>
      </c>
      <c r="K47" s="29">
        <f>VLOOKUP(K$1,'TEN HOC PHAN HKI'!$D$70:$F$80,3,0)</f>
        <v>0</v>
      </c>
      <c r="L47" s="29">
        <f>VLOOKUP(L$1,'TEN HOC PHAN HKI'!$D$70:$F$80,3,0)</f>
        <v>0</v>
      </c>
      <c r="M47" s="29">
        <f>VLOOKUP(M$1,'TEN HOC PHAN HKI'!$D$70:$F$80,3,0)</f>
        <v>0</v>
      </c>
      <c r="N47" s="29">
        <f>VLOOKUP(N$1,'TEN HOC PHAN HKI'!$D$70:$F$80,3,0)</f>
        <v>0</v>
      </c>
    </row>
    <row r="48" spans="1:14" ht="38.25">
      <c r="A48" s="578">
        <v>24</v>
      </c>
      <c r="B48" s="569">
        <v>2</v>
      </c>
      <c r="C48" s="21" t="s">
        <v>1177</v>
      </c>
      <c r="D48" s="18" t="str">
        <f>VLOOKUP(D$1,'TEN HOC PHAN HKI'!$D$70:$F$80,2,0)</f>
        <v xml:space="preserve">Anh văn chuyên ngành </v>
      </c>
      <c r="E48" s="18" t="str">
        <f>VLOOKUP(E$1,'TEN HOC PHAN HKI'!$D$70:$F$80,2,0)</f>
        <v xml:space="preserve">Tư tưởng Hồ Chí Minh </v>
      </c>
      <c r="F48" s="18" t="str">
        <f>VLOOKUP(F$1,'TEN HOC PHAN HKI'!$D$70:$F$80,2,0)</f>
        <v xml:space="preserve">Cấu trúc dữ liệu </v>
      </c>
      <c r="G48" s="18" t="str">
        <f>VLOOKUP(G$1,'TEN HOC PHAN HKI'!$D$70:$F$80,2,0)</f>
        <v xml:space="preserve">Lập trình quản lý </v>
      </c>
      <c r="H48" s="18" t="str">
        <f>VLOOKUP(H$1,'TEN HOC PHAN HKI'!$D$70:$F$80,2,0)</f>
        <v xml:space="preserve">Phân tích và thiết kế hệ thống </v>
      </c>
      <c r="I48" s="18" t="str">
        <f>VLOOKUP(I$1,'TEN HOC PHAN HKI'!$D$70:$F$80,2,0)</f>
        <v xml:space="preserve">Lập trình hướng đối tượng </v>
      </c>
      <c r="J48" s="18">
        <f>VLOOKUP(J$1,'TEN HOC PHAN HKI'!$D$70:$F$80,2,0)</f>
        <v>0</v>
      </c>
      <c r="K48" s="29">
        <f>VLOOKUP(K$1,'TEN HOC PHAN HKI'!$D$70:$F$80,2,0)</f>
        <v>0</v>
      </c>
      <c r="L48" s="29">
        <f>VLOOKUP(L$1,'TEN HOC PHAN HKI'!$D$70:$F$80,2,0)</f>
        <v>0</v>
      </c>
      <c r="M48" s="29">
        <f>VLOOKUP(M$1,'TEN HOC PHAN HKI'!$D$70:$F$80,2,0)</f>
        <v>0</v>
      </c>
      <c r="N48" s="29">
        <f>VLOOKUP(N$1,'TEN HOC PHAN HKI'!$D$70:$F$80,2,0)</f>
        <v>0</v>
      </c>
    </row>
    <row r="49" spans="1:14">
      <c r="A49" s="578"/>
      <c r="B49" s="569"/>
      <c r="C49" s="20" t="s">
        <v>197</v>
      </c>
      <c r="D49" s="18">
        <f>VLOOKUP(D$1,'TEN HOC PHAN HKI'!$D$70:$F$80,3,0)</f>
        <v>2</v>
      </c>
      <c r="E49" s="18">
        <f>VLOOKUP(E$1,'TEN HOC PHAN HKI'!$D$70:$F$80,3,0)</f>
        <v>2</v>
      </c>
      <c r="F49" s="18">
        <f>VLOOKUP(F$1,'TEN HOC PHAN HKI'!$D$70:$F$80,3,0)</f>
        <v>4</v>
      </c>
      <c r="G49" s="18">
        <f>VLOOKUP(G$1,'TEN HOC PHAN HKI'!$D$70:$F$80,3,0)</f>
        <v>4</v>
      </c>
      <c r="H49" s="18">
        <f>VLOOKUP(H$1,'TEN HOC PHAN HKI'!$D$70:$F$80,3,0)</f>
        <v>3</v>
      </c>
      <c r="I49" s="18">
        <f>VLOOKUP(I$1,'TEN HOC PHAN HKI'!$D$70:$F$80,3,0)</f>
        <v>3</v>
      </c>
      <c r="J49" s="18">
        <f>VLOOKUP(J$1,'TEN HOC PHAN HKI'!$D$70:$F$80,3,0)</f>
        <v>0</v>
      </c>
      <c r="K49" s="29">
        <f>VLOOKUP(K$1,'TEN HOC PHAN HKI'!$D$70:$F$80,3,0)</f>
        <v>0</v>
      </c>
      <c r="L49" s="29">
        <f>VLOOKUP(L$1,'TEN HOC PHAN HKI'!$D$70:$F$80,3,0)</f>
        <v>0</v>
      </c>
      <c r="M49" s="29">
        <f>VLOOKUP(M$1,'TEN HOC PHAN HKI'!$D$70:$F$80,3,0)</f>
        <v>0</v>
      </c>
      <c r="N49" s="29">
        <f>VLOOKUP(N$1,'TEN HOC PHAN HKI'!$D$70:$F$80,3,0)</f>
        <v>0</v>
      </c>
    </row>
    <row r="50" spans="1:14" ht="38.25">
      <c r="A50" s="578">
        <v>25</v>
      </c>
      <c r="B50" s="569">
        <v>3</v>
      </c>
      <c r="C50" s="21" t="s">
        <v>1226</v>
      </c>
      <c r="D50" s="18" t="str">
        <f>VLOOKUP(D$1,'TEN HOC PHAN HKI'!$D$70:$F$80,2,0)</f>
        <v xml:space="preserve">Anh văn chuyên ngành </v>
      </c>
      <c r="E50" s="18" t="str">
        <f>VLOOKUP(E$1,'TEN HOC PHAN HKI'!$D$70:$F$80,2,0)</f>
        <v xml:space="preserve">Tư tưởng Hồ Chí Minh </v>
      </c>
      <c r="F50" s="18" t="str">
        <f>VLOOKUP(F$1,'TEN HOC PHAN HKI'!$D$70:$F$80,2,0)</f>
        <v xml:space="preserve">Cấu trúc dữ liệu </v>
      </c>
      <c r="G50" s="18" t="str">
        <f>VLOOKUP(G$1,'TEN HOC PHAN HKI'!$D$70:$F$80,2,0)</f>
        <v xml:space="preserve">Lập trình quản lý </v>
      </c>
      <c r="H50" s="18" t="str">
        <f>VLOOKUP(H$1,'TEN HOC PHAN HKI'!$D$70:$F$80,2,0)</f>
        <v xml:space="preserve">Phân tích và thiết kế hệ thống </v>
      </c>
      <c r="I50" s="18" t="str">
        <f>VLOOKUP(I$1,'TEN HOC PHAN HKI'!$D$70:$F$80,2,0)</f>
        <v xml:space="preserve">Lập trình hướng đối tượng </v>
      </c>
      <c r="J50" s="18">
        <f>VLOOKUP(J$1,'TEN HOC PHAN HKI'!$D$70:$F$80,2,0)</f>
        <v>0</v>
      </c>
      <c r="K50" s="29">
        <f>VLOOKUP(K$1,'TEN HOC PHAN HKI'!$D$70:$F$80,2,0)</f>
        <v>0</v>
      </c>
      <c r="L50" s="29">
        <f>VLOOKUP(L$1,'TEN HOC PHAN HKI'!$D$70:$F$80,2,0)</f>
        <v>0</v>
      </c>
      <c r="M50" s="29">
        <f>VLOOKUP(M$1,'TEN HOC PHAN HKI'!$D$70:$F$80,2,0)</f>
        <v>0</v>
      </c>
      <c r="N50" s="29">
        <f>VLOOKUP(N$1,'TEN HOC PHAN HKI'!$D$70:$F$80,2,0)</f>
        <v>0</v>
      </c>
    </row>
    <row r="51" spans="1:14" ht="13.5" thickBot="1">
      <c r="A51" s="578"/>
      <c r="B51" s="577"/>
      <c r="C51" s="22" t="s">
        <v>198</v>
      </c>
      <c r="D51" s="34">
        <f>VLOOKUP(D$1,'TEN HOC PHAN HKI'!$D$70:$F$80,3,0)</f>
        <v>2</v>
      </c>
      <c r="E51" s="34">
        <f>VLOOKUP(E$1,'TEN HOC PHAN HKI'!$D$70:$F$80,3,0)</f>
        <v>2</v>
      </c>
      <c r="F51" s="34">
        <f>VLOOKUP(F$1,'TEN HOC PHAN HKI'!$D$70:$F$80,3,0)</f>
        <v>4</v>
      </c>
      <c r="G51" s="34">
        <f>VLOOKUP(G$1,'TEN HOC PHAN HKI'!$D$70:$F$80,3,0)</f>
        <v>4</v>
      </c>
      <c r="H51" s="34">
        <f>VLOOKUP(H$1,'TEN HOC PHAN HKI'!$D$70:$F$80,3,0)</f>
        <v>3</v>
      </c>
      <c r="I51" s="34">
        <f>VLOOKUP(I$1,'TEN HOC PHAN HKI'!$D$70:$F$80,3,0)</f>
        <v>3</v>
      </c>
      <c r="J51" s="34">
        <f>VLOOKUP(J$1,'TEN HOC PHAN HKI'!$D$70:$F$80,3,0)</f>
        <v>0</v>
      </c>
      <c r="K51" s="35">
        <f>VLOOKUP(K$1,'TEN HOC PHAN HKI'!$D$70:$F$80,3,0)</f>
        <v>0</v>
      </c>
      <c r="L51" s="35">
        <f>VLOOKUP(L$1,'TEN HOC PHAN HKI'!$D$70:$F$80,3,0)</f>
        <v>0</v>
      </c>
      <c r="M51" s="35">
        <f>VLOOKUP(M$1,'TEN HOC PHAN HKI'!$D$70:$F$80,3,0)</f>
        <v>0</v>
      </c>
      <c r="N51" s="35">
        <f>VLOOKUP(N$1,'TEN HOC PHAN HKI'!$D$70:$F$80,3,0)</f>
        <v>0</v>
      </c>
    </row>
    <row r="52" spans="1:14" ht="38.25">
      <c r="A52" s="578">
        <v>26</v>
      </c>
      <c r="B52" s="568">
        <v>1</v>
      </c>
      <c r="C52" s="36" t="s">
        <v>1251</v>
      </c>
      <c r="D52" s="27" t="str">
        <f>VLOOKUP(D$1,'TEN HOC PHAN HKI'!$D$81:$F$91,2,0)</f>
        <v xml:space="preserve">Anh văn chuyên ngành </v>
      </c>
      <c r="E52" s="27" t="str">
        <f>VLOOKUP(E$1,'TEN HOC PHAN HKI'!$D$81:$F$91,2,0)</f>
        <v xml:space="preserve">Tư tưởng Hồ Chí Minh </v>
      </c>
      <c r="F52" s="27" t="str">
        <f>VLOOKUP(F$1,'TEN HOC PHAN HKI'!$D$81:$F$91,2,0)</f>
        <v xml:space="preserve">Cấu trúc dữ liệu </v>
      </c>
      <c r="G52" s="27" t="str">
        <f>VLOOKUP(G$1,'TEN HOC PHAN HKI'!$D$81:$F$91,2,0)</f>
        <v xml:space="preserve">Lập trình quản lý </v>
      </c>
      <c r="H52" s="27" t="str">
        <f>VLOOKUP(H$1,'TEN HOC PHAN HKI'!$D$81:$F$91,2,0)</f>
        <v xml:space="preserve">Phân tích và thiết kế hệ thống </v>
      </c>
      <c r="I52" s="27" t="str">
        <f>VLOOKUP(I$1,'TEN HOC PHAN HKI'!$D$81:$F$91,2,0)</f>
        <v xml:space="preserve">Mạng máy tính và quản trị mạng </v>
      </c>
      <c r="J52" s="27">
        <f>VLOOKUP(J$1,'TEN HOC PHAN HKI'!$D$81:$F$91,2,0)</f>
        <v>0</v>
      </c>
      <c r="K52" s="28">
        <f>VLOOKUP(K$1,'TEN HOC PHAN HKI'!$D$81:$F$91,2,0)</f>
        <v>0</v>
      </c>
      <c r="L52" s="28">
        <f>VLOOKUP(L$1,'TEN HOC PHAN HKI'!$D$81:$F$91,2,0)</f>
        <v>0</v>
      </c>
      <c r="M52" s="28">
        <f>VLOOKUP(M$1,'TEN HOC PHAN HKI'!$D$81:$F$91,2,0)</f>
        <v>0</v>
      </c>
      <c r="N52" s="28">
        <f>VLOOKUP(N$1,'TEN HOC PHAN HKI'!$D$81:$F$91,2,0)</f>
        <v>0</v>
      </c>
    </row>
    <row r="53" spans="1:14">
      <c r="A53" s="578"/>
      <c r="B53" s="569"/>
      <c r="C53" s="20" t="s">
        <v>199</v>
      </c>
      <c r="D53" s="18">
        <f>VLOOKUP(D$1,'TEN HOC PHAN HKI'!$D$81:$F$91,3,0)</f>
        <v>2</v>
      </c>
      <c r="E53" s="18">
        <f>VLOOKUP(E$1,'TEN HOC PHAN HKI'!$D$81:$F$91,3,0)</f>
        <v>2</v>
      </c>
      <c r="F53" s="18">
        <f>VLOOKUP(F$1,'TEN HOC PHAN HKI'!$D$81:$F$91,3,0)</f>
        <v>4</v>
      </c>
      <c r="G53" s="18">
        <f>VLOOKUP(G$1,'TEN HOC PHAN HKI'!$D$81:$F$91,3,0)</f>
        <v>4</v>
      </c>
      <c r="H53" s="18">
        <f>VLOOKUP(H$1,'TEN HOC PHAN HKI'!$D$81:$F$91,3,0)</f>
        <v>3</v>
      </c>
      <c r="I53" s="18">
        <f>VLOOKUP(I$1,'TEN HOC PHAN HKI'!$D$81:$F$91,3,0)</f>
        <v>3</v>
      </c>
      <c r="J53" s="18">
        <f>VLOOKUP(J$1,'TEN HOC PHAN HKI'!$D$81:$F$91,3,0)</f>
        <v>0</v>
      </c>
      <c r="K53" s="29">
        <f>VLOOKUP(K$1,'TEN HOC PHAN HKI'!$D$81:$F$91,3,0)</f>
        <v>0</v>
      </c>
      <c r="L53" s="29">
        <f>VLOOKUP(L$1,'TEN HOC PHAN HKI'!$D$81:$F$91,3,0)</f>
        <v>0</v>
      </c>
      <c r="M53" s="29">
        <f>VLOOKUP(M$1,'TEN HOC PHAN HKI'!$D$81:$F$91,3,0)</f>
        <v>0</v>
      </c>
      <c r="N53" s="29">
        <f>VLOOKUP(N$1,'TEN HOC PHAN HKI'!$D$81:$F$91,3,0)</f>
        <v>0</v>
      </c>
    </row>
    <row r="54" spans="1:14" ht="38.25">
      <c r="A54" s="578">
        <v>27</v>
      </c>
      <c r="B54" s="569">
        <v>2</v>
      </c>
      <c r="C54" s="21" t="s">
        <v>1342</v>
      </c>
      <c r="D54" s="18" t="str">
        <f>VLOOKUP(D$1,'TEN HOC PHAN HKI'!$D$81:$F$91,2,0)</f>
        <v xml:space="preserve">Anh văn chuyên ngành </v>
      </c>
      <c r="E54" s="18" t="str">
        <f>VLOOKUP(E$1,'TEN HOC PHAN HKI'!$D$81:$F$91,2,0)</f>
        <v xml:space="preserve">Tư tưởng Hồ Chí Minh </v>
      </c>
      <c r="F54" s="18" t="str">
        <f>VLOOKUP(F$1,'TEN HOC PHAN HKI'!$D$81:$F$91,2,0)</f>
        <v xml:space="preserve">Cấu trúc dữ liệu </v>
      </c>
      <c r="G54" s="18" t="str">
        <f>VLOOKUP(G$1,'TEN HOC PHAN HKI'!$D$81:$F$91,2,0)</f>
        <v xml:space="preserve">Lập trình quản lý </v>
      </c>
      <c r="H54" s="18" t="str">
        <f>VLOOKUP(H$1,'TEN HOC PHAN HKI'!$D$81:$F$91,2,0)</f>
        <v xml:space="preserve">Phân tích và thiết kế hệ thống </v>
      </c>
      <c r="I54" s="18" t="str">
        <f>VLOOKUP(I$1,'TEN HOC PHAN HKI'!$D$81:$F$91,2,0)</f>
        <v xml:space="preserve">Mạng máy tính và quản trị mạng </v>
      </c>
      <c r="J54" s="18">
        <f>VLOOKUP(J$1,'TEN HOC PHAN HKI'!$D$81:$F$91,2,0)</f>
        <v>0</v>
      </c>
      <c r="K54" s="29">
        <f>VLOOKUP(K$1,'TEN HOC PHAN HKI'!$D$81:$F$91,2,0)</f>
        <v>0</v>
      </c>
      <c r="L54" s="29">
        <f>VLOOKUP(L$1,'TEN HOC PHAN HKI'!$D$81:$F$91,2,0)</f>
        <v>0</v>
      </c>
      <c r="M54" s="29">
        <f>VLOOKUP(M$1,'TEN HOC PHAN HKI'!$D$81:$F$91,2,0)</f>
        <v>0</v>
      </c>
      <c r="N54" s="29">
        <f>VLOOKUP(N$1,'TEN HOC PHAN HKI'!$D$81:$F$91,2,0)</f>
        <v>0</v>
      </c>
    </row>
    <row r="55" spans="1:14" ht="13.5" thickBot="1">
      <c r="A55" s="578"/>
      <c r="B55" s="570"/>
      <c r="C55" s="30" t="s">
        <v>200</v>
      </c>
      <c r="D55" s="31">
        <f>VLOOKUP(D$1,'TEN HOC PHAN HKI'!$D$81:$F$91,3,0)</f>
        <v>2</v>
      </c>
      <c r="E55" s="31">
        <f>VLOOKUP(E$1,'TEN HOC PHAN HKI'!$D$81:$F$91,3,0)</f>
        <v>2</v>
      </c>
      <c r="F55" s="31">
        <f>VLOOKUP(F$1,'TEN HOC PHAN HKI'!$D$81:$F$91,3,0)</f>
        <v>4</v>
      </c>
      <c r="G55" s="31">
        <f>VLOOKUP(G$1,'TEN HOC PHAN HKI'!$D$81:$F$91,3,0)</f>
        <v>4</v>
      </c>
      <c r="H55" s="31">
        <f>VLOOKUP(H$1,'TEN HOC PHAN HKI'!$D$81:$F$91,3,0)</f>
        <v>3</v>
      </c>
      <c r="I55" s="31">
        <f>VLOOKUP(I$1,'TEN HOC PHAN HKI'!$D$81:$F$91,3,0)</f>
        <v>3</v>
      </c>
      <c r="J55" s="31">
        <f>VLOOKUP(J$1,'TEN HOC PHAN HKI'!$D$81:$F$91,3,0)</f>
        <v>0</v>
      </c>
      <c r="K55" s="32">
        <f>VLOOKUP(K$1,'TEN HOC PHAN HKI'!$D$81:$F$91,3,0)</f>
        <v>0</v>
      </c>
      <c r="L55" s="32">
        <f>VLOOKUP(L$1,'TEN HOC PHAN HKI'!$D$81:$F$91,3,0)</f>
        <v>0</v>
      </c>
      <c r="M55" s="32">
        <f>VLOOKUP(M$1,'TEN HOC PHAN HKI'!$D$81:$F$91,3,0)</f>
        <v>0</v>
      </c>
      <c r="N55" s="32">
        <f>VLOOKUP(N$1,'TEN HOC PHAN HKI'!$D$81:$F$91,3,0)</f>
        <v>0</v>
      </c>
    </row>
  </sheetData>
  <sheetProtection password="E4CC" sheet="1" objects="1" scenarios="1"/>
  <mergeCells count="54">
    <mergeCell ref="A30:A31"/>
    <mergeCell ref="A32:A33"/>
    <mergeCell ref="A34:A35"/>
    <mergeCell ref="A52:A53"/>
    <mergeCell ref="A54:A55"/>
    <mergeCell ref="A44:A45"/>
    <mergeCell ref="A46:A47"/>
    <mergeCell ref="A48:A49"/>
    <mergeCell ref="A50:A51"/>
    <mergeCell ref="A20:A21"/>
    <mergeCell ref="A22:A23"/>
    <mergeCell ref="A24:A25"/>
    <mergeCell ref="A26:A27"/>
    <mergeCell ref="B54:B55"/>
    <mergeCell ref="B48:B49"/>
    <mergeCell ref="B50:B51"/>
    <mergeCell ref="B52:B53"/>
    <mergeCell ref="B32:B33"/>
    <mergeCell ref="B26:B27"/>
    <mergeCell ref="B28:B29"/>
    <mergeCell ref="A36:A37"/>
    <mergeCell ref="A38:A39"/>
    <mergeCell ref="A40:A41"/>
    <mergeCell ref="A42:A43"/>
    <mergeCell ref="A28:A29"/>
    <mergeCell ref="A2:A3"/>
    <mergeCell ref="A4:A5"/>
    <mergeCell ref="A6:A7"/>
    <mergeCell ref="A8:A9"/>
    <mergeCell ref="A10:A11"/>
    <mergeCell ref="A12:A13"/>
    <mergeCell ref="A14:A15"/>
    <mergeCell ref="A16:A17"/>
    <mergeCell ref="A18:A19"/>
    <mergeCell ref="B46:B47"/>
    <mergeCell ref="B18:B19"/>
    <mergeCell ref="B20:B21"/>
    <mergeCell ref="B22:B23"/>
    <mergeCell ref="B24:B25"/>
    <mergeCell ref="B36:B37"/>
    <mergeCell ref="B38:B39"/>
    <mergeCell ref="B40:B41"/>
    <mergeCell ref="B42:B43"/>
    <mergeCell ref="B44:B45"/>
    <mergeCell ref="B30:B31"/>
    <mergeCell ref="B34:B35"/>
    <mergeCell ref="B10:B11"/>
    <mergeCell ref="B12:B13"/>
    <mergeCell ref="B14:B15"/>
    <mergeCell ref="B16:B17"/>
    <mergeCell ref="B2:B3"/>
    <mergeCell ref="B4:B5"/>
    <mergeCell ref="B6:B7"/>
    <mergeCell ref="B8:B9"/>
  </mergeCells>
  <phoneticPr fontId="9" type="noConversion"/>
  <pageMargins left="0.75" right="0.75" top="1" bottom="1" header="0.5" footer="0.5"/>
  <pageSetup paperSize="9" orientation="portrait" r:id="rId1"/>
  <headerFooter alignWithMargins="0"/>
</worksheet>
</file>

<file path=xl/worksheets/sheet4.xml><?xml version="1.0" encoding="utf-8"?>
<worksheet xmlns="http://schemas.openxmlformats.org/spreadsheetml/2006/main" xmlns:r="http://schemas.openxmlformats.org/officeDocument/2006/relationships">
  <sheetPr codeName="Sheet6" filterMode="1"/>
  <dimension ref="A1:L1875"/>
  <sheetViews>
    <sheetView zoomScale="90" workbookViewId="0">
      <pane ySplit="1" topLeftCell="A125" activePane="bottomLeft" state="frozen"/>
      <selection pane="bottomLeft" activeCell="B159" activeCellId="34" sqref="B125 B126 B127 B128 B129 B130 B131 B132 B133 B134 B135 B136 B137 B138 B139 B140 B141 B142 B143 B144 B145 B146 B147 B148 B149 B150 B151 B152 B153 B154 B155 B156 B157 B158 B159"/>
    </sheetView>
  </sheetViews>
  <sheetFormatPr defaultRowHeight="15"/>
  <cols>
    <col min="1" max="1" width="5.140625" style="229" bestFit="1" customWidth="1"/>
    <col min="2" max="2" width="13.85546875" style="229" bestFit="1" customWidth="1"/>
    <col min="3" max="3" width="20.85546875" style="507" bestFit="1" customWidth="1"/>
    <col min="4" max="4" width="8.85546875" style="507" bestFit="1" customWidth="1"/>
    <col min="5" max="5" width="10.5703125" style="229" bestFit="1" customWidth="1"/>
    <col min="6" max="6" width="11.7109375" style="229" bestFit="1" customWidth="1"/>
    <col min="7" max="7" width="7" style="229" bestFit="1" customWidth="1"/>
    <col min="8" max="8" width="3.85546875" style="229" bestFit="1" customWidth="1"/>
    <col min="9" max="9" width="38.85546875" style="229" bestFit="1" customWidth="1"/>
    <col min="10" max="10" width="3" style="229" hidden="1" customWidth="1"/>
    <col min="11" max="11" width="23" style="229" bestFit="1" customWidth="1"/>
    <col min="12" max="12" width="3.85546875" style="229" bestFit="1" customWidth="1"/>
    <col min="13" max="16384" width="9.140625" style="229"/>
  </cols>
  <sheetData>
    <row r="1" spans="1:12" ht="15.75">
      <c r="A1" s="227" t="s">
        <v>1533</v>
      </c>
      <c r="B1" s="227" t="s">
        <v>1425</v>
      </c>
      <c r="C1" s="520" t="s">
        <v>1534</v>
      </c>
      <c r="D1" s="521" t="s">
        <v>1535</v>
      </c>
      <c r="E1" s="227" t="s">
        <v>1536</v>
      </c>
      <c r="F1" s="227" t="s">
        <v>1537</v>
      </c>
      <c r="G1" s="227" t="s">
        <v>1538</v>
      </c>
      <c r="H1" s="227" t="s">
        <v>1539</v>
      </c>
      <c r="I1" s="509" t="str">
        <f>"Khoá 13CĐ = "&amp;COUNTIF(J:J,"13")</f>
        <v>Khoá 13CĐ = 943</v>
      </c>
      <c r="K1" s="494" t="s">
        <v>603</v>
      </c>
      <c r="L1" s="228">
        <f>MAX(A:A)</f>
        <v>57</v>
      </c>
    </row>
    <row r="2" spans="1:12" ht="15.75" hidden="1">
      <c r="A2" s="495">
        <v>1</v>
      </c>
      <c r="B2" s="495" t="s">
        <v>1545</v>
      </c>
      <c r="C2" s="496" t="s">
        <v>1546</v>
      </c>
      <c r="D2" s="497" t="s">
        <v>1547</v>
      </c>
      <c r="E2" s="495" t="s">
        <v>1548</v>
      </c>
      <c r="F2" s="495" t="s">
        <v>1543</v>
      </c>
      <c r="G2" s="495"/>
      <c r="H2" s="495" t="s">
        <v>1544</v>
      </c>
      <c r="I2" s="510"/>
      <c r="J2" s="229" t="str">
        <f>LEFT(F2,2)</f>
        <v>13</v>
      </c>
    </row>
    <row r="3" spans="1:12" ht="15.75" hidden="1">
      <c r="A3" s="495">
        <v>2</v>
      </c>
      <c r="B3" s="495" t="s">
        <v>1552</v>
      </c>
      <c r="C3" s="496" t="s">
        <v>1553</v>
      </c>
      <c r="D3" s="497" t="s">
        <v>1554</v>
      </c>
      <c r="E3" s="495" t="s">
        <v>1555</v>
      </c>
      <c r="F3" s="495" t="s">
        <v>1543</v>
      </c>
      <c r="G3" s="495"/>
      <c r="H3" s="495" t="s">
        <v>1544</v>
      </c>
      <c r="I3" s="510"/>
      <c r="J3" s="229" t="str">
        <f t="shared" ref="J3:J66" si="0">LEFT(F3,2)</f>
        <v>13</v>
      </c>
    </row>
    <row r="4" spans="1:12" ht="15.75" hidden="1">
      <c r="A4" s="495">
        <v>3</v>
      </c>
      <c r="B4" s="495" t="s">
        <v>1556</v>
      </c>
      <c r="C4" s="496" t="s">
        <v>1557</v>
      </c>
      <c r="D4" s="497" t="s">
        <v>1558</v>
      </c>
      <c r="E4" s="495" t="s">
        <v>1559</v>
      </c>
      <c r="F4" s="495" t="s">
        <v>1543</v>
      </c>
      <c r="G4" s="495"/>
      <c r="H4" s="495" t="s">
        <v>1544</v>
      </c>
      <c r="I4" s="510"/>
      <c r="J4" s="229" t="str">
        <f t="shared" si="0"/>
        <v>13</v>
      </c>
    </row>
    <row r="5" spans="1:12" ht="15.75" hidden="1">
      <c r="A5" s="495">
        <v>4</v>
      </c>
      <c r="B5" s="495" t="s">
        <v>1560</v>
      </c>
      <c r="C5" s="496" t="s">
        <v>1561</v>
      </c>
      <c r="D5" s="497" t="s">
        <v>1562</v>
      </c>
      <c r="E5" s="495" t="s">
        <v>1563</v>
      </c>
      <c r="F5" s="495" t="s">
        <v>1543</v>
      </c>
      <c r="G5" s="495"/>
      <c r="H5" s="495" t="s">
        <v>1544</v>
      </c>
      <c r="I5" s="510"/>
      <c r="J5" s="229" t="str">
        <f t="shared" si="0"/>
        <v>13</v>
      </c>
    </row>
    <row r="6" spans="1:12" ht="15.75" hidden="1">
      <c r="A6" s="495">
        <v>5</v>
      </c>
      <c r="B6" s="495" t="s">
        <v>1564</v>
      </c>
      <c r="C6" s="496" t="s">
        <v>1565</v>
      </c>
      <c r="D6" s="497" t="s">
        <v>1566</v>
      </c>
      <c r="E6" s="495" t="s">
        <v>1567</v>
      </c>
      <c r="F6" s="495" t="s">
        <v>1543</v>
      </c>
      <c r="G6" s="495"/>
      <c r="H6" s="495" t="s">
        <v>851</v>
      </c>
      <c r="I6" s="510"/>
      <c r="J6" s="229" t="str">
        <f t="shared" si="0"/>
        <v>13</v>
      </c>
    </row>
    <row r="7" spans="1:12" ht="15.75" hidden="1">
      <c r="A7" s="495">
        <v>6</v>
      </c>
      <c r="B7" s="495" t="s">
        <v>1568</v>
      </c>
      <c r="C7" s="496" t="s">
        <v>1569</v>
      </c>
      <c r="D7" s="497" t="s">
        <v>1440</v>
      </c>
      <c r="E7" s="495" t="s">
        <v>1570</v>
      </c>
      <c r="F7" s="495" t="s">
        <v>1543</v>
      </c>
      <c r="G7" s="495"/>
      <c r="H7" s="495" t="s">
        <v>1544</v>
      </c>
      <c r="I7" s="511" t="s">
        <v>852</v>
      </c>
      <c r="J7" s="229" t="str">
        <f t="shared" si="0"/>
        <v>13</v>
      </c>
    </row>
    <row r="8" spans="1:12" ht="15.75" hidden="1">
      <c r="A8" s="495">
        <v>7</v>
      </c>
      <c r="B8" s="495" t="s">
        <v>1571</v>
      </c>
      <c r="C8" s="496" t="s">
        <v>1444</v>
      </c>
      <c r="D8" s="497" t="s">
        <v>1572</v>
      </c>
      <c r="E8" s="495" t="s">
        <v>1573</v>
      </c>
      <c r="F8" s="495" t="s">
        <v>1543</v>
      </c>
      <c r="G8" s="495"/>
      <c r="H8" s="495" t="s">
        <v>1544</v>
      </c>
      <c r="I8" s="510"/>
      <c r="J8" s="229" t="str">
        <f t="shared" si="0"/>
        <v>13</v>
      </c>
      <c r="K8" s="522"/>
    </row>
    <row r="9" spans="1:12" ht="15.75" hidden="1">
      <c r="A9" s="495">
        <v>8</v>
      </c>
      <c r="B9" s="495" t="s">
        <v>1574</v>
      </c>
      <c r="C9" s="496" t="s">
        <v>1575</v>
      </c>
      <c r="D9" s="497" t="s">
        <v>1576</v>
      </c>
      <c r="E9" s="495" t="s">
        <v>1577</v>
      </c>
      <c r="F9" s="495" t="s">
        <v>1543</v>
      </c>
      <c r="G9" s="495"/>
      <c r="H9" s="495" t="s">
        <v>1544</v>
      </c>
      <c r="I9" s="510"/>
      <c r="J9" s="229" t="str">
        <f t="shared" si="0"/>
        <v>13</v>
      </c>
    </row>
    <row r="10" spans="1:12" ht="15.75" hidden="1">
      <c r="A10" s="495">
        <v>9</v>
      </c>
      <c r="B10" s="495" t="s">
        <v>1578</v>
      </c>
      <c r="C10" s="496" t="s">
        <v>1579</v>
      </c>
      <c r="D10" s="497" t="s">
        <v>1580</v>
      </c>
      <c r="E10" s="495" t="s">
        <v>1581</v>
      </c>
      <c r="F10" s="495" t="s">
        <v>1543</v>
      </c>
      <c r="G10" s="495"/>
      <c r="H10" s="495" t="s">
        <v>1544</v>
      </c>
      <c r="I10" s="510"/>
      <c r="J10" s="229" t="str">
        <f t="shared" si="0"/>
        <v>13</v>
      </c>
    </row>
    <row r="11" spans="1:12" ht="15.75" hidden="1">
      <c r="A11" s="495">
        <v>10</v>
      </c>
      <c r="B11" s="495" t="s">
        <v>1583</v>
      </c>
      <c r="C11" s="496" t="s">
        <v>1584</v>
      </c>
      <c r="D11" s="497" t="s">
        <v>1585</v>
      </c>
      <c r="E11" s="495" t="s">
        <v>1586</v>
      </c>
      <c r="F11" s="495" t="s">
        <v>1543</v>
      </c>
      <c r="G11" s="495"/>
      <c r="H11" s="495" t="s">
        <v>1544</v>
      </c>
      <c r="I11" s="510"/>
      <c r="J11" s="229" t="str">
        <f t="shared" si="0"/>
        <v>13</v>
      </c>
    </row>
    <row r="12" spans="1:12" ht="15.75" hidden="1">
      <c r="A12" s="495">
        <v>11</v>
      </c>
      <c r="B12" s="495" t="s">
        <v>1589</v>
      </c>
      <c r="C12" s="496" t="s">
        <v>1616</v>
      </c>
      <c r="D12" s="497" t="s">
        <v>1617</v>
      </c>
      <c r="E12" s="495" t="s">
        <v>1618</v>
      </c>
      <c r="F12" s="495" t="s">
        <v>1543</v>
      </c>
      <c r="G12" s="495" t="s">
        <v>1619</v>
      </c>
      <c r="H12" s="495" t="s">
        <v>1544</v>
      </c>
      <c r="I12" s="512" t="s">
        <v>853</v>
      </c>
      <c r="J12" s="229" t="str">
        <f t="shared" si="0"/>
        <v>13</v>
      </c>
    </row>
    <row r="13" spans="1:12" ht="15.75" hidden="1">
      <c r="A13" s="495">
        <v>12</v>
      </c>
      <c r="B13" s="495" t="s">
        <v>1620</v>
      </c>
      <c r="C13" s="496" t="s">
        <v>1444</v>
      </c>
      <c r="D13" s="497" t="s">
        <v>1621</v>
      </c>
      <c r="E13" s="495" t="s">
        <v>1622</v>
      </c>
      <c r="F13" s="495" t="s">
        <v>1543</v>
      </c>
      <c r="G13" s="495"/>
      <c r="H13" s="495" t="s">
        <v>1544</v>
      </c>
      <c r="I13" s="510"/>
      <c r="J13" s="229" t="str">
        <f t="shared" si="0"/>
        <v>13</v>
      </c>
    </row>
    <row r="14" spans="1:12" ht="15.75" hidden="1">
      <c r="A14" s="495">
        <v>13</v>
      </c>
      <c r="B14" s="495" t="s">
        <v>1625</v>
      </c>
      <c r="C14" s="496" t="s">
        <v>1444</v>
      </c>
      <c r="D14" s="497" t="s">
        <v>1626</v>
      </c>
      <c r="E14" s="495" t="s">
        <v>1627</v>
      </c>
      <c r="F14" s="495" t="s">
        <v>1543</v>
      </c>
      <c r="G14" s="495"/>
      <c r="H14" s="495" t="s">
        <v>1544</v>
      </c>
      <c r="I14" s="510"/>
      <c r="J14" s="229" t="str">
        <f t="shared" si="0"/>
        <v>13</v>
      </c>
    </row>
    <row r="15" spans="1:12" ht="15.75" hidden="1">
      <c r="A15" s="495">
        <v>14</v>
      </c>
      <c r="B15" s="495" t="s">
        <v>1633</v>
      </c>
      <c r="C15" s="496" t="s">
        <v>1634</v>
      </c>
      <c r="D15" s="497" t="s">
        <v>1635</v>
      </c>
      <c r="E15" s="495" t="s">
        <v>1636</v>
      </c>
      <c r="F15" s="495" t="s">
        <v>1543</v>
      </c>
      <c r="G15" s="495"/>
      <c r="H15" s="495" t="s">
        <v>851</v>
      </c>
      <c r="I15" s="510"/>
      <c r="J15" s="229" t="str">
        <f t="shared" si="0"/>
        <v>13</v>
      </c>
    </row>
    <row r="16" spans="1:12" ht="15.75" hidden="1">
      <c r="A16" s="495">
        <v>15</v>
      </c>
      <c r="B16" s="495" t="s">
        <v>1638</v>
      </c>
      <c r="C16" s="496" t="s">
        <v>1639</v>
      </c>
      <c r="D16" s="497" t="s">
        <v>1640</v>
      </c>
      <c r="E16" s="495" t="s">
        <v>1641</v>
      </c>
      <c r="F16" s="495" t="s">
        <v>1543</v>
      </c>
      <c r="G16" s="495" t="s">
        <v>1642</v>
      </c>
      <c r="H16" s="495" t="s">
        <v>1544</v>
      </c>
      <c r="I16" s="510"/>
      <c r="J16" s="229" t="str">
        <f t="shared" si="0"/>
        <v>13</v>
      </c>
    </row>
    <row r="17" spans="1:10" ht="15.75" hidden="1">
      <c r="A17" s="495">
        <v>16</v>
      </c>
      <c r="B17" s="498" t="s">
        <v>1643</v>
      </c>
      <c r="C17" s="499" t="s">
        <v>1644</v>
      </c>
      <c r="D17" s="500" t="s">
        <v>1645</v>
      </c>
      <c r="E17" s="498" t="s">
        <v>1646</v>
      </c>
      <c r="F17" s="498" t="s">
        <v>1543</v>
      </c>
      <c r="G17" s="498"/>
      <c r="H17" s="498" t="s">
        <v>1544</v>
      </c>
      <c r="I17" s="515"/>
      <c r="J17" s="229" t="str">
        <f t="shared" si="0"/>
        <v>13</v>
      </c>
    </row>
    <row r="18" spans="1:10" ht="15.75" hidden="1">
      <c r="A18" s="495">
        <v>17</v>
      </c>
      <c r="B18" s="495" t="s">
        <v>1650</v>
      </c>
      <c r="C18" s="496" t="s">
        <v>1651</v>
      </c>
      <c r="D18" s="497" t="s">
        <v>1457</v>
      </c>
      <c r="E18" s="495" t="s">
        <v>1652</v>
      </c>
      <c r="F18" s="495" t="s">
        <v>1543</v>
      </c>
      <c r="G18" s="495"/>
      <c r="H18" s="495" t="s">
        <v>1544</v>
      </c>
      <c r="I18" s="510"/>
      <c r="J18" s="229" t="str">
        <f t="shared" si="0"/>
        <v>13</v>
      </c>
    </row>
    <row r="19" spans="1:10" ht="15.75" hidden="1">
      <c r="A19" s="495">
        <v>18</v>
      </c>
      <c r="B19" s="495" t="s">
        <v>1654</v>
      </c>
      <c r="C19" s="496" t="s">
        <v>1655</v>
      </c>
      <c r="D19" s="497" t="s">
        <v>1656</v>
      </c>
      <c r="E19" s="495" t="s">
        <v>1563</v>
      </c>
      <c r="F19" s="495" t="s">
        <v>1543</v>
      </c>
      <c r="G19" s="495"/>
      <c r="H19" s="495" t="s">
        <v>1544</v>
      </c>
      <c r="I19" s="510"/>
      <c r="J19" s="229" t="str">
        <f t="shared" si="0"/>
        <v>13</v>
      </c>
    </row>
    <row r="20" spans="1:10" ht="15.75" hidden="1">
      <c r="A20" s="495">
        <v>19</v>
      </c>
      <c r="B20" s="495" t="s">
        <v>1657</v>
      </c>
      <c r="C20" s="496" t="s">
        <v>1658</v>
      </c>
      <c r="D20" s="497" t="s">
        <v>1659</v>
      </c>
      <c r="E20" s="495" t="s">
        <v>1660</v>
      </c>
      <c r="F20" s="495" t="s">
        <v>1543</v>
      </c>
      <c r="G20" s="495"/>
      <c r="H20" s="495" t="s">
        <v>1544</v>
      </c>
      <c r="I20" s="512" t="s">
        <v>853</v>
      </c>
      <c r="J20" s="229" t="str">
        <f t="shared" si="0"/>
        <v>13</v>
      </c>
    </row>
    <row r="21" spans="1:10" ht="15.75" hidden="1">
      <c r="A21" s="495">
        <v>20</v>
      </c>
      <c r="B21" s="495" t="s">
        <v>1661</v>
      </c>
      <c r="C21" s="496" t="s">
        <v>1430</v>
      </c>
      <c r="D21" s="497" t="s">
        <v>1460</v>
      </c>
      <c r="E21" s="495" t="s">
        <v>1662</v>
      </c>
      <c r="F21" s="495" t="s">
        <v>1543</v>
      </c>
      <c r="G21" s="495" t="s">
        <v>1551</v>
      </c>
      <c r="H21" s="495" t="s">
        <v>1544</v>
      </c>
      <c r="I21" s="510"/>
      <c r="J21" s="229" t="str">
        <f t="shared" si="0"/>
        <v>13</v>
      </c>
    </row>
    <row r="22" spans="1:10" ht="15.75" hidden="1">
      <c r="A22" s="495">
        <v>21</v>
      </c>
      <c r="B22" s="495" t="s">
        <v>1663</v>
      </c>
      <c r="C22" s="496" t="s">
        <v>1664</v>
      </c>
      <c r="D22" s="497" t="s">
        <v>1665</v>
      </c>
      <c r="E22" s="495" t="s">
        <v>1666</v>
      </c>
      <c r="F22" s="495" t="s">
        <v>1543</v>
      </c>
      <c r="G22" s="495"/>
      <c r="H22" s="495" t="s">
        <v>1544</v>
      </c>
      <c r="I22" s="510"/>
      <c r="J22" s="229" t="str">
        <f t="shared" si="0"/>
        <v>13</v>
      </c>
    </row>
    <row r="23" spans="1:10" ht="15.75" hidden="1">
      <c r="A23" s="495">
        <v>22</v>
      </c>
      <c r="B23" s="495" t="s">
        <v>1667</v>
      </c>
      <c r="C23" s="496" t="s">
        <v>1668</v>
      </c>
      <c r="D23" s="497" t="s">
        <v>1669</v>
      </c>
      <c r="E23" s="495" t="s">
        <v>1670</v>
      </c>
      <c r="F23" s="495" t="s">
        <v>1543</v>
      </c>
      <c r="G23" s="495"/>
      <c r="H23" s="495" t="s">
        <v>1544</v>
      </c>
      <c r="I23" s="510"/>
      <c r="J23" s="229" t="str">
        <f t="shared" si="0"/>
        <v>13</v>
      </c>
    </row>
    <row r="24" spans="1:10" ht="15.75" hidden="1">
      <c r="A24" s="495">
        <v>23</v>
      </c>
      <c r="B24" s="495" t="s">
        <v>1671</v>
      </c>
      <c r="C24" s="496" t="s">
        <v>1428</v>
      </c>
      <c r="D24" s="497" t="s">
        <v>1672</v>
      </c>
      <c r="E24" s="495" t="s">
        <v>1673</v>
      </c>
      <c r="F24" s="495" t="s">
        <v>1543</v>
      </c>
      <c r="G24" s="495"/>
      <c r="H24" s="495" t="s">
        <v>1544</v>
      </c>
      <c r="I24" s="510"/>
      <c r="J24" s="229" t="str">
        <f t="shared" si="0"/>
        <v>13</v>
      </c>
    </row>
    <row r="25" spans="1:10" ht="15.75" hidden="1">
      <c r="A25" s="495">
        <v>24</v>
      </c>
      <c r="B25" s="495" t="s">
        <v>1675</v>
      </c>
      <c r="C25" s="496" t="s">
        <v>1676</v>
      </c>
      <c r="D25" s="497" t="s">
        <v>1677</v>
      </c>
      <c r="E25" s="495" t="s">
        <v>1678</v>
      </c>
      <c r="F25" s="495" t="s">
        <v>1543</v>
      </c>
      <c r="G25" s="495" t="s">
        <v>1630</v>
      </c>
      <c r="H25" s="495" t="s">
        <v>851</v>
      </c>
      <c r="I25" s="510"/>
      <c r="J25" s="229" t="str">
        <f t="shared" si="0"/>
        <v>13</v>
      </c>
    </row>
    <row r="26" spans="1:10" ht="15.75" hidden="1">
      <c r="A26" s="495">
        <v>25</v>
      </c>
      <c r="B26" s="495" t="s">
        <v>1679</v>
      </c>
      <c r="C26" s="496" t="s">
        <v>1680</v>
      </c>
      <c r="D26" s="497" t="s">
        <v>1681</v>
      </c>
      <c r="E26" s="495" t="s">
        <v>1682</v>
      </c>
      <c r="F26" s="495" t="s">
        <v>1543</v>
      </c>
      <c r="G26" s="495"/>
      <c r="H26" s="495" t="s">
        <v>1544</v>
      </c>
      <c r="I26" s="510"/>
      <c r="J26" s="229" t="str">
        <f t="shared" si="0"/>
        <v>13</v>
      </c>
    </row>
    <row r="27" spans="1:10" ht="15.75" hidden="1">
      <c r="A27" s="495">
        <v>26</v>
      </c>
      <c r="B27" s="495" t="s">
        <v>1683</v>
      </c>
      <c r="C27" s="496" t="s">
        <v>1432</v>
      </c>
      <c r="D27" s="497" t="s">
        <v>1684</v>
      </c>
      <c r="E27" s="495" t="s">
        <v>1685</v>
      </c>
      <c r="F27" s="495" t="s">
        <v>1543</v>
      </c>
      <c r="G27" s="495"/>
      <c r="H27" s="495" t="s">
        <v>1544</v>
      </c>
      <c r="I27" s="510"/>
      <c r="J27" s="229" t="str">
        <f t="shared" si="0"/>
        <v>13</v>
      </c>
    </row>
    <row r="28" spans="1:10" ht="15.75" hidden="1">
      <c r="A28" s="495">
        <v>27</v>
      </c>
      <c r="B28" s="495" t="s">
        <v>1686</v>
      </c>
      <c r="C28" s="496" t="s">
        <v>1687</v>
      </c>
      <c r="D28" s="497" t="s">
        <v>1688</v>
      </c>
      <c r="E28" s="495" t="s">
        <v>1689</v>
      </c>
      <c r="F28" s="495" t="s">
        <v>1543</v>
      </c>
      <c r="G28" s="495"/>
      <c r="H28" s="495" t="s">
        <v>1544</v>
      </c>
      <c r="I28" s="510"/>
      <c r="J28" s="229" t="str">
        <f t="shared" si="0"/>
        <v>13</v>
      </c>
    </row>
    <row r="29" spans="1:10" ht="15.75" hidden="1">
      <c r="A29" s="495">
        <v>28</v>
      </c>
      <c r="B29" s="495" t="s">
        <v>1690</v>
      </c>
      <c r="C29" s="496" t="s">
        <v>1430</v>
      </c>
      <c r="D29" s="497" t="s">
        <v>1691</v>
      </c>
      <c r="E29" s="495" t="s">
        <v>1692</v>
      </c>
      <c r="F29" s="495" t="s">
        <v>1543</v>
      </c>
      <c r="G29" s="495"/>
      <c r="H29" s="495" t="s">
        <v>1544</v>
      </c>
      <c r="I29" s="510"/>
      <c r="J29" s="229" t="str">
        <f t="shared" si="0"/>
        <v>13</v>
      </c>
    </row>
    <row r="30" spans="1:10" ht="15.75" hidden="1">
      <c r="A30" s="495">
        <v>29</v>
      </c>
      <c r="B30" s="495" t="s">
        <v>1693</v>
      </c>
      <c r="C30" s="496" t="s">
        <v>1480</v>
      </c>
      <c r="D30" s="497" t="s">
        <v>1694</v>
      </c>
      <c r="E30" s="495" t="s">
        <v>1695</v>
      </c>
      <c r="F30" s="495" t="s">
        <v>1543</v>
      </c>
      <c r="G30" s="495"/>
      <c r="H30" s="495" t="s">
        <v>1544</v>
      </c>
      <c r="I30" s="510"/>
      <c r="J30" s="229" t="str">
        <f t="shared" si="0"/>
        <v>13</v>
      </c>
    </row>
    <row r="31" spans="1:10" ht="15.75" hidden="1">
      <c r="A31" s="495">
        <v>30</v>
      </c>
      <c r="B31" s="495" t="s">
        <v>1700</v>
      </c>
      <c r="C31" s="496" t="s">
        <v>1701</v>
      </c>
      <c r="D31" s="497" t="s">
        <v>1702</v>
      </c>
      <c r="E31" s="495" t="s">
        <v>1703</v>
      </c>
      <c r="F31" s="495" t="s">
        <v>1543</v>
      </c>
      <c r="G31" s="495" t="s">
        <v>1704</v>
      </c>
      <c r="H31" s="495" t="s">
        <v>1544</v>
      </c>
      <c r="I31" s="510"/>
      <c r="J31" s="229" t="str">
        <f t="shared" si="0"/>
        <v>13</v>
      </c>
    </row>
    <row r="32" spans="1:10" ht="15.75" hidden="1">
      <c r="A32" s="495">
        <v>31</v>
      </c>
      <c r="B32" s="498" t="s">
        <v>1705</v>
      </c>
      <c r="C32" s="499" t="s">
        <v>1467</v>
      </c>
      <c r="D32" s="500" t="s">
        <v>1484</v>
      </c>
      <c r="E32" s="498" t="s">
        <v>1706</v>
      </c>
      <c r="F32" s="498" t="s">
        <v>1543</v>
      </c>
      <c r="G32" s="498"/>
      <c r="H32" s="498" t="s">
        <v>1544</v>
      </c>
      <c r="I32" s="515"/>
      <c r="J32" s="229" t="str">
        <f t="shared" si="0"/>
        <v>13</v>
      </c>
    </row>
    <row r="33" spans="1:10" ht="15.75" hidden="1">
      <c r="A33" s="495">
        <v>32</v>
      </c>
      <c r="B33" s="495" t="s">
        <v>1707</v>
      </c>
      <c r="C33" s="496" t="s">
        <v>1708</v>
      </c>
      <c r="D33" s="497" t="s">
        <v>1486</v>
      </c>
      <c r="E33" s="495" t="s">
        <v>1709</v>
      </c>
      <c r="F33" s="495" t="s">
        <v>1543</v>
      </c>
      <c r="G33" s="495"/>
      <c r="H33" s="495" t="s">
        <v>1544</v>
      </c>
      <c r="I33" s="510"/>
      <c r="J33" s="229" t="str">
        <f t="shared" si="0"/>
        <v>13</v>
      </c>
    </row>
    <row r="34" spans="1:10" ht="15.75" hidden="1">
      <c r="A34" s="495">
        <v>1</v>
      </c>
      <c r="B34" s="495" t="s">
        <v>1710</v>
      </c>
      <c r="C34" s="496" t="s">
        <v>1711</v>
      </c>
      <c r="D34" s="497" t="s">
        <v>1712</v>
      </c>
      <c r="E34" s="495" t="s">
        <v>1713</v>
      </c>
      <c r="F34" s="495" t="s">
        <v>1714</v>
      </c>
      <c r="G34" s="495"/>
      <c r="H34" s="495" t="s">
        <v>1544</v>
      </c>
      <c r="I34" s="510"/>
      <c r="J34" s="229" t="str">
        <f t="shared" si="0"/>
        <v>13</v>
      </c>
    </row>
    <row r="35" spans="1:10" ht="15.75" hidden="1">
      <c r="A35" s="495">
        <v>2</v>
      </c>
      <c r="B35" s="495" t="s">
        <v>1716</v>
      </c>
      <c r="C35" s="496" t="s">
        <v>1482</v>
      </c>
      <c r="D35" s="497" t="s">
        <v>1717</v>
      </c>
      <c r="E35" s="495" t="s">
        <v>1718</v>
      </c>
      <c r="F35" s="495" t="s">
        <v>1714</v>
      </c>
      <c r="G35" s="495" t="s">
        <v>1630</v>
      </c>
      <c r="H35" s="495" t="s">
        <v>1544</v>
      </c>
      <c r="I35" s="510"/>
      <c r="J35" s="229" t="str">
        <f t="shared" si="0"/>
        <v>13</v>
      </c>
    </row>
    <row r="36" spans="1:10" ht="15.75" hidden="1">
      <c r="A36" s="495">
        <v>3</v>
      </c>
      <c r="B36" s="495" t="s">
        <v>1721</v>
      </c>
      <c r="C36" s="496" t="s">
        <v>1722</v>
      </c>
      <c r="D36" s="497" t="s">
        <v>1438</v>
      </c>
      <c r="E36" s="495" t="s">
        <v>1723</v>
      </c>
      <c r="F36" s="495" t="s">
        <v>1714</v>
      </c>
      <c r="G36" s="495"/>
      <c r="H36" s="495" t="s">
        <v>851</v>
      </c>
      <c r="I36" s="510"/>
      <c r="J36" s="229" t="str">
        <f t="shared" si="0"/>
        <v>13</v>
      </c>
    </row>
    <row r="37" spans="1:10" ht="15.75" hidden="1">
      <c r="A37" s="495">
        <v>4</v>
      </c>
      <c r="B37" s="495" t="s">
        <v>1725</v>
      </c>
      <c r="C37" s="496" t="s">
        <v>1726</v>
      </c>
      <c r="D37" s="497" t="s">
        <v>1727</v>
      </c>
      <c r="E37" s="495" t="s">
        <v>1728</v>
      </c>
      <c r="F37" s="495" t="s">
        <v>1714</v>
      </c>
      <c r="G37" s="495" t="s">
        <v>1704</v>
      </c>
      <c r="H37" s="495" t="s">
        <v>1544</v>
      </c>
      <c r="I37" s="510"/>
      <c r="J37" s="229" t="str">
        <f t="shared" si="0"/>
        <v>13</v>
      </c>
    </row>
    <row r="38" spans="1:10" ht="15.75" hidden="1">
      <c r="A38" s="495">
        <v>5</v>
      </c>
      <c r="B38" s="495" t="s">
        <v>1729</v>
      </c>
      <c r="C38" s="496" t="s">
        <v>1730</v>
      </c>
      <c r="D38" s="497" t="s">
        <v>1731</v>
      </c>
      <c r="E38" s="495" t="s">
        <v>1732</v>
      </c>
      <c r="F38" s="495" t="s">
        <v>1714</v>
      </c>
      <c r="G38" s="495"/>
      <c r="H38" s="495" t="s">
        <v>1544</v>
      </c>
      <c r="I38" s="510"/>
      <c r="J38" s="229" t="str">
        <f t="shared" si="0"/>
        <v>13</v>
      </c>
    </row>
    <row r="39" spans="1:10" ht="15.75" hidden="1">
      <c r="A39" s="495">
        <v>6</v>
      </c>
      <c r="B39" s="495" t="s">
        <v>1735</v>
      </c>
      <c r="C39" s="496" t="s">
        <v>1736</v>
      </c>
      <c r="D39" s="497" t="s">
        <v>1580</v>
      </c>
      <c r="E39" s="495" t="s">
        <v>1737</v>
      </c>
      <c r="F39" s="495" t="s">
        <v>1714</v>
      </c>
      <c r="G39" s="495"/>
      <c r="H39" s="495" t="s">
        <v>1544</v>
      </c>
      <c r="I39" s="510"/>
      <c r="J39" s="229" t="str">
        <f t="shared" si="0"/>
        <v>13</v>
      </c>
    </row>
    <row r="40" spans="1:10" ht="15.75" hidden="1">
      <c r="A40" s="495">
        <v>7</v>
      </c>
      <c r="B40" s="495" t="s">
        <v>1738</v>
      </c>
      <c r="C40" s="496" t="s">
        <v>1680</v>
      </c>
      <c r="D40" s="497" t="s">
        <v>1739</v>
      </c>
      <c r="E40" s="495" t="s">
        <v>1740</v>
      </c>
      <c r="F40" s="495" t="s">
        <v>1714</v>
      </c>
      <c r="G40" s="495"/>
      <c r="H40" s="495" t="s">
        <v>1544</v>
      </c>
      <c r="I40" s="510"/>
      <c r="J40" s="229" t="str">
        <f t="shared" si="0"/>
        <v>13</v>
      </c>
    </row>
    <row r="41" spans="1:10" ht="15.75" hidden="1">
      <c r="A41" s="495">
        <v>8</v>
      </c>
      <c r="B41" s="495" t="s">
        <v>1741</v>
      </c>
      <c r="C41" s="496" t="s">
        <v>1742</v>
      </c>
      <c r="D41" s="497" t="s">
        <v>1585</v>
      </c>
      <c r="E41" s="495" t="s">
        <v>1652</v>
      </c>
      <c r="F41" s="495" t="s">
        <v>1714</v>
      </c>
      <c r="G41" s="495"/>
      <c r="H41" s="495" t="s">
        <v>1544</v>
      </c>
      <c r="I41" s="510"/>
      <c r="J41" s="229" t="str">
        <f t="shared" si="0"/>
        <v>13</v>
      </c>
    </row>
    <row r="42" spans="1:10" ht="15.75" hidden="1">
      <c r="A42" s="495">
        <v>9</v>
      </c>
      <c r="B42" s="495" t="s">
        <v>1744</v>
      </c>
      <c r="C42" s="496" t="s">
        <v>1730</v>
      </c>
      <c r="D42" s="497" t="s">
        <v>1745</v>
      </c>
      <c r="E42" s="495" t="s">
        <v>1746</v>
      </c>
      <c r="F42" s="495" t="s">
        <v>1714</v>
      </c>
      <c r="G42" s="495"/>
      <c r="H42" s="495" t="s">
        <v>1544</v>
      </c>
      <c r="I42" s="510"/>
      <c r="J42" s="229" t="str">
        <f t="shared" si="0"/>
        <v>13</v>
      </c>
    </row>
    <row r="43" spans="1:10" ht="15.75" hidden="1">
      <c r="A43" s="495">
        <v>10</v>
      </c>
      <c r="B43" s="495" t="s">
        <v>1747</v>
      </c>
      <c r="C43" s="496" t="s">
        <v>1742</v>
      </c>
      <c r="D43" s="497" t="s">
        <v>1748</v>
      </c>
      <c r="E43" s="495" t="s">
        <v>1749</v>
      </c>
      <c r="F43" s="495" t="s">
        <v>1714</v>
      </c>
      <c r="G43" s="495"/>
      <c r="H43" s="495" t="s">
        <v>1544</v>
      </c>
      <c r="I43" s="510"/>
      <c r="J43" s="229" t="str">
        <f t="shared" si="0"/>
        <v>13</v>
      </c>
    </row>
    <row r="44" spans="1:10" ht="15.75" hidden="1">
      <c r="A44" s="495">
        <v>11</v>
      </c>
      <c r="B44" s="495" t="s">
        <v>1750</v>
      </c>
      <c r="C44" s="496" t="s">
        <v>1751</v>
      </c>
      <c r="D44" s="497" t="s">
        <v>1752</v>
      </c>
      <c r="E44" s="495" t="s">
        <v>1753</v>
      </c>
      <c r="F44" s="495" t="s">
        <v>1714</v>
      </c>
      <c r="G44" s="495"/>
      <c r="H44" s="495" t="s">
        <v>1544</v>
      </c>
      <c r="I44" s="510"/>
      <c r="J44" s="229" t="str">
        <f t="shared" si="0"/>
        <v>13</v>
      </c>
    </row>
    <row r="45" spans="1:10" ht="15.75" hidden="1">
      <c r="A45" s="495">
        <v>12</v>
      </c>
      <c r="B45" s="495" t="s">
        <v>1754</v>
      </c>
      <c r="C45" s="496" t="s">
        <v>1546</v>
      </c>
      <c r="D45" s="497" t="s">
        <v>1635</v>
      </c>
      <c r="E45" s="495" t="s">
        <v>1755</v>
      </c>
      <c r="F45" s="495" t="s">
        <v>1714</v>
      </c>
      <c r="G45" s="495"/>
      <c r="H45" s="495" t="s">
        <v>1544</v>
      </c>
      <c r="I45" s="510"/>
      <c r="J45" s="229" t="str">
        <f t="shared" si="0"/>
        <v>13</v>
      </c>
    </row>
    <row r="46" spans="1:10" ht="15.75" hidden="1">
      <c r="A46" s="495">
        <v>13</v>
      </c>
      <c r="B46" s="495" t="s">
        <v>1756</v>
      </c>
      <c r="C46" s="496" t="s">
        <v>1757</v>
      </c>
      <c r="D46" s="497" t="s">
        <v>1454</v>
      </c>
      <c r="E46" s="495" t="s">
        <v>1758</v>
      </c>
      <c r="F46" s="495" t="s">
        <v>1714</v>
      </c>
      <c r="G46" s="495"/>
      <c r="H46" s="495" t="s">
        <v>1544</v>
      </c>
      <c r="I46" s="510"/>
      <c r="J46" s="229" t="str">
        <f t="shared" si="0"/>
        <v>13</v>
      </c>
    </row>
    <row r="47" spans="1:10" ht="15.75" hidden="1">
      <c r="A47" s="495">
        <v>14</v>
      </c>
      <c r="B47" s="495" t="s">
        <v>1759</v>
      </c>
      <c r="C47" s="499" t="s">
        <v>1760</v>
      </c>
      <c r="D47" s="500" t="s">
        <v>1640</v>
      </c>
      <c r="E47" s="498" t="s">
        <v>1555</v>
      </c>
      <c r="F47" s="495" t="s">
        <v>1714</v>
      </c>
      <c r="G47" s="498"/>
      <c r="H47" s="498" t="s">
        <v>1544</v>
      </c>
      <c r="I47" s="516" t="s">
        <v>604</v>
      </c>
      <c r="J47" s="229" t="str">
        <f t="shared" si="0"/>
        <v>13</v>
      </c>
    </row>
    <row r="48" spans="1:10" ht="15.75" hidden="1">
      <c r="A48" s="495">
        <v>15</v>
      </c>
      <c r="B48" s="495" t="s">
        <v>1761</v>
      </c>
      <c r="C48" s="496" t="s">
        <v>1762</v>
      </c>
      <c r="D48" s="497" t="s">
        <v>1763</v>
      </c>
      <c r="E48" s="495" t="s">
        <v>1764</v>
      </c>
      <c r="F48" s="495" t="s">
        <v>1714</v>
      </c>
      <c r="G48" s="495"/>
      <c r="H48" s="495" t="s">
        <v>1544</v>
      </c>
      <c r="I48" s="510"/>
      <c r="J48" s="229" t="str">
        <f t="shared" si="0"/>
        <v>13</v>
      </c>
    </row>
    <row r="49" spans="1:10" ht="15.75" hidden="1">
      <c r="A49" s="495">
        <v>16</v>
      </c>
      <c r="B49" s="495" t="s">
        <v>1765</v>
      </c>
      <c r="C49" s="496" t="s">
        <v>1766</v>
      </c>
      <c r="D49" s="497" t="s">
        <v>1649</v>
      </c>
      <c r="E49" s="495" t="s">
        <v>1767</v>
      </c>
      <c r="F49" s="495" t="s">
        <v>1714</v>
      </c>
      <c r="G49" s="495"/>
      <c r="H49" s="495" t="s">
        <v>1544</v>
      </c>
      <c r="I49" s="510"/>
      <c r="J49" s="229" t="str">
        <f t="shared" si="0"/>
        <v>13</v>
      </c>
    </row>
    <row r="50" spans="1:10" ht="15.75" hidden="1">
      <c r="A50" s="495">
        <v>17</v>
      </c>
      <c r="B50" s="495" t="s">
        <v>1770</v>
      </c>
      <c r="C50" s="496" t="s">
        <v>1771</v>
      </c>
      <c r="D50" s="497" t="s">
        <v>1653</v>
      </c>
      <c r="E50" s="495" t="s">
        <v>1772</v>
      </c>
      <c r="F50" s="495" t="s">
        <v>1714</v>
      </c>
      <c r="G50" s="495"/>
      <c r="H50" s="495" t="s">
        <v>851</v>
      </c>
      <c r="I50" s="510"/>
      <c r="J50" s="229" t="str">
        <f t="shared" si="0"/>
        <v>13</v>
      </c>
    </row>
    <row r="51" spans="1:10" ht="15.75" hidden="1">
      <c r="A51" s="495">
        <v>18</v>
      </c>
      <c r="B51" s="495" t="s">
        <v>1773</v>
      </c>
      <c r="C51" s="496" t="s">
        <v>1774</v>
      </c>
      <c r="D51" s="497" t="s">
        <v>1653</v>
      </c>
      <c r="E51" s="495" t="s">
        <v>1775</v>
      </c>
      <c r="F51" s="495" t="s">
        <v>1714</v>
      </c>
      <c r="G51" s="495" t="s">
        <v>1642</v>
      </c>
      <c r="H51" s="495" t="s">
        <v>851</v>
      </c>
      <c r="I51" s="495"/>
      <c r="J51" s="229" t="str">
        <f t="shared" si="0"/>
        <v>13</v>
      </c>
    </row>
    <row r="52" spans="1:10" ht="15.75" hidden="1">
      <c r="A52" s="495">
        <v>19</v>
      </c>
      <c r="B52" s="495" t="s">
        <v>1776</v>
      </c>
      <c r="C52" s="496" t="s">
        <v>1777</v>
      </c>
      <c r="D52" s="497" t="s">
        <v>1659</v>
      </c>
      <c r="E52" s="495" t="s">
        <v>1713</v>
      </c>
      <c r="F52" s="495" t="s">
        <v>1714</v>
      </c>
      <c r="G52" s="495"/>
      <c r="H52" s="495" t="s">
        <v>1544</v>
      </c>
      <c r="I52" s="510"/>
      <c r="J52" s="229" t="str">
        <f t="shared" si="0"/>
        <v>13</v>
      </c>
    </row>
    <row r="53" spans="1:10" ht="15.75" hidden="1">
      <c r="A53" s="495">
        <v>20</v>
      </c>
      <c r="B53" s="495" t="s">
        <v>1778</v>
      </c>
      <c r="C53" s="496" t="s">
        <v>1779</v>
      </c>
      <c r="D53" s="497" t="s">
        <v>1460</v>
      </c>
      <c r="E53" s="495" t="s">
        <v>1780</v>
      </c>
      <c r="F53" s="495" t="s">
        <v>1714</v>
      </c>
      <c r="G53" s="495"/>
      <c r="H53" s="495" t="s">
        <v>1544</v>
      </c>
      <c r="I53" s="510"/>
      <c r="J53" s="229" t="str">
        <f t="shared" si="0"/>
        <v>13</v>
      </c>
    </row>
    <row r="54" spans="1:10" ht="15.75" hidden="1">
      <c r="A54" s="495">
        <v>21</v>
      </c>
      <c r="B54" s="495" t="s">
        <v>1781</v>
      </c>
      <c r="C54" s="496" t="s">
        <v>1477</v>
      </c>
      <c r="D54" s="497" t="s">
        <v>1782</v>
      </c>
      <c r="E54" s="495" t="s">
        <v>1783</v>
      </c>
      <c r="F54" s="495" t="s">
        <v>1714</v>
      </c>
      <c r="G54" s="495"/>
      <c r="H54" s="495" t="s">
        <v>1544</v>
      </c>
      <c r="I54" s="510"/>
      <c r="J54" s="229" t="str">
        <f t="shared" si="0"/>
        <v>13</v>
      </c>
    </row>
    <row r="55" spans="1:10" ht="15.75" hidden="1">
      <c r="A55" s="495">
        <v>22</v>
      </c>
      <c r="B55" s="495" t="s">
        <v>1784</v>
      </c>
      <c r="C55" s="496" t="s">
        <v>1785</v>
      </c>
      <c r="D55" s="497" t="s">
        <v>1786</v>
      </c>
      <c r="E55" s="495" t="s">
        <v>1787</v>
      </c>
      <c r="F55" s="495" t="s">
        <v>1714</v>
      </c>
      <c r="G55" s="495"/>
      <c r="H55" s="495" t="s">
        <v>1544</v>
      </c>
      <c r="I55" s="510"/>
      <c r="J55" s="229" t="str">
        <f t="shared" si="0"/>
        <v>13</v>
      </c>
    </row>
    <row r="56" spans="1:10" ht="15.75" hidden="1">
      <c r="A56" s="495">
        <v>23</v>
      </c>
      <c r="B56" s="495" t="s">
        <v>1791</v>
      </c>
      <c r="C56" s="496" t="s">
        <v>1441</v>
      </c>
      <c r="D56" s="497" t="s">
        <v>1465</v>
      </c>
      <c r="E56" s="495" t="s">
        <v>1792</v>
      </c>
      <c r="F56" s="495" t="s">
        <v>1714</v>
      </c>
      <c r="G56" s="495"/>
      <c r="H56" s="495" t="s">
        <v>1544</v>
      </c>
      <c r="I56" s="510"/>
      <c r="J56" s="229" t="str">
        <f t="shared" si="0"/>
        <v>13</v>
      </c>
    </row>
    <row r="57" spans="1:10" ht="15.75" hidden="1">
      <c r="A57" s="495">
        <v>24</v>
      </c>
      <c r="B57" s="495" t="s">
        <v>1793</v>
      </c>
      <c r="C57" s="496" t="s">
        <v>1546</v>
      </c>
      <c r="D57" s="497" t="s">
        <v>1466</v>
      </c>
      <c r="E57" s="495" t="s">
        <v>1794</v>
      </c>
      <c r="F57" s="495" t="s">
        <v>1714</v>
      </c>
      <c r="G57" s="495"/>
      <c r="H57" s="495" t="s">
        <v>1544</v>
      </c>
      <c r="I57" s="510"/>
      <c r="J57" s="229" t="str">
        <f t="shared" si="0"/>
        <v>13</v>
      </c>
    </row>
    <row r="58" spans="1:10" ht="15.75" hidden="1">
      <c r="A58" s="495">
        <v>25</v>
      </c>
      <c r="B58" s="495" t="s">
        <v>1795</v>
      </c>
      <c r="C58" s="496" t="s">
        <v>1430</v>
      </c>
      <c r="D58" s="497" t="s">
        <v>1468</v>
      </c>
      <c r="E58" s="495" t="s">
        <v>1796</v>
      </c>
      <c r="F58" s="495" t="s">
        <v>1714</v>
      </c>
      <c r="G58" s="495"/>
      <c r="H58" s="495" t="s">
        <v>1544</v>
      </c>
      <c r="I58" s="510"/>
      <c r="J58" s="229" t="str">
        <f t="shared" si="0"/>
        <v>13</v>
      </c>
    </row>
    <row r="59" spans="1:10" ht="15.75" hidden="1">
      <c r="A59" s="495">
        <v>26</v>
      </c>
      <c r="B59" s="495" t="s">
        <v>1797</v>
      </c>
      <c r="C59" s="496" t="s">
        <v>1428</v>
      </c>
      <c r="D59" s="497" t="s">
        <v>1677</v>
      </c>
      <c r="E59" s="495" t="s">
        <v>1798</v>
      </c>
      <c r="F59" s="495" t="s">
        <v>1714</v>
      </c>
      <c r="G59" s="495"/>
      <c r="H59" s="495" t="s">
        <v>1544</v>
      </c>
      <c r="I59" s="510"/>
      <c r="J59" s="229" t="str">
        <f t="shared" si="0"/>
        <v>13</v>
      </c>
    </row>
    <row r="60" spans="1:10" ht="15.75" hidden="1">
      <c r="A60" s="495">
        <v>27</v>
      </c>
      <c r="B60" s="495" t="s">
        <v>1799</v>
      </c>
      <c r="C60" s="496" t="s">
        <v>1800</v>
      </c>
      <c r="D60" s="497" t="s">
        <v>1681</v>
      </c>
      <c r="E60" s="495" t="s">
        <v>1801</v>
      </c>
      <c r="F60" s="495" t="s">
        <v>1714</v>
      </c>
      <c r="G60" s="495"/>
      <c r="H60" s="495" t="s">
        <v>1544</v>
      </c>
      <c r="I60" s="510"/>
      <c r="J60" s="229" t="str">
        <f t="shared" si="0"/>
        <v>13</v>
      </c>
    </row>
    <row r="61" spans="1:10" ht="15.75" hidden="1">
      <c r="A61" s="495">
        <v>28</v>
      </c>
      <c r="B61" s="495" t="s">
        <v>1803</v>
      </c>
      <c r="C61" s="496" t="s">
        <v>1730</v>
      </c>
      <c r="D61" s="497" t="s">
        <v>1474</v>
      </c>
      <c r="E61" s="495" t="s">
        <v>1804</v>
      </c>
      <c r="F61" s="495" t="s">
        <v>1714</v>
      </c>
      <c r="G61" s="495"/>
      <c r="H61" s="495" t="s">
        <v>851</v>
      </c>
      <c r="I61" s="513" t="s">
        <v>854</v>
      </c>
      <c r="J61" s="229" t="str">
        <f t="shared" si="0"/>
        <v>13</v>
      </c>
    </row>
    <row r="62" spans="1:10" ht="15.75" hidden="1">
      <c r="A62" s="495">
        <v>29</v>
      </c>
      <c r="B62" s="495" t="s">
        <v>1805</v>
      </c>
      <c r="C62" s="496" t="s">
        <v>1806</v>
      </c>
      <c r="D62" s="497" t="s">
        <v>1807</v>
      </c>
      <c r="E62" s="495" t="s">
        <v>1808</v>
      </c>
      <c r="F62" s="495" t="s">
        <v>1714</v>
      </c>
      <c r="G62" s="495"/>
      <c r="H62" s="495" t="s">
        <v>1544</v>
      </c>
      <c r="I62" s="510"/>
      <c r="J62" s="229" t="str">
        <f t="shared" si="0"/>
        <v>13</v>
      </c>
    </row>
    <row r="63" spans="1:10" ht="15.75" hidden="1">
      <c r="A63" s="495">
        <v>30</v>
      </c>
      <c r="B63" s="495" t="s">
        <v>1809</v>
      </c>
      <c r="C63" s="496" t="s">
        <v>1810</v>
      </c>
      <c r="D63" s="497" t="s">
        <v>1811</v>
      </c>
      <c r="E63" s="495" t="s">
        <v>1622</v>
      </c>
      <c r="F63" s="495" t="s">
        <v>1714</v>
      </c>
      <c r="G63" s="495"/>
      <c r="H63" s="495" t="s">
        <v>1544</v>
      </c>
      <c r="I63" s="510"/>
      <c r="J63" s="229" t="str">
        <f t="shared" si="0"/>
        <v>13</v>
      </c>
    </row>
    <row r="64" spans="1:10" ht="15.75" hidden="1">
      <c r="A64" s="495">
        <v>31</v>
      </c>
      <c r="B64" s="495" t="s">
        <v>1814</v>
      </c>
      <c r="C64" s="496" t="s">
        <v>1439</v>
      </c>
      <c r="D64" s="497" t="s">
        <v>1815</v>
      </c>
      <c r="E64" s="495" t="s">
        <v>1816</v>
      </c>
      <c r="F64" s="495" t="s">
        <v>1714</v>
      </c>
      <c r="G64" s="495"/>
      <c r="H64" s="495" t="s">
        <v>1544</v>
      </c>
      <c r="I64" s="510"/>
      <c r="J64" s="229" t="str">
        <f t="shared" si="0"/>
        <v>13</v>
      </c>
    </row>
    <row r="65" spans="1:10" ht="15.75" hidden="1">
      <c r="A65" s="495">
        <v>32</v>
      </c>
      <c r="B65" s="495" t="s">
        <v>1817</v>
      </c>
      <c r="C65" s="496" t="s">
        <v>1655</v>
      </c>
      <c r="D65" s="497" t="s">
        <v>1481</v>
      </c>
      <c r="E65" s="495" t="s">
        <v>1685</v>
      </c>
      <c r="F65" s="495" t="s">
        <v>1714</v>
      </c>
      <c r="G65" s="495"/>
      <c r="H65" s="495" t="s">
        <v>851</v>
      </c>
      <c r="I65" s="510"/>
      <c r="J65" s="229" t="str">
        <f t="shared" si="0"/>
        <v>13</v>
      </c>
    </row>
    <row r="66" spans="1:10" ht="15.75" hidden="1">
      <c r="A66" s="495">
        <v>33</v>
      </c>
      <c r="B66" s="495" t="s">
        <v>1820</v>
      </c>
      <c r="C66" s="496" t="s">
        <v>1821</v>
      </c>
      <c r="D66" s="497" t="s">
        <v>1822</v>
      </c>
      <c r="E66" s="495" t="s">
        <v>1823</v>
      </c>
      <c r="F66" s="495" t="s">
        <v>1714</v>
      </c>
      <c r="G66" s="495"/>
      <c r="H66" s="495" t="s">
        <v>1544</v>
      </c>
      <c r="I66" s="510"/>
      <c r="J66" s="229" t="str">
        <f t="shared" si="0"/>
        <v>13</v>
      </c>
    </row>
    <row r="67" spans="1:10" ht="15.75" hidden="1">
      <c r="A67" s="495">
        <v>34</v>
      </c>
      <c r="B67" s="495" t="s">
        <v>1824</v>
      </c>
      <c r="C67" s="496" t="s">
        <v>1472</v>
      </c>
      <c r="D67" s="497" t="s">
        <v>1825</v>
      </c>
      <c r="E67" s="495" t="s">
        <v>1826</v>
      </c>
      <c r="F67" s="495" t="s">
        <v>1714</v>
      </c>
      <c r="G67" s="495"/>
      <c r="H67" s="495" t="s">
        <v>1544</v>
      </c>
      <c r="I67" s="510"/>
      <c r="J67" s="229" t="str">
        <f t="shared" ref="J67:J130" si="1">LEFT(F67,2)</f>
        <v>13</v>
      </c>
    </row>
    <row r="68" spans="1:10" ht="15.75" hidden="1">
      <c r="A68" s="495">
        <v>1</v>
      </c>
      <c r="B68" s="495" t="s">
        <v>1828</v>
      </c>
      <c r="C68" s="496" t="s">
        <v>1469</v>
      </c>
      <c r="D68" s="497" t="s">
        <v>1434</v>
      </c>
      <c r="E68" s="495" t="s">
        <v>1829</v>
      </c>
      <c r="F68" s="495" t="s">
        <v>1827</v>
      </c>
      <c r="G68" s="495"/>
      <c r="H68" s="495" t="s">
        <v>851</v>
      </c>
      <c r="I68" s="510"/>
      <c r="J68" s="229" t="str">
        <f t="shared" si="1"/>
        <v>13</v>
      </c>
    </row>
    <row r="69" spans="1:10" ht="15.75" hidden="1">
      <c r="A69" s="495">
        <v>2</v>
      </c>
      <c r="B69" s="495" t="s">
        <v>1830</v>
      </c>
      <c r="C69" s="496" t="s">
        <v>1432</v>
      </c>
      <c r="D69" s="497" t="s">
        <v>1717</v>
      </c>
      <c r="E69" s="495" t="s">
        <v>1831</v>
      </c>
      <c r="F69" s="495" t="s">
        <v>1827</v>
      </c>
      <c r="G69" s="495"/>
      <c r="H69" s="495" t="s">
        <v>1544</v>
      </c>
      <c r="I69" s="510"/>
      <c r="J69" s="229" t="str">
        <f t="shared" si="1"/>
        <v>13</v>
      </c>
    </row>
    <row r="70" spans="1:10" ht="15.75" hidden="1">
      <c r="A70" s="495">
        <v>3</v>
      </c>
      <c r="B70" s="495" t="s">
        <v>1832</v>
      </c>
      <c r="C70" s="496" t="s">
        <v>1833</v>
      </c>
      <c r="D70" s="497" t="s">
        <v>1720</v>
      </c>
      <c r="E70" s="495" t="s">
        <v>1709</v>
      </c>
      <c r="F70" s="495" t="s">
        <v>1827</v>
      </c>
      <c r="G70" s="495"/>
      <c r="H70" s="495" t="s">
        <v>1544</v>
      </c>
      <c r="I70" s="515"/>
      <c r="J70" s="229" t="str">
        <f t="shared" si="1"/>
        <v>13</v>
      </c>
    </row>
    <row r="71" spans="1:10" ht="15.75" hidden="1">
      <c r="A71" s="495">
        <v>4</v>
      </c>
      <c r="B71" s="495" t="s">
        <v>1834</v>
      </c>
      <c r="C71" s="496" t="s">
        <v>1835</v>
      </c>
      <c r="D71" s="497" t="s">
        <v>1440</v>
      </c>
      <c r="E71" s="495" t="s">
        <v>1836</v>
      </c>
      <c r="F71" s="495" t="s">
        <v>1827</v>
      </c>
      <c r="G71" s="495"/>
      <c r="H71" s="495" t="s">
        <v>851</v>
      </c>
      <c r="I71" s="510"/>
      <c r="J71" s="229" t="str">
        <f t="shared" si="1"/>
        <v>13</v>
      </c>
    </row>
    <row r="72" spans="1:10" ht="15.75" hidden="1">
      <c r="A72" s="495">
        <v>5</v>
      </c>
      <c r="B72" s="495" t="s">
        <v>1837</v>
      </c>
      <c r="C72" s="496" t="s">
        <v>1838</v>
      </c>
      <c r="D72" s="497" t="s">
        <v>1839</v>
      </c>
      <c r="E72" s="495" t="s">
        <v>1673</v>
      </c>
      <c r="F72" s="495" t="s">
        <v>1827</v>
      </c>
      <c r="G72" s="495"/>
      <c r="H72" s="495" t="s">
        <v>851</v>
      </c>
      <c r="I72" s="510"/>
      <c r="J72" s="229" t="str">
        <f t="shared" si="1"/>
        <v>13</v>
      </c>
    </row>
    <row r="73" spans="1:10" ht="15.75" hidden="1">
      <c r="A73" s="495">
        <v>6</v>
      </c>
      <c r="B73" s="495" t="s">
        <v>1843</v>
      </c>
      <c r="C73" s="496" t="s">
        <v>1430</v>
      </c>
      <c r="D73" s="497" t="s">
        <v>1844</v>
      </c>
      <c r="E73" s="495" t="s">
        <v>1845</v>
      </c>
      <c r="F73" s="495" t="s">
        <v>1827</v>
      </c>
      <c r="G73" s="495"/>
      <c r="H73" s="495" t="s">
        <v>1544</v>
      </c>
      <c r="I73" s="510"/>
      <c r="J73" s="229" t="str">
        <f t="shared" si="1"/>
        <v>13</v>
      </c>
    </row>
    <row r="74" spans="1:10" ht="15.75" hidden="1">
      <c r="A74" s="495">
        <v>7</v>
      </c>
      <c r="B74" s="495" t="s">
        <v>1847</v>
      </c>
      <c r="C74" s="496" t="s">
        <v>1788</v>
      </c>
      <c r="D74" s="497" t="s">
        <v>1580</v>
      </c>
      <c r="E74" s="495" t="s">
        <v>1848</v>
      </c>
      <c r="F74" s="495" t="s">
        <v>1827</v>
      </c>
      <c r="G74" s="495"/>
      <c r="H74" s="495" t="s">
        <v>1544</v>
      </c>
      <c r="I74" s="513" t="s">
        <v>855</v>
      </c>
      <c r="J74" s="229" t="str">
        <f t="shared" si="1"/>
        <v>13</v>
      </c>
    </row>
    <row r="75" spans="1:10" ht="15.75" hidden="1">
      <c r="A75" s="495">
        <v>8</v>
      </c>
      <c r="B75" s="495" t="s">
        <v>1852</v>
      </c>
      <c r="C75" s="496" t="s">
        <v>1853</v>
      </c>
      <c r="D75" s="497" t="s">
        <v>1587</v>
      </c>
      <c r="E75" s="495" t="s">
        <v>1854</v>
      </c>
      <c r="F75" s="495" t="s">
        <v>1827</v>
      </c>
      <c r="G75" s="495"/>
      <c r="H75" s="495" t="s">
        <v>1544</v>
      </c>
      <c r="I75" s="510"/>
      <c r="J75" s="229" t="str">
        <f t="shared" si="1"/>
        <v>13</v>
      </c>
    </row>
    <row r="76" spans="1:10" ht="15.75" hidden="1">
      <c r="A76" s="495">
        <v>9</v>
      </c>
      <c r="B76" s="495" t="s">
        <v>1855</v>
      </c>
      <c r="C76" s="496" t="s">
        <v>1856</v>
      </c>
      <c r="D76" s="497" t="s">
        <v>1447</v>
      </c>
      <c r="E76" s="495" t="s">
        <v>1857</v>
      </c>
      <c r="F76" s="495" t="s">
        <v>1827</v>
      </c>
      <c r="G76" s="495"/>
      <c r="H76" s="495" t="s">
        <v>1544</v>
      </c>
      <c r="I76" s="510"/>
      <c r="J76" s="229" t="str">
        <f t="shared" si="1"/>
        <v>13</v>
      </c>
    </row>
    <row r="77" spans="1:10" ht="15.75" hidden="1">
      <c r="A77" s="495">
        <v>10</v>
      </c>
      <c r="B77" s="495" t="s">
        <v>1863</v>
      </c>
      <c r="C77" s="496" t="s">
        <v>1428</v>
      </c>
      <c r="D77" s="497" t="s">
        <v>1631</v>
      </c>
      <c r="E77" s="495" t="s">
        <v>1864</v>
      </c>
      <c r="F77" s="495" t="s">
        <v>1827</v>
      </c>
      <c r="G77" s="495" t="s">
        <v>1704</v>
      </c>
      <c r="H77" s="495" t="s">
        <v>1544</v>
      </c>
      <c r="I77" s="510"/>
      <c r="J77" s="229" t="str">
        <f t="shared" si="1"/>
        <v>13</v>
      </c>
    </row>
    <row r="78" spans="1:10" ht="15.75" hidden="1">
      <c r="A78" s="495">
        <v>11</v>
      </c>
      <c r="B78" s="495" t="s">
        <v>1865</v>
      </c>
      <c r="C78" s="496" t="s">
        <v>1866</v>
      </c>
      <c r="D78" s="497" t="s">
        <v>1867</v>
      </c>
      <c r="E78" s="495" t="s">
        <v>1715</v>
      </c>
      <c r="F78" s="495" t="s">
        <v>1827</v>
      </c>
      <c r="G78" s="495"/>
      <c r="H78" s="495" t="s">
        <v>1544</v>
      </c>
      <c r="I78" s="510"/>
      <c r="J78" s="229" t="str">
        <f t="shared" si="1"/>
        <v>13</v>
      </c>
    </row>
    <row r="79" spans="1:10" ht="15.75" hidden="1">
      <c r="A79" s="495">
        <v>12</v>
      </c>
      <c r="B79" s="495" t="s">
        <v>1871</v>
      </c>
      <c r="C79" s="496" t="s">
        <v>1872</v>
      </c>
      <c r="D79" s="497" t="s">
        <v>1653</v>
      </c>
      <c r="E79" s="495" t="s">
        <v>1624</v>
      </c>
      <c r="F79" s="495" t="s">
        <v>1827</v>
      </c>
      <c r="G79" s="495"/>
      <c r="H79" s="495" t="s">
        <v>1544</v>
      </c>
      <c r="I79" s="510"/>
      <c r="J79" s="229" t="str">
        <f t="shared" si="1"/>
        <v>13</v>
      </c>
    </row>
    <row r="80" spans="1:10" ht="15.75" hidden="1">
      <c r="A80" s="495">
        <v>13</v>
      </c>
      <c r="B80" s="495" t="s">
        <v>1873</v>
      </c>
      <c r="C80" s="496" t="s">
        <v>1874</v>
      </c>
      <c r="D80" s="497" t="s">
        <v>1659</v>
      </c>
      <c r="E80" s="495" t="s">
        <v>1875</v>
      </c>
      <c r="F80" s="495" t="s">
        <v>1827</v>
      </c>
      <c r="G80" s="495"/>
      <c r="H80" s="495" t="s">
        <v>1544</v>
      </c>
      <c r="I80" s="513" t="s">
        <v>605</v>
      </c>
      <c r="J80" s="229" t="str">
        <f t="shared" si="1"/>
        <v>13</v>
      </c>
    </row>
    <row r="81" spans="1:10" ht="15.75" hidden="1">
      <c r="A81" s="495">
        <v>14</v>
      </c>
      <c r="B81" s="495" t="s">
        <v>1878</v>
      </c>
      <c r="C81" s="496" t="s">
        <v>1879</v>
      </c>
      <c r="D81" s="497" t="s">
        <v>1782</v>
      </c>
      <c r="E81" s="495" t="s">
        <v>1880</v>
      </c>
      <c r="F81" s="495" t="s">
        <v>1827</v>
      </c>
      <c r="G81" s="495"/>
      <c r="H81" s="495" t="s">
        <v>1544</v>
      </c>
      <c r="I81" s="516" t="s">
        <v>856</v>
      </c>
      <c r="J81" s="229" t="str">
        <f t="shared" si="1"/>
        <v>13</v>
      </c>
    </row>
    <row r="82" spans="1:10" ht="15.75" hidden="1">
      <c r="A82" s="495">
        <v>15</v>
      </c>
      <c r="B82" s="495" t="s">
        <v>1881</v>
      </c>
      <c r="C82" s="496" t="s">
        <v>1882</v>
      </c>
      <c r="D82" s="497" t="s">
        <v>1672</v>
      </c>
      <c r="E82" s="495" t="s">
        <v>1883</v>
      </c>
      <c r="F82" s="495" t="s">
        <v>1827</v>
      </c>
      <c r="G82" s="495"/>
      <c r="H82" s="495" t="s">
        <v>1544</v>
      </c>
      <c r="I82" s="513" t="s">
        <v>605</v>
      </c>
      <c r="J82" s="229" t="str">
        <f t="shared" si="1"/>
        <v>13</v>
      </c>
    </row>
    <row r="83" spans="1:10" ht="15.75" hidden="1">
      <c r="A83" s="495">
        <v>16</v>
      </c>
      <c r="B83" s="495" t="s">
        <v>1884</v>
      </c>
      <c r="C83" s="496" t="s">
        <v>1885</v>
      </c>
      <c r="D83" s="497" t="s">
        <v>1886</v>
      </c>
      <c r="E83" s="495" t="s">
        <v>1887</v>
      </c>
      <c r="F83" s="495" t="s">
        <v>1827</v>
      </c>
      <c r="G83" s="495" t="s">
        <v>1630</v>
      </c>
      <c r="H83" s="495" t="s">
        <v>1544</v>
      </c>
      <c r="I83" s="510"/>
      <c r="J83" s="229" t="str">
        <f t="shared" si="1"/>
        <v>13</v>
      </c>
    </row>
    <row r="84" spans="1:10" ht="15.75" hidden="1">
      <c r="A84" s="495">
        <v>17</v>
      </c>
      <c r="B84" s="495" t="s">
        <v>1888</v>
      </c>
      <c r="C84" s="496" t="s">
        <v>1889</v>
      </c>
      <c r="D84" s="497" t="s">
        <v>1465</v>
      </c>
      <c r="E84" s="495" t="s">
        <v>1567</v>
      </c>
      <c r="F84" s="495" t="s">
        <v>1827</v>
      </c>
      <c r="G84" s="495"/>
      <c r="H84" s="495" t="s">
        <v>1544</v>
      </c>
      <c r="I84" s="510"/>
      <c r="J84" s="229" t="str">
        <f t="shared" si="1"/>
        <v>13</v>
      </c>
    </row>
    <row r="85" spans="1:10" ht="15.75" hidden="1">
      <c r="A85" s="495">
        <v>18</v>
      </c>
      <c r="B85" s="495" t="s">
        <v>1890</v>
      </c>
      <c r="C85" s="496" t="s">
        <v>1891</v>
      </c>
      <c r="D85" s="497" t="s">
        <v>1468</v>
      </c>
      <c r="E85" s="495" t="s">
        <v>1846</v>
      </c>
      <c r="F85" s="495" t="s">
        <v>1827</v>
      </c>
      <c r="G85" s="495"/>
      <c r="H85" s="495" t="s">
        <v>851</v>
      </c>
      <c r="I85" s="510"/>
      <c r="J85" s="229" t="str">
        <f t="shared" si="1"/>
        <v>13</v>
      </c>
    </row>
    <row r="86" spans="1:10" ht="15.75" hidden="1">
      <c r="A86" s="495">
        <v>19</v>
      </c>
      <c r="B86" s="495" t="s">
        <v>1892</v>
      </c>
      <c r="C86" s="496" t="s">
        <v>1893</v>
      </c>
      <c r="D86" s="497" t="s">
        <v>1681</v>
      </c>
      <c r="E86" s="495" t="s">
        <v>1695</v>
      </c>
      <c r="F86" s="495" t="s">
        <v>1827</v>
      </c>
      <c r="G86" s="495"/>
      <c r="H86" s="495" t="s">
        <v>1544</v>
      </c>
      <c r="I86" s="510"/>
      <c r="J86" s="229" t="str">
        <f t="shared" si="1"/>
        <v>13</v>
      </c>
    </row>
    <row r="87" spans="1:10" ht="15.75" hidden="1">
      <c r="A87" s="495">
        <v>20</v>
      </c>
      <c r="B87" s="495" t="s">
        <v>1894</v>
      </c>
      <c r="C87" s="496" t="s">
        <v>1895</v>
      </c>
      <c r="D87" s="497" t="s">
        <v>1896</v>
      </c>
      <c r="E87" s="495" t="s">
        <v>1808</v>
      </c>
      <c r="F87" s="495" t="s">
        <v>1827</v>
      </c>
      <c r="G87" s="495"/>
      <c r="H87" s="495" t="s">
        <v>1544</v>
      </c>
      <c r="I87" s="510"/>
      <c r="J87" s="229" t="str">
        <f t="shared" si="1"/>
        <v>13</v>
      </c>
    </row>
    <row r="88" spans="1:10" ht="15.75" hidden="1">
      <c r="A88" s="495">
        <v>21</v>
      </c>
      <c r="B88" s="495" t="s">
        <v>1897</v>
      </c>
      <c r="C88" s="496" t="s">
        <v>1898</v>
      </c>
      <c r="D88" s="497" t="s">
        <v>1802</v>
      </c>
      <c r="E88" s="495" t="s">
        <v>1899</v>
      </c>
      <c r="F88" s="495" t="s">
        <v>1827</v>
      </c>
      <c r="G88" s="495"/>
      <c r="H88" s="495" t="s">
        <v>851</v>
      </c>
      <c r="I88" s="510"/>
      <c r="J88" s="229" t="str">
        <f t="shared" si="1"/>
        <v>13</v>
      </c>
    </row>
    <row r="89" spans="1:10" ht="15.75" hidden="1">
      <c r="A89" s="495">
        <v>22</v>
      </c>
      <c r="B89" s="495" t="s">
        <v>1900</v>
      </c>
      <c r="C89" s="496" t="s">
        <v>1901</v>
      </c>
      <c r="D89" s="497" t="s">
        <v>1474</v>
      </c>
      <c r="E89" s="495" t="s">
        <v>1902</v>
      </c>
      <c r="F89" s="495" t="s">
        <v>1827</v>
      </c>
      <c r="G89" s="495" t="s">
        <v>1642</v>
      </c>
      <c r="H89" s="495" t="s">
        <v>1544</v>
      </c>
      <c r="I89" s="510"/>
      <c r="J89" s="229" t="str">
        <f t="shared" si="1"/>
        <v>13</v>
      </c>
    </row>
    <row r="90" spans="1:10" ht="15.75" hidden="1">
      <c r="A90" s="495">
        <v>23</v>
      </c>
      <c r="B90" s="495" t="s">
        <v>1903</v>
      </c>
      <c r="C90" s="496" t="s">
        <v>1876</v>
      </c>
      <c r="D90" s="497" t="s">
        <v>1904</v>
      </c>
      <c r="E90" s="495" t="s">
        <v>1905</v>
      </c>
      <c r="F90" s="495" t="s">
        <v>1827</v>
      </c>
      <c r="G90" s="495"/>
      <c r="H90" s="495" t="s">
        <v>1544</v>
      </c>
      <c r="I90" s="510"/>
      <c r="J90" s="229" t="str">
        <f t="shared" si="1"/>
        <v>13</v>
      </c>
    </row>
    <row r="91" spans="1:10" ht="15.75" hidden="1">
      <c r="A91" s="495">
        <v>24</v>
      </c>
      <c r="B91" s="495" t="s">
        <v>1906</v>
      </c>
      <c r="C91" s="496" t="s">
        <v>1907</v>
      </c>
      <c r="D91" s="497" t="s">
        <v>1691</v>
      </c>
      <c r="E91" s="495" t="s">
        <v>1875</v>
      </c>
      <c r="F91" s="495" t="s">
        <v>1827</v>
      </c>
      <c r="G91" s="495"/>
      <c r="H91" s="495" t="s">
        <v>1544</v>
      </c>
      <c r="I91" s="510"/>
      <c r="J91" s="229" t="str">
        <f t="shared" si="1"/>
        <v>13</v>
      </c>
    </row>
    <row r="92" spans="1:10" ht="15.75" hidden="1">
      <c r="A92" s="495">
        <v>25</v>
      </c>
      <c r="B92" s="495" t="s">
        <v>1908</v>
      </c>
      <c r="C92" s="496" t="s">
        <v>1450</v>
      </c>
      <c r="D92" s="497" t="s">
        <v>1909</v>
      </c>
      <c r="E92" s="495" t="s">
        <v>1563</v>
      </c>
      <c r="F92" s="495" t="s">
        <v>1827</v>
      </c>
      <c r="G92" s="495"/>
      <c r="H92" s="495" t="s">
        <v>1544</v>
      </c>
      <c r="I92" s="510"/>
      <c r="J92" s="229" t="str">
        <f t="shared" si="1"/>
        <v>13</v>
      </c>
    </row>
    <row r="93" spans="1:10" ht="15.75" hidden="1">
      <c r="A93" s="495">
        <v>26</v>
      </c>
      <c r="B93" s="495" t="s">
        <v>1910</v>
      </c>
      <c r="C93" s="496" t="s">
        <v>1430</v>
      </c>
      <c r="D93" s="497" t="s">
        <v>1478</v>
      </c>
      <c r="E93" s="495" t="s">
        <v>1632</v>
      </c>
      <c r="F93" s="495" t="s">
        <v>1827</v>
      </c>
      <c r="G93" s="495"/>
      <c r="H93" s="495" t="s">
        <v>1544</v>
      </c>
      <c r="I93" s="510"/>
      <c r="J93" s="229" t="str">
        <f t="shared" si="1"/>
        <v>13</v>
      </c>
    </row>
    <row r="94" spans="1:10" ht="15.75" hidden="1">
      <c r="A94" s="495">
        <v>27</v>
      </c>
      <c r="B94" s="495" t="s">
        <v>1911</v>
      </c>
      <c r="C94" s="496" t="s">
        <v>1785</v>
      </c>
      <c r="D94" s="497" t="s">
        <v>1912</v>
      </c>
      <c r="E94" s="495" t="s">
        <v>1846</v>
      </c>
      <c r="F94" s="495" t="s">
        <v>1827</v>
      </c>
      <c r="G94" s="495"/>
      <c r="H94" s="495" t="s">
        <v>1544</v>
      </c>
      <c r="I94" s="513"/>
      <c r="J94" s="229" t="str">
        <f t="shared" si="1"/>
        <v>13</v>
      </c>
    </row>
    <row r="95" spans="1:10" ht="15.75" hidden="1">
      <c r="A95" s="495">
        <v>28</v>
      </c>
      <c r="B95" s="495" t="s">
        <v>1913</v>
      </c>
      <c r="C95" s="496" t="s">
        <v>1914</v>
      </c>
      <c r="D95" s="497" t="s">
        <v>1481</v>
      </c>
      <c r="E95" s="495" t="s">
        <v>1801</v>
      </c>
      <c r="F95" s="495" t="s">
        <v>1827</v>
      </c>
      <c r="G95" s="495"/>
      <c r="H95" s="495" t="s">
        <v>1544</v>
      </c>
      <c r="I95" s="510"/>
      <c r="J95" s="229" t="str">
        <f t="shared" si="1"/>
        <v>13</v>
      </c>
    </row>
    <row r="96" spans="1:10" ht="15.75" hidden="1">
      <c r="A96" s="495">
        <v>29</v>
      </c>
      <c r="B96" s="495" t="s">
        <v>1915</v>
      </c>
      <c r="C96" s="496" t="s">
        <v>1916</v>
      </c>
      <c r="D96" s="497" t="s">
        <v>1483</v>
      </c>
      <c r="E96" s="495" t="s">
        <v>1917</v>
      </c>
      <c r="F96" s="495" t="s">
        <v>1827</v>
      </c>
      <c r="G96" s="495"/>
      <c r="H96" s="495" t="s">
        <v>1544</v>
      </c>
      <c r="I96" s="513" t="s">
        <v>855</v>
      </c>
      <c r="J96" s="229" t="str">
        <f t="shared" si="1"/>
        <v>13</v>
      </c>
    </row>
    <row r="97" spans="1:10" ht="15.75" hidden="1">
      <c r="A97" s="495">
        <v>30</v>
      </c>
      <c r="B97" s="495" t="s">
        <v>1919</v>
      </c>
      <c r="C97" s="496" t="s">
        <v>1920</v>
      </c>
      <c r="D97" s="497" t="s">
        <v>1825</v>
      </c>
      <c r="E97" s="495" t="s">
        <v>1921</v>
      </c>
      <c r="F97" s="495" t="s">
        <v>1827</v>
      </c>
      <c r="G97" s="495"/>
      <c r="H97" s="495" t="s">
        <v>851</v>
      </c>
      <c r="I97" s="510"/>
      <c r="J97" s="229" t="str">
        <f t="shared" si="1"/>
        <v>13</v>
      </c>
    </row>
    <row r="98" spans="1:10" ht="15.75" hidden="1">
      <c r="A98" s="495">
        <v>31</v>
      </c>
      <c r="B98" s="495" t="s">
        <v>1922</v>
      </c>
      <c r="C98" s="496" t="s">
        <v>1432</v>
      </c>
      <c r="D98" s="497" t="s">
        <v>1923</v>
      </c>
      <c r="E98" s="495" t="s">
        <v>1924</v>
      </c>
      <c r="F98" s="495" t="s">
        <v>1827</v>
      </c>
      <c r="G98" s="495"/>
      <c r="H98" s="495" t="s">
        <v>1544</v>
      </c>
      <c r="I98" s="510"/>
      <c r="J98" s="229" t="str">
        <f t="shared" si="1"/>
        <v>13</v>
      </c>
    </row>
    <row r="99" spans="1:10" ht="15.75" hidden="1">
      <c r="A99" s="495">
        <v>1</v>
      </c>
      <c r="B99" s="495" t="s">
        <v>1925</v>
      </c>
      <c r="C99" s="496" t="s">
        <v>1858</v>
      </c>
      <c r="D99" s="497" t="s">
        <v>1926</v>
      </c>
      <c r="E99" s="495" t="s">
        <v>1927</v>
      </c>
      <c r="F99" s="495" t="s">
        <v>1928</v>
      </c>
      <c r="G99" s="495"/>
      <c r="H99" s="495" t="s">
        <v>1544</v>
      </c>
      <c r="I99" s="513" t="s">
        <v>606</v>
      </c>
      <c r="J99" s="229" t="str">
        <f t="shared" si="1"/>
        <v>13</v>
      </c>
    </row>
    <row r="100" spans="1:10" ht="15.75" hidden="1">
      <c r="A100" s="495">
        <v>2</v>
      </c>
      <c r="B100" s="495" t="s">
        <v>1930</v>
      </c>
      <c r="C100" s="496" t="s">
        <v>1931</v>
      </c>
      <c r="D100" s="497" t="s">
        <v>1712</v>
      </c>
      <c r="E100" s="495" t="s">
        <v>1932</v>
      </c>
      <c r="F100" s="495" t="s">
        <v>1928</v>
      </c>
      <c r="G100" s="495"/>
      <c r="H100" s="495" t="s">
        <v>1544</v>
      </c>
      <c r="I100" s="501"/>
      <c r="J100" s="229" t="str">
        <f t="shared" si="1"/>
        <v>13</v>
      </c>
    </row>
    <row r="101" spans="1:10" ht="15.75" hidden="1">
      <c r="A101" s="495">
        <v>3</v>
      </c>
      <c r="B101" s="495" t="s">
        <v>1936</v>
      </c>
      <c r="C101" s="496" t="s">
        <v>1937</v>
      </c>
      <c r="D101" s="497" t="s">
        <v>1434</v>
      </c>
      <c r="E101" s="495" t="s">
        <v>1938</v>
      </c>
      <c r="F101" s="495" t="s">
        <v>1928</v>
      </c>
      <c r="G101" s="495"/>
      <c r="H101" s="495" t="s">
        <v>1544</v>
      </c>
      <c r="I101" s="515"/>
      <c r="J101" s="229" t="str">
        <f t="shared" si="1"/>
        <v>13</v>
      </c>
    </row>
    <row r="102" spans="1:10" ht="15.75" hidden="1">
      <c r="A102" s="495">
        <v>4</v>
      </c>
      <c r="B102" s="495" t="s">
        <v>1940</v>
      </c>
      <c r="C102" s="496" t="s">
        <v>1941</v>
      </c>
      <c r="D102" s="497" t="s">
        <v>1558</v>
      </c>
      <c r="E102" s="495" t="s">
        <v>1942</v>
      </c>
      <c r="F102" s="495" t="s">
        <v>1928</v>
      </c>
      <c r="G102" s="495"/>
      <c r="H102" s="495" t="s">
        <v>1544</v>
      </c>
      <c r="I102" s="510"/>
      <c r="J102" s="229" t="str">
        <f t="shared" si="1"/>
        <v>13</v>
      </c>
    </row>
    <row r="103" spans="1:10" ht="15.75" hidden="1">
      <c r="A103" s="495">
        <v>5</v>
      </c>
      <c r="B103" s="495" t="s">
        <v>1943</v>
      </c>
      <c r="C103" s="496" t="s">
        <v>1944</v>
      </c>
      <c r="D103" s="497" t="s">
        <v>1945</v>
      </c>
      <c r="E103" s="495" t="s">
        <v>1946</v>
      </c>
      <c r="F103" s="495" t="s">
        <v>1928</v>
      </c>
      <c r="G103" s="495"/>
      <c r="H103" s="495" t="s">
        <v>1544</v>
      </c>
      <c r="I103" s="510"/>
      <c r="J103" s="229" t="str">
        <f t="shared" si="1"/>
        <v>13</v>
      </c>
    </row>
    <row r="104" spans="1:10" ht="15.75" hidden="1">
      <c r="A104" s="495">
        <v>6</v>
      </c>
      <c r="B104" s="495" t="s">
        <v>1947</v>
      </c>
      <c r="C104" s="496" t="s">
        <v>1448</v>
      </c>
      <c r="D104" s="497" t="s">
        <v>1720</v>
      </c>
      <c r="E104" s="495" t="s">
        <v>1829</v>
      </c>
      <c r="F104" s="495" t="s">
        <v>1928</v>
      </c>
      <c r="G104" s="495"/>
      <c r="H104" s="495" t="s">
        <v>1544</v>
      </c>
      <c r="I104" s="501"/>
      <c r="J104" s="229" t="str">
        <f t="shared" si="1"/>
        <v>13</v>
      </c>
    </row>
    <row r="105" spans="1:10" ht="15.75" hidden="1">
      <c r="A105" s="495">
        <v>7</v>
      </c>
      <c r="B105" s="495" t="s">
        <v>1950</v>
      </c>
      <c r="C105" s="496" t="s">
        <v>1939</v>
      </c>
      <c r="D105" s="497" t="s">
        <v>1839</v>
      </c>
      <c r="E105" s="495" t="s">
        <v>1951</v>
      </c>
      <c r="F105" s="495" t="s">
        <v>1928</v>
      </c>
      <c r="G105" s="495"/>
      <c r="H105" s="495" t="s">
        <v>1544</v>
      </c>
      <c r="I105" s="501"/>
      <c r="J105" s="229" t="str">
        <f t="shared" si="1"/>
        <v>13</v>
      </c>
    </row>
    <row r="106" spans="1:10" ht="15.75" hidden="1">
      <c r="A106" s="495">
        <v>8</v>
      </c>
      <c r="B106" s="495" t="s">
        <v>1956</v>
      </c>
      <c r="C106" s="496" t="s">
        <v>1957</v>
      </c>
      <c r="D106" s="497" t="s">
        <v>1724</v>
      </c>
      <c r="E106" s="495" t="s">
        <v>1958</v>
      </c>
      <c r="F106" s="495" t="s">
        <v>1928</v>
      </c>
      <c r="G106" s="495"/>
      <c r="H106" s="495" t="s">
        <v>1544</v>
      </c>
      <c r="I106" s="501"/>
      <c r="J106" s="229" t="str">
        <f t="shared" si="1"/>
        <v>13</v>
      </c>
    </row>
    <row r="107" spans="1:10" ht="15.75" hidden="1">
      <c r="A107" s="495">
        <v>9</v>
      </c>
      <c r="B107" s="495" t="s">
        <v>1959</v>
      </c>
      <c r="C107" s="496" t="s">
        <v>1785</v>
      </c>
      <c r="D107" s="497" t="s">
        <v>1724</v>
      </c>
      <c r="E107" s="495" t="s">
        <v>1960</v>
      </c>
      <c r="F107" s="495" t="s">
        <v>1928</v>
      </c>
      <c r="G107" s="495" t="s">
        <v>1642</v>
      </c>
      <c r="H107" s="495" t="s">
        <v>1544</v>
      </c>
      <c r="I107" s="510"/>
      <c r="J107" s="229" t="str">
        <f t="shared" si="1"/>
        <v>13</v>
      </c>
    </row>
    <row r="108" spans="1:10" ht="15.75" hidden="1">
      <c r="A108" s="495">
        <v>10</v>
      </c>
      <c r="B108" s="495" t="s">
        <v>1963</v>
      </c>
      <c r="C108" s="496" t="s">
        <v>1964</v>
      </c>
      <c r="D108" s="497" t="s">
        <v>1841</v>
      </c>
      <c r="E108" s="495" t="s">
        <v>1960</v>
      </c>
      <c r="F108" s="495" t="s">
        <v>1928</v>
      </c>
      <c r="G108" s="495"/>
      <c r="H108" s="495" t="s">
        <v>851</v>
      </c>
      <c r="I108" s="501"/>
      <c r="J108" s="229" t="str">
        <f t="shared" si="1"/>
        <v>13</v>
      </c>
    </row>
    <row r="109" spans="1:10" ht="15.75" hidden="1">
      <c r="A109" s="495">
        <v>11</v>
      </c>
      <c r="B109" s="495" t="s">
        <v>1965</v>
      </c>
      <c r="C109" s="496" t="s">
        <v>1966</v>
      </c>
      <c r="D109" s="497" t="s">
        <v>1841</v>
      </c>
      <c r="E109" s="495" t="s">
        <v>1967</v>
      </c>
      <c r="F109" s="495" t="s">
        <v>1928</v>
      </c>
      <c r="G109" s="495"/>
      <c r="H109" s="495" t="s">
        <v>1544</v>
      </c>
      <c r="I109" s="501"/>
      <c r="J109" s="229" t="str">
        <f t="shared" si="1"/>
        <v>13</v>
      </c>
    </row>
    <row r="110" spans="1:10" ht="15.75" hidden="1">
      <c r="A110" s="495">
        <v>12</v>
      </c>
      <c r="B110" s="495" t="s">
        <v>1968</v>
      </c>
      <c r="C110" s="496" t="s">
        <v>1969</v>
      </c>
      <c r="D110" s="497" t="s">
        <v>1970</v>
      </c>
      <c r="E110" s="495" t="s">
        <v>1971</v>
      </c>
      <c r="F110" s="495" t="s">
        <v>1928</v>
      </c>
      <c r="G110" s="495"/>
      <c r="H110" s="495" t="s">
        <v>851</v>
      </c>
      <c r="I110" s="501"/>
      <c r="J110" s="229" t="str">
        <f t="shared" si="1"/>
        <v>13</v>
      </c>
    </row>
    <row r="111" spans="1:10" ht="15.75" hidden="1">
      <c r="A111" s="495">
        <v>13</v>
      </c>
      <c r="B111" s="495" t="s">
        <v>1974</v>
      </c>
      <c r="C111" s="496" t="s">
        <v>1858</v>
      </c>
      <c r="D111" s="497" t="s">
        <v>1975</v>
      </c>
      <c r="E111" s="495" t="s">
        <v>1976</v>
      </c>
      <c r="F111" s="495" t="s">
        <v>1928</v>
      </c>
      <c r="G111" s="495" t="s">
        <v>1630</v>
      </c>
      <c r="H111" s="495" t="s">
        <v>1544</v>
      </c>
      <c r="I111" s="501"/>
      <c r="J111" s="229" t="str">
        <f t="shared" si="1"/>
        <v>13</v>
      </c>
    </row>
    <row r="112" spans="1:10" ht="15.75" hidden="1">
      <c r="A112" s="495">
        <v>14</v>
      </c>
      <c r="B112" s="495" t="s">
        <v>1979</v>
      </c>
      <c r="C112" s="496" t="s">
        <v>1980</v>
      </c>
      <c r="D112" s="497" t="s">
        <v>1653</v>
      </c>
      <c r="E112" s="495" t="s">
        <v>1981</v>
      </c>
      <c r="F112" s="495" t="s">
        <v>1928</v>
      </c>
      <c r="G112" s="495"/>
      <c r="H112" s="495" t="s">
        <v>1544</v>
      </c>
      <c r="I112" s="501"/>
      <c r="J112" s="229" t="str">
        <f t="shared" si="1"/>
        <v>13</v>
      </c>
    </row>
    <row r="113" spans="1:10" ht="15.75" hidden="1">
      <c r="A113" s="495">
        <v>15</v>
      </c>
      <c r="B113" s="495" t="s">
        <v>1982</v>
      </c>
      <c r="C113" s="496" t="s">
        <v>1983</v>
      </c>
      <c r="D113" s="497" t="s">
        <v>1659</v>
      </c>
      <c r="E113" s="495" t="s">
        <v>1984</v>
      </c>
      <c r="F113" s="495" t="s">
        <v>1928</v>
      </c>
      <c r="G113" s="495"/>
      <c r="H113" s="495" t="s">
        <v>1544</v>
      </c>
      <c r="I113" s="510"/>
      <c r="J113" s="229" t="str">
        <f t="shared" si="1"/>
        <v>13</v>
      </c>
    </row>
    <row r="114" spans="1:10" ht="15.75" hidden="1">
      <c r="A114" s="495">
        <v>16</v>
      </c>
      <c r="B114" s="495" t="s">
        <v>1985</v>
      </c>
      <c r="C114" s="496" t="s">
        <v>1986</v>
      </c>
      <c r="D114" s="497" t="s">
        <v>1462</v>
      </c>
      <c r="E114" s="495" t="s">
        <v>1921</v>
      </c>
      <c r="F114" s="495" t="s">
        <v>1928</v>
      </c>
      <c r="G114" s="495"/>
      <c r="H114" s="495" t="s">
        <v>1544</v>
      </c>
      <c r="I114" s="501"/>
      <c r="J114" s="229" t="str">
        <f t="shared" si="1"/>
        <v>13</v>
      </c>
    </row>
    <row r="115" spans="1:10" ht="15.75" hidden="1">
      <c r="A115" s="495">
        <v>17</v>
      </c>
      <c r="B115" s="495" t="s">
        <v>1988</v>
      </c>
      <c r="C115" s="496" t="s">
        <v>1989</v>
      </c>
      <c r="D115" s="497" t="s">
        <v>1990</v>
      </c>
      <c r="E115" s="495" t="s">
        <v>1991</v>
      </c>
      <c r="F115" s="495" t="s">
        <v>1928</v>
      </c>
      <c r="G115" s="495"/>
      <c r="H115" s="495" t="s">
        <v>1544</v>
      </c>
      <c r="I115" s="501"/>
      <c r="J115" s="229" t="str">
        <f t="shared" si="1"/>
        <v>13</v>
      </c>
    </row>
    <row r="116" spans="1:10" ht="15.75" hidden="1">
      <c r="A116" s="495">
        <v>18</v>
      </c>
      <c r="B116" s="495" t="s">
        <v>1992</v>
      </c>
      <c r="C116" s="496" t="s">
        <v>1439</v>
      </c>
      <c r="D116" s="497" t="s">
        <v>1993</v>
      </c>
      <c r="E116" s="495" t="s">
        <v>1994</v>
      </c>
      <c r="F116" s="495" t="s">
        <v>1928</v>
      </c>
      <c r="G116" s="495"/>
      <c r="H116" s="495" t="s">
        <v>1544</v>
      </c>
      <c r="I116" s="501"/>
      <c r="J116" s="229" t="str">
        <f t="shared" si="1"/>
        <v>13</v>
      </c>
    </row>
    <row r="117" spans="1:10" ht="15.75" hidden="1">
      <c r="A117" s="495">
        <v>19</v>
      </c>
      <c r="B117" s="495" t="s">
        <v>1995</v>
      </c>
      <c r="C117" s="496" t="s">
        <v>1996</v>
      </c>
      <c r="D117" s="497" t="s">
        <v>1997</v>
      </c>
      <c r="E117" s="495" t="s">
        <v>1998</v>
      </c>
      <c r="F117" s="495" t="s">
        <v>1928</v>
      </c>
      <c r="G117" s="495"/>
      <c r="H117" s="495" t="s">
        <v>1544</v>
      </c>
      <c r="I117" s="501"/>
      <c r="J117" s="229" t="str">
        <f t="shared" si="1"/>
        <v>13</v>
      </c>
    </row>
    <row r="118" spans="1:10" ht="15.75" hidden="1">
      <c r="A118" s="495">
        <v>20</v>
      </c>
      <c r="B118" s="495" t="s">
        <v>1999</v>
      </c>
      <c r="C118" s="499" t="s">
        <v>2000</v>
      </c>
      <c r="D118" s="500" t="s">
        <v>1912</v>
      </c>
      <c r="E118" s="498" t="s">
        <v>2001</v>
      </c>
      <c r="F118" s="495" t="s">
        <v>1928</v>
      </c>
      <c r="G118" s="498"/>
      <c r="H118" s="498" t="s">
        <v>851</v>
      </c>
      <c r="I118" s="502"/>
      <c r="J118" s="229" t="str">
        <f t="shared" si="1"/>
        <v>13</v>
      </c>
    </row>
    <row r="119" spans="1:10" ht="15.75" hidden="1">
      <c r="A119" s="495">
        <v>21</v>
      </c>
      <c r="B119" s="495" t="s">
        <v>2010</v>
      </c>
      <c r="C119" s="499" t="s">
        <v>2011</v>
      </c>
      <c r="D119" s="500" t="s">
        <v>1483</v>
      </c>
      <c r="E119" s="498" t="s">
        <v>2012</v>
      </c>
      <c r="F119" s="495" t="s">
        <v>1928</v>
      </c>
      <c r="G119" s="498" t="s">
        <v>1704</v>
      </c>
      <c r="H119" s="498" t="s">
        <v>1544</v>
      </c>
      <c r="I119" s="515"/>
      <c r="J119" s="229" t="str">
        <f t="shared" si="1"/>
        <v>13</v>
      </c>
    </row>
    <row r="120" spans="1:10" ht="15.75" hidden="1">
      <c r="A120" s="495">
        <v>22</v>
      </c>
      <c r="B120" s="495" t="s">
        <v>2002</v>
      </c>
      <c r="C120" s="496" t="s">
        <v>2003</v>
      </c>
      <c r="D120" s="497" t="s">
        <v>1825</v>
      </c>
      <c r="E120" s="495" t="s">
        <v>2004</v>
      </c>
      <c r="F120" s="495" t="s">
        <v>1928</v>
      </c>
      <c r="G120" s="495"/>
      <c r="H120" s="495" t="s">
        <v>1544</v>
      </c>
      <c r="I120" s="513"/>
      <c r="J120" s="229" t="str">
        <f t="shared" si="1"/>
        <v>13</v>
      </c>
    </row>
    <row r="121" spans="1:10" ht="15.75" hidden="1">
      <c r="A121" s="495">
        <v>23</v>
      </c>
      <c r="B121" s="495" t="s">
        <v>2005</v>
      </c>
      <c r="C121" s="496" t="s">
        <v>2006</v>
      </c>
      <c r="D121" s="497" t="s">
        <v>1825</v>
      </c>
      <c r="E121" s="495" t="s">
        <v>1870</v>
      </c>
      <c r="F121" s="495" t="s">
        <v>1928</v>
      </c>
      <c r="G121" s="495"/>
      <c r="H121" s="495" t="s">
        <v>1544</v>
      </c>
      <c r="I121" s="501"/>
      <c r="J121" s="229" t="str">
        <f t="shared" si="1"/>
        <v>13</v>
      </c>
    </row>
    <row r="122" spans="1:10" ht="15.75" hidden="1">
      <c r="A122" s="495">
        <v>24</v>
      </c>
      <c r="B122" s="495" t="s">
        <v>2007</v>
      </c>
      <c r="C122" s="496" t="s">
        <v>2008</v>
      </c>
      <c r="D122" s="497" t="s">
        <v>1486</v>
      </c>
      <c r="E122" s="495" t="s">
        <v>2009</v>
      </c>
      <c r="F122" s="495" t="s">
        <v>1928</v>
      </c>
      <c r="G122" s="495"/>
      <c r="H122" s="495" t="s">
        <v>1544</v>
      </c>
      <c r="I122" s="510"/>
      <c r="J122" s="229" t="str">
        <f t="shared" si="1"/>
        <v>13</v>
      </c>
    </row>
    <row r="123" spans="1:10" ht="15.75" hidden="1">
      <c r="A123" s="495">
        <v>25</v>
      </c>
      <c r="B123" s="495" t="s">
        <v>857</v>
      </c>
      <c r="C123" s="496" t="s">
        <v>1439</v>
      </c>
      <c r="D123" s="497" t="s">
        <v>1717</v>
      </c>
      <c r="E123" s="495" t="s">
        <v>366</v>
      </c>
      <c r="F123" s="495" t="s">
        <v>1928</v>
      </c>
      <c r="G123" s="501" t="s">
        <v>858</v>
      </c>
      <c r="H123" s="495" t="s">
        <v>851</v>
      </c>
      <c r="I123" s="517" t="s">
        <v>859</v>
      </c>
      <c r="J123" s="229" t="str">
        <f t="shared" si="1"/>
        <v>13</v>
      </c>
    </row>
    <row r="124" spans="1:10" ht="15.75" hidden="1">
      <c r="A124" s="495">
        <v>26</v>
      </c>
      <c r="B124" s="498" t="s">
        <v>860</v>
      </c>
      <c r="C124" s="499" t="s">
        <v>861</v>
      </c>
      <c r="D124" s="500" t="s">
        <v>862</v>
      </c>
      <c r="E124" s="498" t="s">
        <v>1000</v>
      </c>
      <c r="F124" s="495" t="s">
        <v>1928</v>
      </c>
      <c r="G124" s="501" t="s">
        <v>858</v>
      </c>
      <c r="H124" s="498" t="s">
        <v>1544</v>
      </c>
      <c r="I124" s="518" t="s">
        <v>863</v>
      </c>
      <c r="J124" s="229" t="str">
        <f t="shared" si="1"/>
        <v>13</v>
      </c>
    </row>
    <row r="125" spans="1:10" ht="15.75">
      <c r="A125" s="495">
        <v>1</v>
      </c>
      <c r="B125" s="495" t="s">
        <v>2013</v>
      </c>
      <c r="C125" s="496" t="s">
        <v>2014</v>
      </c>
      <c r="D125" s="497" t="s">
        <v>1541</v>
      </c>
      <c r="E125" s="495" t="s">
        <v>2015</v>
      </c>
      <c r="F125" s="495" t="s">
        <v>2016</v>
      </c>
      <c r="G125" s="495"/>
      <c r="H125" s="495" t="s">
        <v>851</v>
      </c>
      <c r="I125" s="510"/>
      <c r="J125" s="229" t="str">
        <f t="shared" si="1"/>
        <v>13</v>
      </c>
    </row>
    <row r="126" spans="1:10" ht="15.75">
      <c r="A126" s="495">
        <v>2</v>
      </c>
      <c r="B126" s="495" t="s">
        <v>2017</v>
      </c>
      <c r="C126" s="496" t="s">
        <v>2018</v>
      </c>
      <c r="D126" s="497" t="s">
        <v>1929</v>
      </c>
      <c r="E126" s="495" t="s">
        <v>2019</v>
      </c>
      <c r="F126" s="495" t="s">
        <v>2016</v>
      </c>
      <c r="G126" s="495"/>
      <c r="H126" s="495" t="s">
        <v>1544</v>
      </c>
      <c r="I126" s="510"/>
      <c r="J126" s="229" t="str">
        <f t="shared" si="1"/>
        <v>13</v>
      </c>
    </row>
    <row r="127" spans="1:10" ht="15.75">
      <c r="A127" s="495">
        <v>3</v>
      </c>
      <c r="B127" s="495" t="s">
        <v>2020</v>
      </c>
      <c r="C127" s="496" t="s">
        <v>1441</v>
      </c>
      <c r="D127" s="497" t="s">
        <v>1712</v>
      </c>
      <c r="E127" s="495" t="s">
        <v>2021</v>
      </c>
      <c r="F127" s="495" t="s">
        <v>2016</v>
      </c>
      <c r="G127" s="495"/>
      <c r="H127" s="495" t="s">
        <v>1544</v>
      </c>
      <c r="I127" s="513"/>
      <c r="J127" s="229" t="str">
        <f t="shared" si="1"/>
        <v>13</v>
      </c>
    </row>
    <row r="128" spans="1:10" ht="15.75">
      <c r="A128" s="495">
        <v>4</v>
      </c>
      <c r="B128" s="495" t="s">
        <v>2023</v>
      </c>
      <c r="C128" s="499" t="s">
        <v>1444</v>
      </c>
      <c r="D128" s="500" t="s">
        <v>2024</v>
      </c>
      <c r="E128" s="498" t="s">
        <v>1819</v>
      </c>
      <c r="F128" s="495" t="s">
        <v>2016</v>
      </c>
      <c r="G128" s="498"/>
      <c r="H128" s="498" t="s">
        <v>1544</v>
      </c>
      <c r="I128" s="513"/>
      <c r="J128" s="229" t="str">
        <f t="shared" si="1"/>
        <v>13</v>
      </c>
    </row>
    <row r="129" spans="1:10" ht="15.75">
      <c r="A129" s="495">
        <v>5</v>
      </c>
      <c r="B129" s="495" t="s">
        <v>2025</v>
      </c>
      <c r="C129" s="496" t="s">
        <v>1441</v>
      </c>
      <c r="D129" s="497" t="s">
        <v>1434</v>
      </c>
      <c r="E129" s="495" t="s">
        <v>1764</v>
      </c>
      <c r="F129" s="495" t="s">
        <v>2016</v>
      </c>
      <c r="G129" s="495"/>
      <c r="H129" s="495" t="s">
        <v>1544</v>
      </c>
      <c r="I129" s="510"/>
      <c r="J129" s="229" t="str">
        <f t="shared" si="1"/>
        <v>13</v>
      </c>
    </row>
    <row r="130" spans="1:10" ht="15.75">
      <c r="A130" s="495">
        <v>6</v>
      </c>
      <c r="B130" s="495" t="s">
        <v>2026</v>
      </c>
      <c r="C130" s="496" t="s">
        <v>1730</v>
      </c>
      <c r="D130" s="497" t="s">
        <v>1717</v>
      </c>
      <c r="E130" s="495" t="s">
        <v>2027</v>
      </c>
      <c r="F130" s="495" t="s">
        <v>2016</v>
      </c>
      <c r="G130" s="495"/>
      <c r="H130" s="495" t="s">
        <v>1544</v>
      </c>
      <c r="I130" s="510"/>
      <c r="J130" s="229" t="str">
        <f t="shared" si="1"/>
        <v>13</v>
      </c>
    </row>
    <row r="131" spans="1:10" ht="15.75">
      <c r="A131" s="495">
        <v>7</v>
      </c>
      <c r="B131" s="495" t="s">
        <v>2030</v>
      </c>
      <c r="C131" s="496" t="s">
        <v>2031</v>
      </c>
      <c r="D131" s="497" t="s">
        <v>1720</v>
      </c>
      <c r="E131" s="495" t="s">
        <v>1548</v>
      </c>
      <c r="F131" s="495" t="s">
        <v>2016</v>
      </c>
      <c r="G131" s="495"/>
      <c r="H131" s="495" t="s">
        <v>1544</v>
      </c>
      <c r="I131" s="510"/>
      <c r="J131" s="229" t="str">
        <f t="shared" ref="J131:J194" si="2">LEFT(F131,2)</f>
        <v>13</v>
      </c>
    </row>
    <row r="132" spans="1:10" ht="15.75">
      <c r="A132" s="495">
        <v>8</v>
      </c>
      <c r="B132" s="495" t="s">
        <v>2032</v>
      </c>
      <c r="C132" s="496" t="s">
        <v>1546</v>
      </c>
      <c r="D132" s="497" t="s">
        <v>1436</v>
      </c>
      <c r="E132" s="495" t="s">
        <v>2033</v>
      </c>
      <c r="F132" s="495" t="s">
        <v>2016</v>
      </c>
      <c r="G132" s="495"/>
      <c r="H132" s="495" t="s">
        <v>1544</v>
      </c>
      <c r="I132" s="510"/>
      <c r="J132" s="229" t="str">
        <f t="shared" si="2"/>
        <v>13</v>
      </c>
    </row>
    <row r="133" spans="1:10" ht="15.75">
      <c r="A133" s="495">
        <v>9</v>
      </c>
      <c r="B133" s="495" t="s">
        <v>2034</v>
      </c>
      <c r="C133" s="496" t="s">
        <v>1941</v>
      </c>
      <c r="D133" s="497" t="s">
        <v>1438</v>
      </c>
      <c r="E133" s="495" t="s">
        <v>2035</v>
      </c>
      <c r="F133" s="495" t="s">
        <v>2016</v>
      </c>
      <c r="G133" s="495"/>
      <c r="H133" s="495" t="s">
        <v>851</v>
      </c>
      <c r="I133" s="510"/>
      <c r="J133" s="229" t="str">
        <f t="shared" si="2"/>
        <v>13</v>
      </c>
    </row>
    <row r="134" spans="1:10" ht="15.75">
      <c r="A134" s="495">
        <v>10</v>
      </c>
      <c r="B134" s="495" t="s">
        <v>2036</v>
      </c>
      <c r="C134" s="496" t="s">
        <v>2037</v>
      </c>
      <c r="D134" s="497" t="s">
        <v>1952</v>
      </c>
      <c r="E134" s="495" t="s">
        <v>2038</v>
      </c>
      <c r="F134" s="495" t="s">
        <v>2016</v>
      </c>
      <c r="G134" s="495"/>
      <c r="H134" s="495" t="s">
        <v>1544</v>
      </c>
      <c r="I134" s="510"/>
      <c r="J134" s="229" t="str">
        <f t="shared" si="2"/>
        <v>13</v>
      </c>
    </row>
    <row r="135" spans="1:10" ht="15.75">
      <c r="A135" s="495">
        <v>11</v>
      </c>
      <c r="B135" s="495" t="s">
        <v>2039</v>
      </c>
      <c r="C135" s="496" t="s">
        <v>2040</v>
      </c>
      <c r="D135" s="497" t="s">
        <v>1724</v>
      </c>
      <c r="E135" s="495" t="s">
        <v>2041</v>
      </c>
      <c r="F135" s="495" t="s">
        <v>2016</v>
      </c>
      <c r="G135" s="495"/>
      <c r="H135" s="495" t="s">
        <v>1544</v>
      </c>
      <c r="I135" s="510"/>
      <c r="J135" s="229" t="str">
        <f t="shared" si="2"/>
        <v>13</v>
      </c>
    </row>
    <row r="136" spans="1:10" ht="15.75">
      <c r="A136" s="495">
        <v>12</v>
      </c>
      <c r="B136" s="495" t="s">
        <v>2042</v>
      </c>
      <c r="C136" s="496" t="s">
        <v>1730</v>
      </c>
      <c r="D136" s="497" t="s">
        <v>1961</v>
      </c>
      <c r="E136" s="495" t="s">
        <v>1772</v>
      </c>
      <c r="F136" s="495" t="s">
        <v>2016</v>
      </c>
      <c r="G136" s="495" t="s">
        <v>1630</v>
      </c>
      <c r="H136" s="495" t="s">
        <v>1544</v>
      </c>
      <c r="I136" s="510"/>
      <c r="J136" s="229" t="str">
        <f t="shared" si="2"/>
        <v>13</v>
      </c>
    </row>
    <row r="137" spans="1:10" ht="15.75">
      <c r="A137" s="495">
        <v>13</v>
      </c>
      <c r="B137" s="495" t="s">
        <v>2043</v>
      </c>
      <c r="C137" s="496" t="s">
        <v>2022</v>
      </c>
      <c r="D137" s="497" t="s">
        <v>1841</v>
      </c>
      <c r="E137" s="495" t="s">
        <v>2044</v>
      </c>
      <c r="F137" s="495" t="s">
        <v>2016</v>
      </c>
      <c r="G137" s="495"/>
      <c r="H137" s="495" t="s">
        <v>1544</v>
      </c>
      <c r="I137" s="510"/>
      <c r="J137" s="229" t="str">
        <f t="shared" si="2"/>
        <v>13</v>
      </c>
    </row>
    <row r="138" spans="1:10" ht="15.75">
      <c r="A138" s="495">
        <v>14</v>
      </c>
      <c r="B138" s="495" t="s">
        <v>2045</v>
      </c>
      <c r="C138" s="496" t="s">
        <v>2046</v>
      </c>
      <c r="D138" s="497" t="s">
        <v>1844</v>
      </c>
      <c r="E138" s="495" t="s">
        <v>2047</v>
      </c>
      <c r="F138" s="495" t="s">
        <v>2016</v>
      </c>
      <c r="G138" s="495"/>
      <c r="H138" s="495" t="s">
        <v>1544</v>
      </c>
      <c r="I138" s="510"/>
      <c r="J138" s="229" t="str">
        <f t="shared" si="2"/>
        <v>13</v>
      </c>
    </row>
    <row r="139" spans="1:10" ht="15.75">
      <c r="A139" s="495">
        <v>15</v>
      </c>
      <c r="B139" s="495" t="s">
        <v>2048</v>
      </c>
      <c r="C139" s="496" t="s">
        <v>2049</v>
      </c>
      <c r="D139" s="497" t="s">
        <v>1580</v>
      </c>
      <c r="E139" s="495" t="s">
        <v>1921</v>
      </c>
      <c r="F139" s="495" t="s">
        <v>2016</v>
      </c>
      <c r="G139" s="495"/>
      <c r="H139" s="495" t="s">
        <v>851</v>
      </c>
      <c r="I139" s="513"/>
      <c r="J139" s="229" t="str">
        <f t="shared" si="2"/>
        <v>13</v>
      </c>
    </row>
    <row r="140" spans="1:10" ht="15.75">
      <c r="A140" s="495">
        <v>16</v>
      </c>
      <c r="B140" s="495" t="s">
        <v>2050</v>
      </c>
      <c r="C140" s="496" t="s">
        <v>2051</v>
      </c>
      <c r="D140" s="497" t="s">
        <v>2052</v>
      </c>
      <c r="E140" s="495" t="s">
        <v>2053</v>
      </c>
      <c r="F140" s="495" t="s">
        <v>2016</v>
      </c>
      <c r="G140" s="495"/>
      <c r="H140" s="495" t="s">
        <v>851</v>
      </c>
      <c r="I140" s="510"/>
      <c r="J140" s="229" t="str">
        <f t="shared" si="2"/>
        <v>13</v>
      </c>
    </row>
    <row r="141" spans="1:10" ht="15.75">
      <c r="A141" s="495">
        <v>17</v>
      </c>
      <c r="B141" s="495" t="s">
        <v>2054</v>
      </c>
      <c r="C141" s="496" t="s">
        <v>1557</v>
      </c>
      <c r="D141" s="497" t="s">
        <v>1626</v>
      </c>
      <c r="E141" s="495" t="s">
        <v>2055</v>
      </c>
      <c r="F141" s="495" t="s">
        <v>2016</v>
      </c>
      <c r="G141" s="495"/>
      <c r="H141" s="495" t="s">
        <v>1544</v>
      </c>
      <c r="I141" s="501"/>
      <c r="J141" s="229" t="str">
        <f t="shared" si="2"/>
        <v>13</v>
      </c>
    </row>
    <row r="142" spans="1:10" ht="15.75">
      <c r="A142" s="495">
        <v>18</v>
      </c>
      <c r="B142" s="495" t="s">
        <v>2057</v>
      </c>
      <c r="C142" s="496" t="s">
        <v>1456</v>
      </c>
      <c r="D142" s="497" t="s">
        <v>2058</v>
      </c>
      <c r="E142" s="495" t="s">
        <v>1624</v>
      </c>
      <c r="F142" s="495" t="s">
        <v>2016</v>
      </c>
      <c r="G142" s="495"/>
      <c r="H142" s="495" t="s">
        <v>1544</v>
      </c>
      <c r="I142" s="510"/>
      <c r="J142" s="229" t="str">
        <f t="shared" si="2"/>
        <v>13</v>
      </c>
    </row>
    <row r="143" spans="1:10" ht="15.75">
      <c r="A143" s="495">
        <v>19</v>
      </c>
      <c r="B143" s="495" t="s">
        <v>2059</v>
      </c>
      <c r="C143" s="496" t="s">
        <v>2060</v>
      </c>
      <c r="D143" s="497" t="s">
        <v>2061</v>
      </c>
      <c r="E143" s="495" t="s">
        <v>2062</v>
      </c>
      <c r="F143" s="495" t="s">
        <v>2016</v>
      </c>
      <c r="G143" s="495"/>
      <c r="H143" s="495" t="s">
        <v>1544</v>
      </c>
      <c r="I143" s="513"/>
      <c r="J143" s="229" t="str">
        <f t="shared" si="2"/>
        <v>13</v>
      </c>
    </row>
    <row r="144" spans="1:10" ht="15.75">
      <c r="A144" s="495">
        <v>20</v>
      </c>
      <c r="B144" s="495" t="s">
        <v>2063</v>
      </c>
      <c r="C144" s="496" t="s">
        <v>459</v>
      </c>
      <c r="D144" s="497" t="s">
        <v>1635</v>
      </c>
      <c r="E144" s="495" t="s">
        <v>2064</v>
      </c>
      <c r="F144" s="495" t="s">
        <v>2016</v>
      </c>
      <c r="G144" s="495"/>
      <c r="H144" s="495" t="s">
        <v>1544</v>
      </c>
      <c r="I144" s="510"/>
      <c r="J144" s="229" t="str">
        <f t="shared" si="2"/>
        <v>13</v>
      </c>
    </row>
    <row r="145" spans="1:10" ht="15.75">
      <c r="A145" s="495">
        <v>21</v>
      </c>
      <c r="B145" s="495" t="s">
        <v>2065</v>
      </c>
      <c r="C145" s="496" t="s">
        <v>2083</v>
      </c>
      <c r="D145" s="497" t="s">
        <v>1454</v>
      </c>
      <c r="E145" s="495" t="s">
        <v>2084</v>
      </c>
      <c r="F145" s="495" t="s">
        <v>2016</v>
      </c>
      <c r="G145" s="495"/>
      <c r="H145" s="495" t="s">
        <v>1544</v>
      </c>
      <c r="I145" s="510"/>
      <c r="J145" s="229" t="str">
        <f t="shared" si="2"/>
        <v>13</v>
      </c>
    </row>
    <row r="146" spans="1:10" ht="15.75">
      <c r="A146" s="495">
        <v>22</v>
      </c>
      <c r="B146" s="495" t="s">
        <v>2086</v>
      </c>
      <c r="C146" s="496" t="s">
        <v>1546</v>
      </c>
      <c r="D146" s="497" t="s">
        <v>1763</v>
      </c>
      <c r="E146" s="495" t="s">
        <v>1767</v>
      </c>
      <c r="F146" s="495" t="s">
        <v>2016</v>
      </c>
      <c r="G146" s="495" t="s">
        <v>1704</v>
      </c>
      <c r="H146" s="495" t="s">
        <v>1544</v>
      </c>
      <c r="I146" s="510"/>
      <c r="J146" s="229" t="str">
        <f t="shared" si="2"/>
        <v>13</v>
      </c>
    </row>
    <row r="147" spans="1:10" ht="15.75">
      <c r="A147" s="495">
        <v>23</v>
      </c>
      <c r="B147" s="495" t="s">
        <v>2087</v>
      </c>
      <c r="C147" s="496" t="s">
        <v>2046</v>
      </c>
      <c r="D147" s="497" t="s">
        <v>1457</v>
      </c>
      <c r="E147" s="495" t="s">
        <v>2088</v>
      </c>
      <c r="F147" s="495" t="s">
        <v>2016</v>
      </c>
      <c r="G147" s="495"/>
      <c r="H147" s="495" t="s">
        <v>1544</v>
      </c>
      <c r="I147" s="513" t="s">
        <v>606</v>
      </c>
      <c r="J147" s="229" t="str">
        <f t="shared" si="2"/>
        <v>13</v>
      </c>
    </row>
    <row r="148" spans="1:10" ht="15.75">
      <c r="A148" s="495">
        <v>24</v>
      </c>
      <c r="B148" s="495" t="s">
        <v>2091</v>
      </c>
      <c r="C148" s="496" t="s">
        <v>2092</v>
      </c>
      <c r="D148" s="497" t="s">
        <v>1672</v>
      </c>
      <c r="E148" s="495" t="s">
        <v>2093</v>
      </c>
      <c r="F148" s="495" t="s">
        <v>2016</v>
      </c>
      <c r="G148" s="495"/>
      <c r="H148" s="495" t="s">
        <v>1544</v>
      </c>
      <c r="I148" s="510"/>
      <c r="J148" s="229" t="str">
        <f t="shared" si="2"/>
        <v>13</v>
      </c>
    </row>
    <row r="149" spans="1:10" ht="15.75">
      <c r="A149" s="495">
        <v>25</v>
      </c>
      <c r="B149" s="495" t="s">
        <v>2094</v>
      </c>
      <c r="C149" s="499" t="s">
        <v>2040</v>
      </c>
      <c r="D149" s="500" t="s">
        <v>1466</v>
      </c>
      <c r="E149" s="498" t="s">
        <v>2095</v>
      </c>
      <c r="F149" s="495" t="s">
        <v>2016</v>
      </c>
      <c r="G149" s="498" t="s">
        <v>1642</v>
      </c>
      <c r="H149" s="498" t="s">
        <v>1544</v>
      </c>
      <c r="I149" s="513"/>
      <c r="J149" s="229" t="str">
        <f t="shared" si="2"/>
        <v>13</v>
      </c>
    </row>
    <row r="150" spans="1:10" ht="15.75">
      <c r="A150" s="495">
        <v>26</v>
      </c>
      <c r="B150" s="495" t="s">
        <v>2096</v>
      </c>
      <c r="C150" s="496" t="s">
        <v>2097</v>
      </c>
      <c r="D150" s="497" t="s">
        <v>1468</v>
      </c>
      <c r="E150" s="495" t="s">
        <v>2098</v>
      </c>
      <c r="F150" s="495" t="s">
        <v>2016</v>
      </c>
      <c r="G150" s="495"/>
      <c r="H150" s="495" t="s">
        <v>1544</v>
      </c>
      <c r="I150" s="513"/>
      <c r="J150" s="229" t="str">
        <f t="shared" si="2"/>
        <v>13</v>
      </c>
    </row>
    <row r="151" spans="1:10" ht="15.75">
      <c r="A151" s="495">
        <v>27</v>
      </c>
      <c r="B151" s="495" t="s">
        <v>2100</v>
      </c>
      <c r="C151" s="496" t="s">
        <v>2101</v>
      </c>
      <c r="D151" s="497" t="s">
        <v>1677</v>
      </c>
      <c r="E151" s="495" t="s">
        <v>1816</v>
      </c>
      <c r="F151" s="495" t="s">
        <v>2016</v>
      </c>
      <c r="G151" s="495"/>
      <c r="H151" s="495" t="s">
        <v>1544</v>
      </c>
      <c r="I151" s="510"/>
      <c r="J151" s="229" t="str">
        <f t="shared" si="2"/>
        <v>13</v>
      </c>
    </row>
    <row r="152" spans="1:10" ht="15.75">
      <c r="A152" s="495">
        <v>28</v>
      </c>
      <c r="B152" s="495" t="s">
        <v>2102</v>
      </c>
      <c r="C152" s="496" t="s">
        <v>2103</v>
      </c>
      <c r="D152" s="497" t="s">
        <v>1681</v>
      </c>
      <c r="E152" s="495" t="s">
        <v>2104</v>
      </c>
      <c r="F152" s="495" t="s">
        <v>2016</v>
      </c>
      <c r="G152" s="495"/>
      <c r="H152" s="495" t="s">
        <v>1544</v>
      </c>
      <c r="I152" s="510"/>
      <c r="J152" s="229" t="str">
        <f t="shared" si="2"/>
        <v>13</v>
      </c>
    </row>
    <row r="153" spans="1:10" ht="15.75">
      <c r="A153" s="495">
        <v>29</v>
      </c>
      <c r="B153" s="495" t="s">
        <v>2105</v>
      </c>
      <c r="C153" s="496" t="s">
        <v>1453</v>
      </c>
      <c r="D153" s="497" t="s">
        <v>1990</v>
      </c>
      <c r="E153" s="495" t="s">
        <v>1790</v>
      </c>
      <c r="F153" s="495" t="s">
        <v>2016</v>
      </c>
      <c r="G153" s="495"/>
      <c r="H153" s="495" t="s">
        <v>1544</v>
      </c>
      <c r="I153" s="510"/>
      <c r="J153" s="229" t="str">
        <f t="shared" si="2"/>
        <v>13</v>
      </c>
    </row>
    <row r="154" spans="1:10" ht="15.75">
      <c r="A154" s="495">
        <v>30</v>
      </c>
      <c r="B154" s="495" t="s">
        <v>2106</v>
      </c>
      <c r="C154" s="496" t="s">
        <v>1435</v>
      </c>
      <c r="D154" s="497" t="s">
        <v>1896</v>
      </c>
      <c r="E154" s="495" t="s">
        <v>1749</v>
      </c>
      <c r="F154" s="495" t="s">
        <v>2016</v>
      </c>
      <c r="G154" s="495"/>
      <c r="H154" s="495" t="s">
        <v>1544</v>
      </c>
      <c r="I154" s="510"/>
      <c r="J154" s="229" t="str">
        <f t="shared" si="2"/>
        <v>13</v>
      </c>
    </row>
    <row r="155" spans="1:10" ht="15.75">
      <c r="A155" s="495">
        <v>31</v>
      </c>
      <c r="B155" s="495" t="s">
        <v>2113</v>
      </c>
      <c r="C155" s="496" t="s">
        <v>2114</v>
      </c>
      <c r="D155" s="497" t="s">
        <v>1478</v>
      </c>
      <c r="E155" s="495" t="s">
        <v>2115</v>
      </c>
      <c r="F155" s="495" t="s">
        <v>2016</v>
      </c>
      <c r="G155" s="495"/>
      <c r="H155" s="495" t="s">
        <v>1544</v>
      </c>
      <c r="I155" s="510"/>
      <c r="J155" s="229" t="str">
        <f t="shared" si="2"/>
        <v>13</v>
      </c>
    </row>
    <row r="156" spans="1:10" ht="15.75">
      <c r="A156" s="495">
        <v>32</v>
      </c>
      <c r="B156" s="495" t="s">
        <v>2119</v>
      </c>
      <c r="C156" s="496" t="s">
        <v>2120</v>
      </c>
      <c r="D156" s="497" t="s">
        <v>1912</v>
      </c>
      <c r="E156" s="495" t="s">
        <v>1746</v>
      </c>
      <c r="F156" s="495" t="s">
        <v>2016</v>
      </c>
      <c r="G156" s="495"/>
      <c r="H156" s="495" t="s">
        <v>1544</v>
      </c>
      <c r="I156" s="510"/>
      <c r="J156" s="229" t="str">
        <f t="shared" si="2"/>
        <v>13</v>
      </c>
    </row>
    <row r="157" spans="1:10" ht="15.75">
      <c r="A157" s="495">
        <v>33</v>
      </c>
      <c r="B157" s="495" t="s">
        <v>2121</v>
      </c>
      <c r="C157" s="496" t="s">
        <v>1736</v>
      </c>
      <c r="D157" s="497" t="s">
        <v>2122</v>
      </c>
      <c r="E157" s="495" t="s">
        <v>2123</v>
      </c>
      <c r="F157" s="495" t="s">
        <v>2016</v>
      </c>
      <c r="G157" s="495"/>
      <c r="H157" s="495" t="s">
        <v>1544</v>
      </c>
      <c r="I157" s="510"/>
      <c r="J157" s="229" t="str">
        <f t="shared" si="2"/>
        <v>13</v>
      </c>
    </row>
    <row r="158" spans="1:10" ht="15.75">
      <c r="A158" s="495">
        <v>34</v>
      </c>
      <c r="B158" s="495" t="s">
        <v>2124</v>
      </c>
      <c r="C158" s="496" t="s">
        <v>1439</v>
      </c>
      <c r="D158" s="497" t="s">
        <v>2125</v>
      </c>
      <c r="E158" s="495">
        <v>1992</v>
      </c>
      <c r="F158" s="495" t="s">
        <v>2016</v>
      </c>
      <c r="G158" s="495"/>
      <c r="H158" s="495" t="s">
        <v>1544</v>
      </c>
      <c r="I158" s="513"/>
      <c r="J158" s="229" t="str">
        <f t="shared" si="2"/>
        <v>13</v>
      </c>
    </row>
    <row r="159" spans="1:10" ht="15.75">
      <c r="A159" s="495">
        <v>35</v>
      </c>
      <c r="B159" s="495" t="s">
        <v>2128</v>
      </c>
      <c r="C159" s="496" t="s">
        <v>2129</v>
      </c>
      <c r="D159" s="497" t="s">
        <v>1486</v>
      </c>
      <c r="E159" s="495" t="s">
        <v>2130</v>
      </c>
      <c r="F159" s="495" t="s">
        <v>2016</v>
      </c>
      <c r="G159" s="495"/>
      <c r="H159" s="495" t="s">
        <v>1544</v>
      </c>
      <c r="I159" s="510"/>
      <c r="J159" s="229" t="str">
        <f t="shared" si="2"/>
        <v>13</v>
      </c>
    </row>
    <row r="160" spans="1:10" ht="15.75" hidden="1">
      <c r="A160" s="495">
        <v>1</v>
      </c>
      <c r="B160" s="495" t="s">
        <v>2131</v>
      </c>
      <c r="C160" s="496" t="s">
        <v>2132</v>
      </c>
      <c r="D160" s="497" t="s">
        <v>1929</v>
      </c>
      <c r="E160" s="495" t="s">
        <v>2133</v>
      </c>
      <c r="F160" s="495" t="s">
        <v>2134</v>
      </c>
      <c r="G160" s="495"/>
      <c r="H160" s="495" t="s">
        <v>1544</v>
      </c>
      <c r="I160" s="501"/>
      <c r="J160" s="229" t="str">
        <f t="shared" si="2"/>
        <v>13</v>
      </c>
    </row>
    <row r="161" spans="1:10" ht="15.75" hidden="1">
      <c r="A161" s="495">
        <v>2</v>
      </c>
      <c r="B161" s="495" t="s">
        <v>2135</v>
      </c>
      <c r="C161" s="496" t="s">
        <v>2136</v>
      </c>
      <c r="D161" s="497" t="s">
        <v>2137</v>
      </c>
      <c r="E161" s="495" t="s">
        <v>2138</v>
      </c>
      <c r="F161" s="495" t="s">
        <v>2134</v>
      </c>
      <c r="G161" s="495" t="s">
        <v>1704</v>
      </c>
      <c r="H161" s="495" t="s">
        <v>1544</v>
      </c>
      <c r="I161" s="501"/>
      <c r="J161" s="229" t="str">
        <f t="shared" si="2"/>
        <v>13</v>
      </c>
    </row>
    <row r="162" spans="1:10" ht="15.75" hidden="1">
      <c r="A162" s="495">
        <v>3</v>
      </c>
      <c r="B162" s="495" t="s">
        <v>2139</v>
      </c>
      <c r="C162" s="496" t="s">
        <v>1477</v>
      </c>
      <c r="D162" s="497" t="s">
        <v>1434</v>
      </c>
      <c r="E162" s="495" t="s">
        <v>2140</v>
      </c>
      <c r="F162" s="495" t="s">
        <v>2134</v>
      </c>
      <c r="G162" s="495"/>
      <c r="H162" s="495" t="s">
        <v>1544</v>
      </c>
      <c r="I162" s="501"/>
      <c r="J162" s="229" t="str">
        <f t="shared" si="2"/>
        <v>13</v>
      </c>
    </row>
    <row r="163" spans="1:10" ht="15.75" hidden="1">
      <c r="A163" s="495">
        <v>4</v>
      </c>
      <c r="B163" s="495" t="s">
        <v>2141</v>
      </c>
      <c r="C163" s="496" t="s">
        <v>2142</v>
      </c>
      <c r="D163" s="497" t="s">
        <v>2143</v>
      </c>
      <c r="E163" s="495" t="s">
        <v>2144</v>
      </c>
      <c r="F163" s="495" t="s">
        <v>2134</v>
      </c>
      <c r="G163" s="495"/>
      <c r="H163" s="495" t="s">
        <v>1544</v>
      </c>
      <c r="I163" s="501"/>
      <c r="J163" s="229" t="str">
        <f t="shared" si="2"/>
        <v>13</v>
      </c>
    </row>
    <row r="164" spans="1:10" ht="15.75" hidden="1">
      <c r="A164" s="495">
        <v>5</v>
      </c>
      <c r="B164" s="495" t="s">
        <v>2146</v>
      </c>
      <c r="C164" s="496" t="s">
        <v>1456</v>
      </c>
      <c r="D164" s="497" t="s">
        <v>2147</v>
      </c>
      <c r="E164" s="495" t="s">
        <v>2148</v>
      </c>
      <c r="F164" s="495" t="s">
        <v>2134</v>
      </c>
      <c r="G164" s="495"/>
      <c r="H164" s="495" t="s">
        <v>1544</v>
      </c>
      <c r="I164" s="501"/>
      <c r="J164" s="229" t="str">
        <f t="shared" si="2"/>
        <v>13</v>
      </c>
    </row>
    <row r="165" spans="1:10" ht="15.75" hidden="1">
      <c r="A165" s="495">
        <v>6</v>
      </c>
      <c r="B165" s="495" t="s">
        <v>2149</v>
      </c>
      <c r="C165" s="496" t="s">
        <v>2150</v>
      </c>
      <c r="D165" s="497" t="s">
        <v>1566</v>
      </c>
      <c r="E165" s="495" t="s">
        <v>2151</v>
      </c>
      <c r="F165" s="495" t="s">
        <v>2134</v>
      </c>
      <c r="G165" s="495"/>
      <c r="H165" s="495" t="s">
        <v>1544</v>
      </c>
      <c r="I165" s="501"/>
      <c r="J165" s="229" t="str">
        <f t="shared" si="2"/>
        <v>13</v>
      </c>
    </row>
    <row r="166" spans="1:10" ht="15.75" hidden="1">
      <c r="A166" s="495">
        <v>7</v>
      </c>
      <c r="B166" s="495" t="s">
        <v>2152</v>
      </c>
      <c r="C166" s="496" t="s">
        <v>1439</v>
      </c>
      <c r="D166" s="497" t="s">
        <v>2153</v>
      </c>
      <c r="E166" s="495" t="s">
        <v>2154</v>
      </c>
      <c r="F166" s="495" t="s">
        <v>2134</v>
      </c>
      <c r="G166" s="495"/>
      <c r="H166" s="495" t="s">
        <v>1544</v>
      </c>
      <c r="I166" s="501"/>
      <c r="J166" s="229" t="str">
        <f t="shared" si="2"/>
        <v>13</v>
      </c>
    </row>
    <row r="167" spans="1:10" ht="15.75" hidden="1">
      <c r="A167" s="495">
        <v>8</v>
      </c>
      <c r="B167" s="495" t="s">
        <v>2155</v>
      </c>
      <c r="C167" s="496" t="s">
        <v>2156</v>
      </c>
      <c r="D167" s="497" t="s">
        <v>2157</v>
      </c>
      <c r="E167" s="495" t="s">
        <v>2158</v>
      </c>
      <c r="F167" s="495" t="s">
        <v>2134</v>
      </c>
      <c r="G167" s="495"/>
      <c r="H167" s="495" t="s">
        <v>1544</v>
      </c>
      <c r="I167" s="513" t="s">
        <v>605</v>
      </c>
      <c r="J167" s="229" t="str">
        <f t="shared" si="2"/>
        <v>13</v>
      </c>
    </row>
    <row r="168" spans="1:10" ht="15.75" hidden="1">
      <c r="A168" s="495">
        <v>9</v>
      </c>
      <c r="B168" s="495" t="s">
        <v>2160</v>
      </c>
      <c r="C168" s="496" t="s">
        <v>2161</v>
      </c>
      <c r="D168" s="497" t="s">
        <v>1841</v>
      </c>
      <c r="E168" s="495" t="s">
        <v>2162</v>
      </c>
      <c r="F168" s="495" t="s">
        <v>2134</v>
      </c>
      <c r="G168" s="495"/>
      <c r="H168" s="495" t="s">
        <v>1544</v>
      </c>
      <c r="I168" s="501"/>
      <c r="J168" s="229" t="str">
        <f t="shared" si="2"/>
        <v>13</v>
      </c>
    </row>
    <row r="169" spans="1:10" ht="15.75" hidden="1">
      <c r="A169" s="495">
        <v>10</v>
      </c>
      <c r="B169" s="495" t="s">
        <v>2163</v>
      </c>
      <c r="C169" s="496" t="s">
        <v>2164</v>
      </c>
      <c r="D169" s="497" t="s">
        <v>1841</v>
      </c>
      <c r="E169" s="495" t="s">
        <v>2165</v>
      </c>
      <c r="F169" s="495" t="s">
        <v>2134</v>
      </c>
      <c r="G169" s="495"/>
      <c r="H169" s="495" t="s">
        <v>1544</v>
      </c>
      <c r="I169" s="501"/>
      <c r="J169" s="229" t="str">
        <f t="shared" si="2"/>
        <v>13</v>
      </c>
    </row>
    <row r="170" spans="1:10" ht="15.75" hidden="1">
      <c r="A170" s="495">
        <v>11</v>
      </c>
      <c r="B170" s="495" t="s">
        <v>2166</v>
      </c>
      <c r="C170" s="496" t="s">
        <v>2167</v>
      </c>
      <c r="D170" s="497" t="s">
        <v>1734</v>
      </c>
      <c r="E170" s="495" t="s">
        <v>2168</v>
      </c>
      <c r="F170" s="495" t="s">
        <v>2134</v>
      </c>
      <c r="G170" s="495"/>
      <c r="H170" s="495" t="s">
        <v>1544</v>
      </c>
      <c r="I170" s="501"/>
      <c r="J170" s="229" t="str">
        <f t="shared" si="2"/>
        <v>13</v>
      </c>
    </row>
    <row r="171" spans="1:10" ht="15.75" hidden="1">
      <c r="A171" s="495">
        <v>12</v>
      </c>
      <c r="B171" s="495" t="s">
        <v>2172</v>
      </c>
      <c r="C171" s="496" t="s">
        <v>2173</v>
      </c>
      <c r="D171" s="497" t="s">
        <v>1626</v>
      </c>
      <c r="E171" s="495" t="s">
        <v>1942</v>
      </c>
      <c r="F171" s="495" t="s">
        <v>2134</v>
      </c>
      <c r="G171" s="495"/>
      <c r="H171" s="495" t="s">
        <v>1544</v>
      </c>
      <c r="I171" s="502" t="s">
        <v>864</v>
      </c>
      <c r="J171" s="229" t="str">
        <f t="shared" si="2"/>
        <v>13</v>
      </c>
    </row>
    <row r="172" spans="1:10" ht="15.75" hidden="1">
      <c r="A172" s="495">
        <v>13</v>
      </c>
      <c r="B172" s="495" t="s">
        <v>2174</v>
      </c>
      <c r="C172" s="496" t="s">
        <v>1933</v>
      </c>
      <c r="D172" s="497" t="s">
        <v>2056</v>
      </c>
      <c r="E172" s="495" t="s">
        <v>2175</v>
      </c>
      <c r="F172" s="495" t="s">
        <v>2134</v>
      </c>
      <c r="G172" s="495"/>
      <c r="H172" s="495" t="s">
        <v>1544</v>
      </c>
      <c r="I172" s="501"/>
      <c r="J172" s="229" t="str">
        <f t="shared" si="2"/>
        <v>13</v>
      </c>
    </row>
    <row r="173" spans="1:10" ht="15.75" hidden="1">
      <c r="A173" s="495">
        <v>14</v>
      </c>
      <c r="B173" s="495" t="s">
        <v>2176</v>
      </c>
      <c r="C173" s="496" t="s">
        <v>1432</v>
      </c>
      <c r="D173" s="497" t="s">
        <v>2177</v>
      </c>
      <c r="E173" s="495" t="s">
        <v>2178</v>
      </c>
      <c r="F173" s="495" t="s">
        <v>2134</v>
      </c>
      <c r="G173" s="495"/>
      <c r="H173" s="495" t="s">
        <v>1544</v>
      </c>
      <c r="I173" s="501"/>
      <c r="J173" s="229" t="str">
        <f t="shared" si="2"/>
        <v>13</v>
      </c>
    </row>
    <row r="174" spans="1:10" ht="15.75" hidden="1">
      <c r="A174" s="495">
        <v>15</v>
      </c>
      <c r="B174" s="495" t="s">
        <v>2179</v>
      </c>
      <c r="C174" s="496" t="s">
        <v>2180</v>
      </c>
      <c r="D174" s="497" t="s">
        <v>2181</v>
      </c>
      <c r="E174" s="495" t="s">
        <v>2182</v>
      </c>
      <c r="F174" s="495" t="s">
        <v>2134</v>
      </c>
      <c r="G174" s="495"/>
      <c r="H174" s="495" t="s">
        <v>1544</v>
      </c>
      <c r="I174" s="501"/>
      <c r="J174" s="229" t="str">
        <f t="shared" si="2"/>
        <v>13</v>
      </c>
    </row>
    <row r="175" spans="1:10" ht="15.75" hidden="1">
      <c r="A175" s="495">
        <v>16</v>
      </c>
      <c r="B175" s="495" t="s">
        <v>2184</v>
      </c>
      <c r="C175" s="496" t="s">
        <v>2185</v>
      </c>
      <c r="D175" s="497" t="s">
        <v>1649</v>
      </c>
      <c r="E175" s="495" t="s">
        <v>2186</v>
      </c>
      <c r="F175" s="495" t="s">
        <v>2134</v>
      </c>
      <c r="G175" s="495"/>
      <c r="H175" s="495" t="s">
        <v>1544</v>
      </c>
      <c r="I175" s="501"/>
      <c r="J175" s="229" t="str">
        <f t="shared" si="2"/>
        <v>13</v>
      </c>
    </row>
    <row r="176" spans="1:10" ht="15.75" hidden="1">
      <c r="A176" s="495">
        <v>17</v>
      </c>
      <c r="B176" s="495" t="s">
        <v>2187</v>
      </c>
      <c r="C176" s="496" t="s">
        <v>2188</v>
      </c>
      <c r="D176" s="497" t="s">
        <v>1659</v>
      </c>
      <c r="E176" s="495" t="s">
        <v>2189</v>
      </c>
      <c r="F176" s="495" t="s">
        <v>2134</v>
      </c>
      <c r="G176" s="495" t="s">
        <v>1642</v>
      </c>
      <c r="H176" s="495" t="s">
        <v>1544</v>
      </c>
      <c r="I176" s="501"/>
      <c r="J176" s="229" t="str">
        <f t="shared" si="2"/>
        <v>13</v>
      </c>
    </row>
    <row r="177" spans="1:10" ht="15.75" hidden="1">
      <c r="A177" s="495">
        <v>18</v>
      </c>
      <c r="B177" s="495" t="s">
        <v>2190</v>
      </c>
      <c r="C177" s="496" t="s">
        <v>1853</v>
      </c>
      <c r="D177" s="497" t="s">
        <v>1665</v>
      </c>
      <c r="E177" s="495" t="s">
        <v>1542</v>
      </c>
      <c r="F177" s="495" t="s">
        <v>2134</v>
      </c>
      <c r="G177" s="495"/>
      <c r="H177" s="495" t="s">
        <v>1544</v>
      </c>
      <c r="I177" s="501"/>
      <c r="J177" s="229" t="str">
        <f t="shared" si="2"/>
        <v>13</v>
      </c>
    </row>
    <row r="178" spans="1:10" ht="15.75" hidden="1">
      <c r="A178" s="495">
        <v>19</v>
      </c>
      <c r="B178" s="495" t="s">
        <v>2193</v>
      </c>
      <c r="C178" s="496" t="s">
        <v>1546</v>
      </c>
      <c r="D178" s="497" t="s">
        <v>1466</v>
      </c>
      <c r="E178" s="495" t="s">
        <v>2194</v>
      </c>
      <c r="F178" s="495" t="s">
        <v>2134</v>
      </c>
      <c r="G178" s="495"/>
      <c r="H178" s="495"/>
      <c r="I178" s="501"/>
      <c r="J178" s="229" t="str">
        <f t="shared" si="2"/>
        <v>13</v>
      </c>
    </row>
    <row r="179" spans="1:10" ht="15.75" hidden="1">
      <c r="A179" s="495">
        <v>20</v>
      </c>
      <c r="B179" s="495" t="s">
        <v>2195</v>
      </c>
      <c r="C179" s="496" t="s">
        <v>1430</v>
      </c>
      <c r="D179" s="497" t="s">
        <v>1468</v>
      </c>
      <c r="E179" s="495" t="s">
        <v>2196</v>
      </c>
      <c r="F179" s="495" t="s">
        <v>2134</v>
      </c>
      <c r="G179" s="495"/>
      <c r="H179" s="495" t="s">
        <v>1544</v>
      </c>
      <c r="I179" s="501"/>
      <c r="J179" s="229" t="str">
        <f t="shared" si="2"/>
        <v>13</v>
      </c>
    </row>
    <row r="180" spans="1:10" ht="15.75" hidden="1">
      <c r="A180" s="495">
        <v>21</v>
      </c>
      <c r="B180" s="495" t="s">
        <v>2197</v>
      </c>
      <c r="C180" s="496" t="s">
        <v>2198</v>
      </c>
      <c r="D180" s="497" t="s">
        <v>2199</v>
      </c>
      <c r="E180" s="495" t="s">
        <v>2200</v>
      </c>
      <c r="F180" s="495" t="s">
        <v>2134</v>
      </c>
      <c r="G180" s="495"/>
      <c r="H180" s="495" t="s">
        <v>1544</v>
      </c>
      <c r="I180" s="501"/>
      <c r="J180" s="229" t="str">
        <f t="shared" si="2"/>
        <v>13</v>
      </c>
    </row>
    <row r="181" spans="1:10" ht="15.75" hidden="1">
      <c r="A181" s="495">
        <v>22</v>
      </c>
      <c r="B181" s="495" t="s">
        <v>2202</v>
      </c>
      <c r="C181" s="496" t="s">
        <v>2203</v>
      </c>
      <c r="D181" s="497" t="s">
        <v>1681</v>
      </c>
      <c r="E181" s="495" t="s">
        <v>2204</v>
      </c>
      <c r="F181" s="495" t="s">
        <v>2134</v>
      </c>
      <c r="G181" s="495"/>
      <c r="H181" s="495" t="s">
        <v>1544</v>
      </c>
      <c r="I181" s="501"/>
      <c r="J181" s="229" t="str">
        <f t="shared" si="2"/>
        <v>13</v>
      </c>
    </row>
    <row r="182" spans="1:10" ht="15.75" hidden="1">
      <c r="A182" s="495">
        <v>23</v>
      </c>
      <c r="B182" s="495" t="s">
        <v>2205</v>
      </c>
      <c r="C182" s="496" t="s">
        <v>2206</v>
      </c>
      <c r="D182" s="497" t="s">
        <v>2207</v>
      </c>
      <c r="E182" s="495" t="s">
        <v>2208</v>
      </c>
      <c r="F182" s="495" t="s">
        <v>2134</v>
      </c>
      <c r="G182" s="495"/>
      <c r="H182" s="495" t="s">
        <v>1544</v>
      </c>
      <c r="I182" s="501"/>
      <c r="J182" s="229" t="str">
        <f t="shared" si="2"/>
        <v>13</v>
      </c>
    </row>
    <row r="183" spans="1:10" ht="15.75" hidden="1">
      <c r="A183" s="495">
        <v>24</v>
      </c>
      <c r="B183" s="495" t="s">
        <v>2209</v>
      </c>
      <c r="C183" s="496" t="s">
        <v>2210</v>
      </c>
      <c r="D183" s="497" t="s">
        <v>2108</v>
      </c>
      <c r="E183" s="495" t="s">
        <v>2211</v>
      </c>
      <c r="F183" s="495" t="s">
        <v>2134</v>
      </c>
      <c r="G183" s="495"/>
      <c r="H183" s="495" t="s">
        <v>1544</v>
      </c>
      <c r="I183" s="501"/>
      <c r="J183" s="229" t="str">
        <f t="shared" si="2"/>
        <v>13</v>
      </c>
    </row>
    <row r="184" spans="1:10" ht="15.75" hidden="1">
      <c r="A184" s="495">
        <v>25</v>
      </c>
      <c r="B184" s="495" t="s">
        <v>2212</v>
      </c>
      <c r="C184" s="496" t="s">
        <v>1730</v>
      </c>
      <c r="D184" s="497" t="s">
        <v>1471</v>
      </c>
      <c r="E184" s="495" t="s">
        <v>2213</v>
      </c>
      <c r="F184" s="495" t="s">
        <v>2134</v>
      </c>
      <c r="G184" s="495"/>
      <c r="H184" s="495" t="s">
        <v>1544</v>
      </c>
      <c r="I184" s="501"/>
      <c r="J184" s="229" t="str">
        <f t="shared" si="2"/>
        <v>13</v>
      </c>
    </row>
    <row r="185" spans="1:10" ht="15.75" hidden="1">
      <c r="A185" s="495">
        <v>26</v>
      </c>
      <c r="B185" s="495" t="s">
        <v>2214</v>
      </c>
      <c r="C185" s="496" t="s">
        <v>1439</v>
      </c>
      <c r="D185" s="497" t="s">
        <v>1474</v>
      </c>
      <c r="E185" s="495" t="s">
        <v>2208</v>
      </c>
      <c r="F185" s="495" t="s">
        <v>2134</v>
      </c>
      <c r="G185" s="495" t="s">
        <v>1630</v>
      </c>
      <c r="H185" s="495" t="s">
        <v>1544</v>
      </c>
      <c r="I185" s="501"/>
      <c r="J185" s="229" t="str">
        <f t="shared" si="2"/>
        <v>13</v>
      </c>
    </row>
    <row r="186" spans="1:10" ht="15.75" hidden="1">
      <c r="A186" s="495">
        <v>27</v>
      </c>
      <c r="B186" s="495" t="s">
        <v>2215</v>
      </c>
      <c r="C186" s="496" t="s">
        <v>2216</v>
      </c>
      <c r="D186" s="497" t="s">
        <v>2217</v>
      </c>
      <c r="E186" s="495" t="s">
        <v>2218</v>
      </c>
      <c r="F186" s="495" t="s">
        <v>2134</v>
      </c>
      <c r="G186" s="495"/>
      <c r="H186" s="495" t="s">
        <v>1544</v>
      </c>
      <c r="I186" s="501"/>
      <c r="J186" s="229" t="str">
        <f t="shared" si="2"/>
        <v>13</v>
      </c>
    </row>
    <row r="187" spans="1:10" ht="15.75" hidden="1">
      <c r="A187" s="495">
        <v>28</v>
      </c>
      <c r="B187" s="495" t="s">
        <v>2219</v>
      </c>
      <c r="C187" s="496" t="s">
        <v>2220</v>
      </c>
      <c r="D187" s="497" t="s">
        <v>1699</v>
      </c>
      <c r="E187" s="495" t="s">
        <v>2221</v>
      </c>
      <c r="F187" s="495" t="s">
        <v>2134</v>
      </c>
      <c r="G187" s="495"/>
      <c r="H187" s="495" t="s">
        <v>1544</v>
      </c>
      <c r="I187" s="501"/>
      <c r="J187" s="229" t="str">
        <f t="shared" si="2"/>
        <v>13</v>
      </c>
    </row>
    <row r="188" spans="1:10" ht="15.75" hidden="1">
      <c r="A188" s="495">
        <v>29</v>
      </c>
      <c r="B188" s="495" t="s">
        <v>2223</v>
      </c>
      <c r="C188" s="496" t="s">
        <v>2224</v>
      </c>
      <c r="D188" s="497" t="s">
        <v>1912</v>
      </c>
      <c r="E188" s="495" t="s">
        <v>2225</v>
      </c>
      <c r="F188" s="495" t="s">
        <v>2134</v>
      </c>
      <c r="G188" s="495"/>
      <c r="H188" s="495" t="s">
        <v>1544</v>
      </c>
      <c r="I188" s="501"/>
      <c r="J188" s="229" t="str">
        <f t="shared" si="2"/>
        <v>13</v>
      </c>
    </row>
    <row r="189" spans="1:10" ht="15.75" hidden="1">
      <c r="A189" s="495">
        <v>30</v>
      </c>
      <c r="B189" s="495" t="s">
        <v>2226</v>
      </c>
      <c r="C189" s="496" t="s">
        <v>1812</v>
      </c>
      <c r="D189" s="497" t="s">
        <v>1912</v>
      </c>
      <c r="E189" s="495" t="s">
        <v>2227</v>
      </c>
      <c r="F189" s="495" t="s">
        <v>2134</v>
      </c>
      <c r="G189" s="495"/>
      <c r="H189" s="495" t="s">
        <v>1544</v>
      </c>
      <c r="I189" s="501"/>
      <c r="J189" s="229" t="str">
        <f t="shared" si="2"/>
        <v>13</v>
      </c>
    </row>
    <row r="190" spans="1:10" ht="15.75" hidden="1">
      <c r="A190" s="495">
        <v>31</v>
      </c>
      <c r="B190" s="495" t="s">
        <v>2228</v>
      </c>
      <c r="C190" s="496" t="s">
        <v>2229</v>
      </c>
      <c r="D190" s="497" t="s">
        <v>1481</v>
      </c>
      <c r="E190" s="495" t="s">
        <v>2230</v>
      </c>
      <c r="F190" s="495" t="s">
        <v>2134</v>
      </c>
      <c r="G190" s="495"/>
      <c r="H190" s="495" t="s">
        <v>1544</v>
      </c>
      <c r="I190" s="501"/>
      <c r="J190" s="229" t="str">
        <f t="shared" si="2"/>
        <v>13</v>
      </c>
    </row>
    <row r="191" spans="1:10" ht="15.75" hidden="1">
      <c r="A191" s="495">
        <v>32</v>
      </c>
      <c r="B191" s="495" t="s">
        <v>2231</v>
      </c>
      <c r="C191" s="496" t="s">
        <v>2232</v>
      </c>
      <c r="D191" s="497" t="s">
        <v>1481</v>
      </c>
      <c r="E191" s="495" t="s">
        <v>2233</v>
      </c>
      <c r="F191" s="495" t="s">
        <v>2134</v>
      </c>
      <c r="G191" s="495"/>
      <c r="H191" s="495" t="s">
        <v>1544</v>
      </c>
      <c r="I191" s="501"/>
      <c r="J191" s="229" t="str">
        <f t="shared" si="2"/>
        <v>13</v>
      </c>
    </row>
    <row r="192" spans="1:10" ht="15.75" hidden="1">
      <c r="A192" s="495">
        <v>33</v>
      </c>
      <c r="B192" s="495" t="s">
        <v>2234</v>
      </c>
      <c r="C192" s="496" t="s">
        <v>2116</v>
      </c>
      <c r="D192" s="497" t="s">
        <v>2235</v>
      </c>
      <c r="E192" s="495" t="s">
        <v>2236</v>
      </c>
      <c r="F192" s="495" t="s">
        <v>2134</v>
      </c>
      <c r="G192" s="495"/>
      <c r="H192" s="495" t="s">
        <v>1544</v>
      </c>
      <c r="I192" s="501"/>
      <c r="J192" s="229" t="str">
        <f t="shared" si="2"/>
        <v>13</v>
      </c>
    </row>
    <row r="193" spans="1:10" ht="15.75" hidden="1">
      <c r="A193" s="495">
        <v>34</v>
      </c>
      <c r="B193" s="495" t="s">
        <v>2237</v>
      </c>
      <c r="C193" s="496" t="s">
        <v>2238</v>
      </c>
      <c r="D193" s="497" t="s">
        <v>1486</v>
      </c>
      <c r="E193" s="495" t="s">
        <v>1796</v>
      </c>
      <c r="F193" s="495" t="s">
        <v>2134</v>
      </c>
      <c r="G193" s="495"/>
      <c r="H193" s="495" t="s">
        <v>1544</v>
      </c>
      <c r="I193" s="501"/>
      <c r="J193" s="229" t="str">
        <f t="shared" si="2"/>
        <v>13</v>
      </c>
    </row>
    <row r="194" spans="1:10" ht="15.75" hidden="1">
      <c r="A194" s="495">
        <v>35</v>
      </c>
      <c r="B194" s="495" t="s">
        <v>2239</v>
      </c>
      <c r="C194" s="496" t="s">
        <v>1435</v>
      </c>
      <c r="D194" s="497" t="s">
        <v>1486</v>
      </c>
      <c r="E194" s="495" t="s">
        <v>2109</v>
      </c>
      <c r="F194" s="495" t="s">
        <v>2134</v>
      </c>
      <c r="G194" s="495"/>
      <c r="H194" s="495" t="s">
        <v>1544</v>
      </c>
      <c r="I194" s="516"/>
      <c r="J194" s="229" t="str">
        <f t="shared" si="2"/>
        <v>13</v>
      </c>
    </row>
    <row r="195" spans="1:10" ht="15.75" hidden="1">
      <c r="A195" s="495">
        <v>36</v>
      </c>
      <c r="B195" s="495" t="s">
        <v>2240</v>
      </c>
      <c r="C195" s="496" t="s">
        <v>1439</v>
      </c>
      <c r="D195" s="497" t="s">
        <v>2241</v>
      </c>
      <c r="E195" s="495" t="s">
        <v>2242</v>
      </c>
      <c r="F195" s="495" t="s">
        <v>2134</v>
      </c>
      <c r="G195" s="495"/>
      <c r="H195" s="495" t="s">
        <v>1544</v>
      </c>
      <c r="I195" s="501"/>
      <c r="J195" s="229" t="str">
        <f t="shared" ref="J195:J258" si="3">LEFT(F195,2)</f>
        <v>13</v>
      </c>
    </row>
    <row r="196" spans="1:10" ht="15.75" hidden="1">
      <c r="A196" s="495">
        <v>1</v>
      </c>
      <c r="B196" s="495" t="s">
        <v>2243</v>
      </c>
      <c r="C196" s="496" t="s">
        <v>2244</v>
      </c>
      <c r="D196" s="497" t="s">
        <v>1541</v>
      </c>
      <c r="E196" s="495" t="s">
        <v>2245</v>
      </c>
      <c r="F196" s="495" t="s">
        <v>2246</v>
      </c>
      <c r="G196" s="495"/>
      <c r="H196" s="495" t="s">
        <v>851</v>
      </c>
      <c r="I196" s="501"/>
      <c r="J196" s="229" t="str">
        <f t="shared" si="3"/>
        <v>13</v>
      </c>
    </row>
    <row r="197" spans="1:10" ht="15.75" hidden="1">
      <c r="A197" s="495">
        <v>2</v>
      </c>
      <c r="B197" s="495" t="s">
        <v>2247</v>
      </c>
      <c r="C197" s="496" t="s">
        <v>2248</v>
      </c>
      <c r="D197" s="497" t="s">
        <v>2249</v>
      </c>
      <c r="E197" s="495" t="s">
        <v>2196</v>
      </c>
      <c r="F197" s="495" t="s">
        <v>2246</v>
      </c>
      <c r="G197" s="495"/>
      <c r="H197" s="495" t="s">
        <v>1544</v>
      </c>
      <c r="I197" s="501"/>
      <c r="J197" s="229" t="str">
        <f t="shared" si="3"/>
        <v>13</v>
      </c>
    </row>
    <row r="198" spans="1:10" ht="15.75" hidden="1">
      <c r="A198" s="495">
        <v>3</v>
      </c>
      <c r="B198" s="495" t="s">
        <v>2250</v>
      </c>
      <c r="C198" s="496" t="s">
        <v>1432</v>
      </c>
      <c r="D198" s="497" t="s">
        <v>1929</v>
      </c>
      <c r="E198" s="495" t="s">
        <v>2251</v>
      </c>
      <c r="F198" s="495" t="s">
        <v>2246</v>
      </c>
      <c r="G198" s="495"/>
      <c r="H198" s="495" t="s">
        <v>1544</v>
      </c>
      <c r="I198" s="501"/>
      <c r="J198" s="229" t="str">
        <f t="shared" si="3"/>
        <v>13</v>
      </c>
    </row>
    <row r="199" spans="1:10" ht="15.75" hidden="1">
      <c r="A199" s="495">
        <v>4</v>
      </c>
      <c r="B199" s="495" t="s">
        <v>2252</v>
      </c>
      <c r="C199" s="496" t="s">
        <v>2253</v>
      </c>
      <c r="D199" s="497" t="s">
        <v>1712</v>
      </c>
      <c r="E199" s="495" t="s">
        <v>1674</v>
      </c>
      <c r="F199" s="495" t="s">
        <v>2246</v>
      </c>
      <c r="G199" s="495"/>
      <c r="H199" s="495" t="s">
        <v>1544</v>
      </c>
      <c r="I199" s="502" t="s">
        <v>607</v>
      </c>
      <c r="J199" s="229" t="str">
        <f t="shared" si="3"/>
        <v>13</v>
      </c>
    </row>
    <row r="200" spans="1:10" ht="15.75" hidden="1">
      <c r="A200" s="495">
        <v>5</v>
      </c>
      <c r="B200" s="495" t="s">
        <v>2254</v>
      </c>
      <c r="C200" s="496" t="s">
        <v>1437</v>
      </c>
      <c r="D200" s="497" t="s">
        <v>1712</v>
      </c>
      <c r="E200" s="495" t="s">
        <v>2255</v>
      </c>
      <c r="F200" s="495" t="s">
        <v>2246</v>
      </c>
      <c r="G200" s="495"/>
      <c r="H200" s="495" t="s">
        <v>1544</v>
      </c>
      <c r="I200" s="501"/>
      <c r="J200" s="229" t="str">
        <f t="shared" si="3"/>
        <v>13</v>
      </c>
    </row>
    <row r="201" spans="1:10" ht="15.75" hidden="1">
      <c r="A201" s="495">
        <v>6</v>
      </c>
      <c r="B201" s="495" t="s">
        <v>2256</v>
      </c>
      <c r="C201" s="496" t="s">
        <v>2116</v>
      </c>
      <c r="D201" s="497" t="s">
        <v>1433</v>
      </c>
      <c r="E201" s="495" t="s">
        <v>2257</v>
      </c>
      <c r="F201" s="495" t="s">
        <v>2246</v>
      </c>
      <c r="G201" s="495"/>
      <c r="H201" s="495" t="s">
        <v>1544</v>
      </c>
      <c r="I201" s="501"/>
      <c r="J201" s="229" t="str">
        <f t="shared" si="3"/>
        <v>13</v>
      </c>
    </row>
    <row r="202" spans="1:10" ht="15.75" hidden="1">
      <c r="A202" s="495">
        <v>7</v>
      </c>
      <c r="B202" s="495" t="s">
        <v>2264</v>
      </c>
      <c r="C202" s="496" t="s">
        <v>2265</v>
      </c>
      <c r="D202" s="497" t="s">
        <v>1440</v>
      </c>
      <c r="E202" s="495" t="s">
        <v>2266</v>
      </c>
      <c r="F202" s="495" t="s">
        <v>2246</v>
      </c>
      <c r="G202" s="495"/>
      <c r="H202" s="495" t="s">
        <v>1544</v>
      </c>
      <c r="I202" s="501"/>
      <c r="J202" s="229" t="str">
        <f t="shared" si="3"/>
        <v>13</v>
      </c>
    </row>
    <row r="203" spans="1:10" ht="15.75" hidden="1">
      <c r="A203" s="495">
        <v>8</v>
      </c>
      <c r="B203" s="495" t="s">
        <v>2267</v>
      </c>
      <c r="C203" s="496" t="s">
        <v>2268</v>
      </c>
      <c r="D203" s="497" t="s">
        <v>1954</v>
      </c>
      <c r="E203" s="495" t="s">
        <v>2269</v>
      </c>
      <c r="F203" s="495" t="s">
        <v>2246</v>
      </c>
      <c r="G203" s="495"/>
      <c r="H203" s="495" t="s">
        <v>1544</v>
      </c>
      <c r="I203" s="501"/>
      <c r="J203" s="229" t="str">
        <f t="shared" si="3"/>
        <v>13</v>
      </c>
    </row>
    <row r="204" spans="1:10" ht="15.75" hidden="1">
      <c r="A204" s="495">
        <v>9</v>
      </c>
      <c r="B204" s="495" t="s">
        <v>2270</v>
      </c>
      <c r="C204" s="496" t="s">
        <v>1869</v>
      </c>
      <c r="D204" s="497" t="s">
        <v>1443</v>
      </c>
      <c r="E204" s="495" t="s">
        <v>1949</v>
      </c>
      <c r="F204" s="495" t="s">
        <v>2246</v>
      </c>
      <c r="G204" s="495"/>
      <c r="H204" s="495" t="s">
        <v>1544</v>
      </c>
      <c r="I204" s="502"/>
      <c r="J204" s="229" t="str">
        <f t="shared" si="3"/>
        <v>13</v>
      </c>
    </row>
    <row r="205" spans="1:10" ht="15.75" hidden="1">
      <c r="A205" s="495">
        <v>10</v>
      </c>
      <c r="B205" s="495" t="s">
        <v>2271</v>
      </c>
      <c r="C205" s="496" t="s">
        <v>2272</v>
      </c>
      <c r="D205" s="497" t="s">
        <v>1841</v>
      </c>
      <c r="E205" s="495" t="s">
        <v>2273</v>
      </c>
      <c r="F205" s="495" t="s">
        <v>2246</v>
      </c>
      <c r="G205" s="495"/>
      <c r="H205" s="495" t="s">
        <v>1544</v>
      </c>
      <c r="I205" s="502" t="s">
        <v>608</v>
      </c>
      <c r="J205" s="229" t="str">
        <f t="shared" si="3"/>
        <v>13</v>
      </c>
    </row>
    <row r="206" spans="1:10" ht="15.75" hidden="1">
      <c r="A206" s="495">
        <v>11</v>
      </c>
      <c r="B206" s="495" t="s">
        <v>2274</v>
      </c>
      <c r="C206" s="496" t="s">
        <v>2116</v>
      </c>
      <c r="D206" s="497" t="s">
        <v>1731</v>
      </c>
      <c r="E206" s="495" t="s">
        <v>2275</v>
      </c>
      <c r="F206" s="495" t="s">
        <v>2246</v>
      </c>
      <c r="G206" s="495"/>
      <c r="H206" s="495" t="s">
        <v>1544</v>
      </c>
      <c r="I206" s="501"/>
      <c r="J206" s="229" t="str">
        <f t="shared" si="3"/>
        <v>13</v>
      </c>
    </row>
    <row r="207" spans="1:10" ht="15.75" hidden="1">
      <c r="A207" s="495">
        <v>12</v>
      </c>
      <c r="B207" s="495" t="s">
        <v>2276</v>
      </c>
      <c r="C207" s="496" t="s">
        <v>2277</v>
      </c>
      <c r="D207" s="497" t="s">
        <v>1580</v>
      </c>
      <c r="E207" s="495" t="s">
        <v>1555</v>
      </c>
      <c r="F207" s="495" t="s">
        <v>2246</v>
      </c>
      <c r="G207" s="495" t="s">
        <v>1630</v>
      </c>
      <c r="H207" s="495" t="s">
        <v>851</v>
      </c>
      <c r="I207" s="515" t="s">
        <v>856</v>
      </c>
      <c r="J207" s="229" t="str">
        <f t="shared" si="3"/>
        <v>13</v>
      </c>
    </row>
    <row r="208" spans="1:10" ht="15.75" hidden="1">
      <c r="A208" s="495">
        <v>13</v>
      </c>
      <c r="B208" s="495" t="s">
        <v>2278</v>
      </c>
      <c r="C208" s="496" t="s">
        <v>1428</v>
      </c>
      <c r="D208" s="497" t="s">
        <v>1850</v>
      </c>
      <c r="E208" s="495" t="s">
        <v>2279</v>
      </c>
      <c r="F208" s="495" t="s">
        <v>2246</v>
      </c>
      <c r="G208" s="495"/>
      <c r="H208" s="495" t="s">
        <v>1544</v>
      </c>
      <c r="I208" s="502"/>
      <c r="J208" s="229" t="str">
        <f t="shared" si="3"/>
        <v>13</v>
      </c>
    </row>
    <row r="209" spans="1:10" ht="15.75" hidden="1">
      <c r="A209" s="495">
        <v>14</v>
      </c>
      <c r="B209" s="495" t="s">
        <v>2280</v>
      </c>
      <c r="C209" s="496" t="s">
        <v>2281</v>
      </c>
      <c r="D209" s="497" t="s">
        <v>2282</v>
      </c>
      <c r="E209" s="495" t="s">
        <v>2283</v>
      </c>
      <c r="F209" s="495" t="s">
        <v>2246</v>
      </c>
      <c r="G209" s="495"/>
      <c r="H209" s="495" t="s">
        <v>1544</v>
      </c>
      <c r="I209" s="501"/>
      <c r="J209" s="229" t="str">
        <f t="shared" si="3"/>
        <v>13</v>
      </c>
    </row>
    <row r="210" spans="1:10" ht="15.75" hidden="1">
      <c r="A210" s="495">
        <v>15</v>
      </c>
      <c r="B210" s="495" t="s">
        <v>2284</v>
      </c>
      <c r="C210" s="496" t="s">
        <v>1916</v>
      </c>
      <c r="D210" s="497" t="s">
        <v>1626</v>
      </c>
      <c r="E210" s="495" t="s">
        <v>2285</v>
      </c>
      <c r="F210" s="495" t="s">
        <v>2246</v>
      </c>
      <c r="G210" s="495"/>
      <c r="H210" s="495" t="s">
        <v>1544</v>
      </c>
      <c r="I210" s="501"/>
      <c r="J210" s="229" t="str">
        <f t="shared" si="3"/>
        <v>13</v>
      </c>
    </row>
    <row r="211" spans="1:10" ht="15.75" hidden="1">
      <c r="A211" s="495">
        <v>16</v>
      </c>
      <c r="B211" s="495" t="s">
        <v>2286</v>
      </c>
      <c r="C211" s="496" t="s">
        <v>2287</v>
      </c>
      <c r="D211" s="497" t="s">
        <v>2288</v>
      </c>
      <c r="E211" s="495" t="s">
        <v>2259</v>
      </c>
      <c r="F211" s="495" t="s">
        <v>2246</v>
      </c>
      <c r="G211" s="495"/>
      <c r="H211" s="495" t="s">
        <v>1544</v>
      </c>
      <c r="I211" s="501"/>
      <c r="J211" s="229" t="str">
        <f t="shared" si="3"/>
        <v>13</v>
      </c>
    </row>
    <row r="212" spans="1:10" ht="15.75" hidden="1">
      <c r="A212" s="495">
        <v>17</v>
      </c>
      <c r="B212" s="495" t="s">
        <v>2289</v>
      </c>
      <c r="C212" s="496" t="s">
        <v>2290</v>
      </c>
      <c r="D212" s="497" t="s">
        <v>1454</v>
      </c>
      <c r="E212" s="495" t="s">
        <v>2291</v>
      </c>
      <c r="F212" s="495" t="s">
        <v>2246</v>
      </c>
      <c r="G212" s="495"/>
      <c r="H212" s="495" t="s">
        <v>1544</v>
      </c>
      <c r="I212" s="501"/>
      <c r="J212" s="229" t="str">
        <f t="shared" si="3"/>
        <v>13</v>
      </c>
    </row>
    <row r="213" spans="1:10" ht="15.75" hidden="1">
      <c r="A213" s="495">
        <v>18</v>
      </c>
      <c r="B213" s="495" t="s">
        <v>2292</v>
      </c>
      <c r="C213" s="499" t="s">
        <v>1849</v>
      </c>
      <c r="D213" s="500" t="s">
        <v>1640</v>
      </c>
      <c r="E213" s="498" t="s">
        <v>1697</v>
      </c>
      <c r="F213" s="495" t="s">
        <v>2246</v>
      </c>
      <c r="G213" s="498"/>
      <c r="H213" s="498" t="s">
        <v>851</v>
      </c>
      <c r="I213" s="502"/>
      <c r="J213" s="229" t="str">
        <f t="shared" si="3"/>
        <v>13</v>
      </c>
    </row>
    <row r="214" spans="1:10" ht="15.75" hidden="1">
      <c r="A214" s="495">
        <v>19</v>
      </c>
      <c r="B214" s="495" t="s">
        <v>2293</v>
      </c>
      <c r="C214" s="499" t="s">
        <v>2294</v>
      </c>
      <c r="D214" s="500" t="s">
        <v>1763</v>
      </c>
      <c r="E214" s="498" t="s">
        <v>2295</v>
      </c>
      <c r="F214" s="495" t="s">
        <v>2246</v>
      </c>
      <c r="G214" s="495" t="s">
        <v>1704</v>
      </c>
      <c r="H214" s="498" t="s">
        <v>851</v>
      </c>
      <c r="I214" s="502"/>
      <c r="J214" s="229" t="str">
        <f t="shared" si="3"/>
        <v>13</v>
      </c>
    </row>
    <row r="215" spans="1:10" ht="15.75" hidden="1">
      <c r="A215" s="495">
        <v>20</v>
      </c>
      <c r="B215" s="495" t="s">
        <v>2296</v>
      </c>
      <c r="C215" s="496" t="s">
        <v>1876</v>
      </c>
      <c r="D215" s="497" t="s">
        <v>1649</v>
      </c>
      <c r="E215" s="495" t="s">
        <v>2297</v>
      </c>
      <c r="F215" s="495" t="s">
        <v>2246</v>
      </c>
      <c r="G215" s="495"/>
      <c r="H215" s="495" t="s">
        <v>1544</v>
      </c>
      <c r="I215" s="502"/>
      <c r="J215" s="229" t="str">
        <f t="shared" si="3"/>
        <v>13</v>
      </c>
    </row>
    <row r="216" spans="1:10" ht="15.75" hidden="1">
      <c r="A216" s="495">
        <v>21</v>
      </c>
      <c r="B216" s="495" t="s">
        <v>2298</v>
      </c>
      <c r="C216" s="496" t="s">
        <v>1743</v>
      </c>
      <c r="D216" s="497" t="s">
        <v>1457</v>
      </c>
      <c r="E216" s="495" t="s">
        <v>2299</v>
      </c>
      <c r="F216" s="495" t="s">
        <v>2246</v>
      </c>
      <c r="G216" s="495" t="s">
        <v>1642</v>
      </c>
      <c r="H216" s="495" t="s">
        <v>1544</v>
      </c>
      <c r="I216" s="501"/>
      <c r="J216" s="229" t="str">
        <f t="shared" si="3"/>
        <v>13</v>
      </c>
    </row>
    <row r="217" spans="1:10" ht="15.75" hidden="1">
      <c r="A217" s="495">
        <v>22</v>
      </c>
      <c r="B217" s="495" t="s">
        <v>2301</v>
      </c>
      <c r="C217" s="499" t="s">
        <v>2302</v>
      </c>
      <c r="D217" s="500" t="s">
        <v>1782</v>
      </c>
      <c r="E217" s="498" t="s">
        <v>2303</v>
      </c>
      <c r="F217" s="495" t="s">
        <v>2246</v>
      </c>
      <c r="G217" s="498"/>
      <c r="H217" s="498" t="s">
        <v>1544</v>
      </c>
      <c r="I217" s="502"/>
      <c r="J217" s="229" t="str">
        <f t="shared" si="3"/>
        <v>13</v>
      </c>
    </row>
    <row r="218" spans="1:10" ht="15.75" hidden="1">
      <c r="A218" s="495">
        <v>23</v>
      </c>
      <c r="B218" s="495" t="s">
        <v>2304</v>
      </c>
      <c r="C218" s="496" t="s">
        <v>2305</v>
      </c>
      <c r="D218" s="497" t="s">
        <v>1463</v>
      </c>
      <c r="E218" s="495" t="s">
        <v>2306</v>
      </c>
      <c r="F218" s="495" t="s">
        <v>2246</v>
      </c>
      <c r="G218" s="495"/>
      <c r="H218" s="495" t="s">
        <v>1544</v>
      </c>
      <c r="I218" s="501"/>
      <c r="J218" s="229" t="str">
        <f t="shared" si="3"/>
        <v>13</v>
      </c>
    </row>
    <row r="219" spans="1:10" ht="15.75" hidden="1">
      <c r="A219" s="495">
        <v>24</v>
      </c>
      <c r="B219" s="495" t="s">
        <v>2307</v>
      </c>
      <c r="C219" s="496" t="s">
        <v>2308</v>
      </c>
      <c r="D219" s="497" t="s">
        <v>1672</v>
      </c>
      <c r="E219" s="495" t="s">
        <v>2309</v>
      </c>
      <c r="F219" s="495" t="s">
        <v>2246</v>
      </c>
      <c r="G219" s="495"/>
      <c r="H219" s="495" t="s">
        <v>851</v>
      </c>
      <c r="I219" s="501"/>
      <c r="J219" s="229" t="str">
        <f t="shared" si="3"/>
        <v>13</v>
      </c>
    </row>
    <row r="220" spans="1:10" ht="15.75" hidden="1">
      <c r="A220" s="495">
        <v>25</v>
      </c>
      <c r="B220" s="495" t="s">
        <v>2310</v>
      </c>
      <c r="C220" s="496" t="s">
        <v>2311</v>
      </c>
      <c r="D220" s="497" t="s">
        <v>1465</v>
      </c>
      <c r="E220" s="495" t="s">
        <v>2312</v>
      </c>
      <c r="F220" s="495" t="s">
        <v>2246</v>
      </c>
      <c r="G220" s="495"/>
      <c r="H220" s="495" t="s">
        <v>851</v>
      </c>
      <c r="I220" s="501"/>
      <c r="J220" s="229" t="str">
        <f t="shared" si="3"/>
        <v>13</v>
      </c>
    </row>
    <row r="221" spans="1:10" ht="15.75" hidden="1">
      <c r="A221" s="495">
        <v>26</v>
      </c>
      <c r="B221" s="495" t="s">
        <v>2314</v>
      </c>
      <c r="C221" s="496" t="s">
        <v>2315</v>
      </c>
      <c r="D221" s="497" t="s">
        <v>2199</v>
      </c>
      <c r="E221" s="495" t="s">
        <v>2316</v>
      </c>
      <c r="F221" s="495" t="s">
        <v>2246</v>
      </c>
      <c r="G221" s="495"/>
      <c r="H221" s="495" t="s">
        <v>1544</v>
      </c>
      <c r="I221" s="501"/>
      <c r="J221" s="229" t="str">
        <f t="shared" si="3"/>
        <v>13</v>
      </c>
    </row>
    <row r="222" spans="1:10" ht="15.75" hidden="1">
      <c r="A222" s="495">
        <v>27</v>
      </c>
      <c r="B222" s="495" t="s">
        <v>2317</v>
      </c>
      <c r="C222" s="496" t="s">
        <v>2318</v>
      </c>
      <c r="D222" s="497" t="s">
        <v>1677</v>
      </c>
      <c r="E222" s="495" t="s">
        <v>2319</v>
      </c>
      <c r="F222" s="495" t="s">
        <v>2246</v>
      </c>
      <c r="G222" s="495"/>
      <c r="H222" s="495" t="s">
        <v>1544</v>
      </c>
      <c r="I222" s="510"/>
      <c r="J222" s="229" t="str">
        <f t="shared" si="3"/>
        <v>13</v>
      </c>
    </row>
    <row r="223" spans="1:10" ht="15.75" hidden="1">
      <c r="A223" s="495">
        <v>28</v>
      </c>
      <c r="B223" s="495" t="s">
        <v>2320</v>
      </c>
      <c r="C223" s="496" t="s">
        <v>2321</v>
      </c>
      <c r="D223" s="497" t="s">
        <v>1990</v>
      </c>
      <c r="E223" s="495" t="s">
        <v>1816</v>
      </c>
      <c r="F223" s="495" t="s">
        <v>2246</v>
      </c>
      <c r="G223" s="495"/>
      <c r="H223" s="495" t="s">
        <v>1544</v>
      </c>
      <c r="I223" s="501"/>
      <c r="J223" s="229" t="str">
        <f t="shared" si="3"/>
        <v>13</v>
      </c>
    </row>
    <row r="224" spans="1:10" ht="15.75" hidden="1">
      <c r="A224" s="495">
        <v>29</v>
      </c>
      <c r="B224" s="495" t="s">
        <v>2322</v>
      </c>
      <c r="C224" s="496" t="s">
        <v>2323</v>
      </c>
      <c r="D224" s="497" t="s">
        <v>1896</v>
      </c>
      <c r="E224" s="495" t="s">
        <v>1794</v>
      </c>
      <c r="F224" s="495" t="s">
        <v>2246</v>
      </c>
      <c r="G224" s="495"/>
      <c r="H224" s="495" t="s">
        <v>1544</v>
      </c>
      <c r="I224" s="501"/>
      <c r="J224" s="229" t="str">
        <f t="shared" si="3"/>
        <v>13</v>
      </c>
    </row>
    <row r="225" spans="1:10" ht="15.75" hidden="1">
      <c r="A225" s="495">
        <v>30</v>
      </c>
      <c r="B225" s="495" t="s">
        <v>2324</v>
      </c>
      <c r="C225" s="496" t="s">
        <v>1779</v>
      </c>
      <c r="D225" s="497" t="s">
        <v>1474</v>
      </c>
      <c r="E225" s="495" t="s">
        <v>2093</v>
      </c>
      <c r="F225" s="495" t="s">
        <v>2246</v>
      </c>
      <c r="G225" s="495"/>
      <c r="H225" s="495" t="s">
        <v>1544</v>
      </c>
      <c r="I225" s="513" t="s">
        <v>609</v>
      </c>
      <c r="J225" s="229" t="str">
        <f t="shared" si="3"/>
        <v>13</v>
      </c>
    </row>
    <row r="226" spans="1:10" ht="15.75" hidden="1">
      <c r="A226" s="495">
        <v>31</v>
      </c>
      <c r="B226" s="495" t="s">
        <v>2325</v>
      </c>
      <c r="C226" s="496" t="s">
        <v>2129</v>
      </c>
      <c r="D226" s="497" t="s">
        <v>1473</v>
      </c>
      <c r="E226" s="495" t="s">
        <v>2326</v>
      </c>
      <c r="F226" s="495" t="s">
        <v>2246</v>
      </c>
      <c r="G226" s="495"/>
      <c r="H226" s="495" t="s">
        <v>1544</v>
      </c>
      <c r="I226" s="501"/>
      <c r="J226" s="229" t="str">
        <f t="shared" si="3"/>
        <v>13</v>
      </c>
    </row>
    <row r="227" spans="1:10" ht="15.75" hidden="1">
      <c r="A227" s="495">
        <v>32</v>
      </c>
      <c r="B227" s="495" t="s">
        <v>2327</v>
      </c>
      <c r="C227" s="496" t="s">
        <v>2040</v>
      </c>
      <c r="D227" s="497" t="s">
        <v>1476</v>
      </c>
      <c r="E227" s="495" t="s">
        <v>2328</v>
      </c>
      <c r="F227" s="495" t="s">
        <v>2246</v>
      </c>
      <c r="G227" s="495"/>
      <c r="H227" s="495" t="s">
        <v>1544</v>
      </c>
      <c r="I227" s="501"/>
      <c r="J227" s="229" t="str">
        <f t="shared" si="3"/>
        <v>13</v>
      </c>
    </row>
    <row r="228" spans="1:10" ht="15.75" hidden="1">
      <c r="A228" s="495">
        <v>33</v>
      </c>
      <c r="B228" s="495" t="s">
        <v>2329</v>
      </c>
      <c r="C228" s="496" t="s">
        <v>2330</v>
      </c>
      <c r="D228" s="497" t="s">
        <v>2331</v>
      </c>
      <c r="E228" s="495" t="s">
        <v>2283</v>
      </c>
      <c r="F228" s="495" t="s">
        <v>2246</v>
      </c>
      <c r="G228" s="495"/>
      <c r="H228" s="495" t="s">
        <v>1544</v>
      </c>
      <c r="I228" s="502" t="s">
        <v>865</v>
      </c>
      <c r="J228" s="229" t="str">
        <f t="shared" si="3"/>
        <v>13</v>
      </c>
    </row>
    <row r="229" spans="1:10" ht="15.75" hidden="1">
      <c r="A229" s="495">
        <v>34</v>
      </c>
      <c r="B229" s="495" t="s">
        <v>2332</v>
      </c>
      <c r="C229" s="496" t="s">
        <v>2333</v>
      </c>
      <c r="D229" s="497" t="s">
        <v>1912</v>
      </c>
      <c r="E229" s="495" t="s">
        <v>2334</v>
      </c>
      <c r="F229" s="495" t="s">
        <v>2246</v>
      </c>
      <c r="G229" s="495"/>
      <c r="H229" s="495" t="s">
        <v>1544</v>
      </c>
      <c r="I229" s="515" t="s">
        <v>604</v>
      </c>
      <c r="J229" s="229" t="str">
        <f t="shared" si="3"/>
        <v>13</v>
      </c>
    </row>
    <row r="230" spans="1:10" ht="15.75" hidden="1">
      <c r="A230" s="495">
        <v>35</v>
      </c>
      <c r="B230" s="495" t="s">
        <v>2335</v>
      </c>
      <c r="C230" s="496" t="s">
        <v>1540</v>
      </c>
      <c r="D230" s="497" t="s">
        <v>1481</v>
      </c>
      <c r="E230" s="495" t="s">
        <v>1851</v>
      </c>
      <c r="F230" s="495" t="s">
        <v>2246</v>
      </c>
      <c r="G230" s="495"/>
      <c r="H230" s="495" t="s">
        <v>1544</v>
      </c>
      <c r="I230" s="501"/>
      <c r="J230" s="229" t="str">
        <f t="shared" si="3"/>
        <v>13</v>
      </c>
    </row>
    <row r="231" spans="1:10" ht="15.75" hidden="1">
      <c r="A231" s="495">
        <v>36</v>
      </c>
      <c r="B231" s="495" t="s">
        <v>2336</v>
      </c>
      <c r="C231" s="496" t="s">
        <v>2337</v>
      </c>
      <c r="D231" s="497" t="s">
        <v>1483</v>
      </c>
      <c r="E231" s="495" t="s">
        <v>2338</v>
      </c>
      <c r="F231" s="495" t="s">
        <v>2246</v>
      </c>
      <c r="G231" s="495"/>
      <c r="H231" s="495" t="s">
        <v>1544</v>
      </c>
      <c r="I231" s="502" t="s">
        <v>866</v>
      </c>
      <c r="J231" s="229" t="str">
        <f t="shared" si="3"/>
        <v>13</v>
      </c>
    </row>
    <row r="232" spans="1:10" ht="15.75" hidden="1">
      <c r="A232" s="495">
        <v>37</v>
      </c>
      <c r="B232" s="495" t="s">
        <v>2339</v>
      </c>
      <c r="C232" s="496" t="s">
        <v>2340</v>
      </c>
      <c r="D232" s="497" t="s">
        <v>1484</v>
      </c>
      <c r="E232" s="495" t="s">
        <v>2341</v>
      </c>
      <c r="F232" s="495" t="s">
        <v>2246</v>
      </c>
      <c r="G232" s="495"/>
      <c r="H232" s="495" t="s">
        <v>1544</v>
      </c>
      <c r="I232" s="501"/>
      <c r="J232" s="229" t="str">
        <f t="shared" si="3"/>
        <v>13</v>
      </c>
    </row>
    <row r="233" spans="1:10" ht="15.75" hidden="1">
      <c r="A233" s="495">
        <v>38</v>
      </c>
      <c r="B233" s="495" t="s">
        <v>2342</v>
      </c>
      <c r="C233" s="496" t="s">
        <v>2343</v>
      </c>
      <c r="D233" s="497" t="s">
        <v>2344</v>
      </c>
      <c r="E233" s="495" t="s">
        <v>1570</v>
      </c>
      <c r="F233" s="495" t="s">
        <v>2246</v>
      </c>
      <c r="G233" s="495"/>
      <c r="H233" s="495" t="s">
        <v>1544</v>
      </c>
      <c r="I233" s="501"/>
      <c r="J233" s="229" t="str">
        <f t="shared" si="3"/>
        <v>13</v>
      </c>
    </row>
    <row r="234" spans="1:10" ht="15.75" hidden="1">
      <c r="A234" s="495">
        <v>39</v>
      </c>
      <c r="B234" s="495" t="s">
        <v>2345</v>
      </c>
      <c r="C234" s="499" t="s">
        <v>1977</v>
      </c>
      <c r="D234" s="500" t="s">
        <v>1486</v>
      </c>
      <c r="E234" s="498" t="s">
        <v>2346</v>
      </c>
      <c r="F234" s="495" t="s">
        <v>2246</v>
      </c>
      <c r="G234" s="498"/>
      <c r="H234" s="498" t="s">
        <v>1544</v>
      </c>
      <c r="I234" s="502"/>
      <c r="J234" s="229" t="str">
        <f t="shared" si="3"/>
        <v>13</v>
      </c>
    </row>
    <row r="235" spans="1:10" ht="15.75" hidden="1">
      <c r="A235" s="495">
        <v>40</v>
      </c>
      <c r="B235" s="495" t="s">
        <v>2347</v>
      </c>
      <c r="C235" s="496" t="s">
        <v>2129</v>
      </c>
      <c r="D235" s="497" t="s">
        <v>2348</v>
      </c>
      <c r="E235" s="495" t="s">
        <v>2349</v>
      </c>
      <c r="F235" s="495" t="s">
        <v>2246</v>
      </c>
      <c r="G235" s="495"/>
      <c r="H235" s="495" t="s">
        <v>1544</v>
      </c>
      <c r="I235" s="501"/>
      <c r="J235" s="229" t="str">
        <f t="shared" si="3"/>
        <v>13</v>
      </c>
    </row>
    <row r="236" spans="1:10" ht="15.75" hidden="1">
      <c r="A236" s="495">
        <v>1</v>
      </c>
      <c r="B236" s="495" t="s">
        <v>2350</v>
      </c>
      <c r="C236" s="496" t="s">
        <v>2003</v>
      </c>
      <c r="D236" s="497" t="s">
        <v>2249</v>
      </c>
      <c r="E236" s="495" t="s">
        <v>1813</v>
      </c>
      <c r="F236" s="495" t="s">
        <v>2351</v>
      </c>
      <c r="G236" s="495"/>
      <c r="H236" s="495" t="s">
        <v>1544</v>
      </c>
      <c r="I236" s="501"/>
      <c r="J236" s="229" t="str">
        <f t="shared" si="3"/>
        <v>13</v>
      </c>
    </row>
    <row r="237" spans="1:10" ht="15.75" hidden="1">
      <c r="A237" s="495">
        <v>2</v>
      </c>
      <c r="B237" s="495" t="s">
        <v>2352</v>
      </c>
      <c r="C237" s="496" t="s">
        <v>2353</v>
      </c>
      <c r="D237" s="497" t="s">
        <v>1929</v>
      </c>
      <c r="E237" s="495" t="s">
        <v>1758</v>
      </c>
      <c r="F237" s="495" t="s">
        <v>2351</v>
      </c>
      <c r="G237" s="495"/>
      <c r="H237" s="495" t="s">
        <v>1544</v>
      </c>
      <c r="I237" s="515"/>
      <c r="J237" s="229" t="str">
        <f t="shared" si="3"/>
        <v>13</v>
      </c>
    </row>
    <row r="238" spans="1:10" ht="15.75" hidden="1">
      <c r="A238" s="495">
        <v>3</v>
      </c>
      <c r="B238" s="495" t="s">
        <v>2354</v>
      </c>
      <c r="C238" s="496" t="s">
        <v>2355</v>
      </c>
      <c r="D238" s="497" t="s">
        <v>1929</v>
      </c>
      <c r="E238" s="495" t="s">
        <v>2356</v>
      </c>
      <c r="F238" s="495" t="s">
        <v>2351</v>
      </c>
      <c r="G238" s="495" t="s">
        <v>1630</v>
      </c>
      <c r="H238" s="495" t="s">
        <v>1544</v>
      </c>
      <c r="I238" s="501"/>
      <c r="J238" s="229" t="str">
        <f t="shared" si="3"/>
        <v>13</v>
      </c>
    </row>
    <row r="239" spans="1:10" ht="15.75" hidden="1">
      <c r="A239" s="495">
        <v>4</v>
      </c>
      <c r="B239" s="495" t="s">
        <v>2357</v>
      </c>
      <c r="C239" s="499" t="s">
        <v>2358</v>
      </c>
      <c r="D239" s="500" t="s">
        <v>1433</v>
      </c>
      <c r="E239" s="498" t="s">
        <v>2359</v>
      </c>
      <c r="F239" s="495" t="s">
        <v>2351</v>
      </c>
      <c r="G239" s="498"/>
      <c r="H239" s="498" t="s">
        <v>1544</v>
      </c>
      <c r="I239" s="515" t="s">
        <v>604</v>
      </c>
      <c r="J239" s="229" t="str">
        <f t="shared" si="3"/>
        <v>13</v>
      </c>
    </row>
    <row r="240" spans="1:10" ht="15.75" hidden="1">
      <c r="A240" s="495">
        <v>5</v>
      </c>
      <c r="B240" s="495" t="s">
        <v>2360</v>
      </c>
      <c r="C240" s="496" t="s">
        <v>2361</v>
      </c>
      <c r="D240" s="497" t="s">
        <v>2362</v>
      </c>
      <c r="E240" s="495" t="s">
        <v>2363</v>
      </c>
      <c r="F240" s="495" t="s">
        <v>2351</v>
      </c>
      <c r="G240" s="495"/>
      <c r="H240" s="495" t="s">
        <v>1544</v>
      </c>
      <c r="I240" s="513"/>
      <c r="J240" s="229" t="str">
        <f t="shared" si="3"/>
        <v>13</v>
      </c>
    </row>
    <row r="241" spans="1:10" ht="15.75" hidden="1">
      <c r="A241" s="495">
        <v>6</v>
      </c>
      <c r="B241" s="495" t="s">
        <v>2364</v>
      </c>
      <c r="C241" s="496" t="s">
        <v>2365</v>
      </c>
      <c r="D241" s="497" t="s">
        <v>2258</v>
      </c>
      <c r="E241" s="495" t="s">
        <v>2366</v>
      </c>
      <c r="F241" s="495" t="s">
        <v>2351</v>
      </c>
      <c r="G241" s="495"/>
      <c r="H241" s="495" t="s">
        <v>1544</v>
      </c>
      <c r="I241" s="501"/>
      <c r="J241" s="229" t="str">
        <f t="shared" si="3"/>
        <v>13</v>
      </c>
    </row>
    <row r="242" spans="1:10" ht="15.75" hidden="1">
      <c r="A242" s="495">
        <v>7</v>
      </c>
      <c r="B242" s="495" t="s">
        <v>2367</v>
      </c>
      <c r="C242" s="496" t="s">
        <v>2368</v>
      </c>
      <c r="D242" s="497" t="s">
        <v>2260</v>
      </c>
      <c r="E242" s="495" t="s">
        <v>1819</v>
      </c>
      <c r="F242" s="495" t="s">
        <v>2351</v>
      </c>
      <c r="G242" s="495" t="s">
        <v>1704</v>
      </c>
      <c r="H242" s="495" t="s">
        <v>1544</v>
      </c>
      <c r="I242" s="501"/>
      <c r="J242" s="229" t="str">
        <f t="shared" si="3"/>
        <v>13</v>
      </c>
    </row>
    <row r="243" spans="1:10" ht="15.75" hidden="1">
      <c r="A243" s="495">
        <v>8</v>
      </c>
      <c r="B243" s="495" t="s">
        <v>2369</v>
      </c>
      <c r="C243" s="496" t="s">
        <v>2370</v>
      </c>
      <c r="D243" s="497" t="s">
        <v>2143</v>
      </c>
      <c r="E243" s="495" t="s">
        <v>2371</v>
      </c>
      <c r="F243" s="495" t="s">
        <v>2351</v>
      </c>
      <c r="G243" s="495"/>
      <c r="H243" s="495" t="s">
        <v>1544</v>
      </c>
      <c r="I243" s="501"/>
      <c r="J243" s="229" t="str">
        <f t="shared" si="3"/>
        <v>13</v>
      </c>
    </row>
    <row r="244" spans="1:10" ht="15.75" hidden="1">
      <c r="A244" s="495">
        <v>9</v>
      </c>
      <c r="B244" s="495" t="s">
        <v>2372</v>
      </c>
      <c r="C244" s="499" t="s">
        <v>1869</v>
      </c>
      <c r="D244" s="500" t="s">
        <v>1558</v>
      </c>
      <c r="E244" s="498" t="s">
        <v>2373</v>
      </c>
      <c r="F244" s="495" t="s">
        <v>2351</v>
      </c>
      <c r="G244" s="498"/>
      <c r="H244" s="498" t="s">
        <v>1544</v>
      </c>
      <c r="I244" s="515" t="s">
        <v>604</v>
      </c>
      <c r="J244" s="229" t="str">
        <f t="shared" si="3"/>
        <v>13</v>
      </c>
    </row>
    <row r="245" spans="1:10" ht="15.75" hidden="1">
      <c r="A245" s="495">
        <v>10</v>
      </c>
      <c r="B245" s="495" t="s">
        <v>2374</v>
      </c>
      <c r="C245" s="496" t="s">
        <v>2375</v>
      </c>
      <c r="D245" s="497" t="s">
        <v>1558</v>
      </c>
      <c r="E245" s="495" t="s">
        <v>2376</v>
      </c>
      <c r="F245" s="495" t="s">
        <v>2351</v>
      </c>
      <c r="G245" s="495"/>
      <c r="H245" s="495" t="s">
        <v>1544</v>
      </c>
      <c r="I245" s="510"/>
      <c r="J245" s="229" t="str">
        <f t="shared" si="3"/>
        <v>13</v>
      </c>
    </row>
    <row r="246" spans="1:10" ht="15.75" hidden="1">
      <c r="A246" s="495">
        <v>11</v>
      </c>
      <c r="B246" s="495" t="s">
        <v>2378</v>
      </c>
      <c r="C246" s="496" t="s">
        <v>2379</v>
      </c>
      <c r="D246" s="497" t="s">
        <v>1566</v>
      </c>
      <c r="E246" s="495" t="s">
        <v>2380</v>
      </c>
      <c r="F246" s="495" t="s">
        <v>2351</v>
      </c>
      <c r="G246" s="495"/>
      <c r="H246" s="495" t="s">
        <v>1544</v>
      </c>
      <c r="I246" s="501"/>
      <c r="J246" s="229" t="str">
        <f t="shared" si="3"/>
        <v>13</v>
      </c>
    </row>
    <row r="247" spans="1:10" ht="15.75" hidden="1">
      <c r="A247" s="495">
        <v>12</v>
      </c>
      <c r="B247" s="495" t="s">
        <v>2381</v>
      </c>
      <c r="C247" s="496" t="s">
        <v>1439</v>
      </c>
      <c r="D247" s="497" t="s">
        <v>1566</v>
      </c>
      <c r="E247" s="495" t="s">
        <v>2382</v>
      </c>
      <c r="F247" s="495" t="s">
        <v>2351</v>
      </c>
      <c r="G247" s="495"/>
      <c r="H247" s="495" t="s">
        <v>1544</v>
      </c>
      <c r="I247" s="501"/>
      <c r="J247" s="229" t="str">
        <f t="shared" si="3"/>
        <v>13</v>
      </c>
    </row>
    <row r="248" spans="1:10" ht="15.75" hidden="1">
      <c r="A248" s="495">
        <v>13</v>
      </c>
      <c r="B248" s="495" t="s">
        <v>2383</v>
      </c>
      <c r="C248" s="496" t="s">
        <v>2302</v>
      </c>
      <c r="D248" s="497" t="s">
        <v>2384</v>
      </c>
      <c r="E248" s="495" t="s">
        <v>2380</v>
      </c>
      <c r="F248" s="495" t="s">
        <v>2351</v>
      </c>
      <c r="G248" s="495"/>
      <c r="H248" s="495" t="s">
        <v>1544</v>
      </c>
      <c r="I248" s="501"/>
      <c r="J248" s="229" t="str">
        <f t="shared" si="3"/>
        <v>13</v>
      </c>
    </row>
    <row r="249" spans="1:10" ht="15.75" hidden="1">
      <c r="A249" s="495">
        <v>14</v>
      </c>
      <c r="B249" s="495" t="s">
        <v>2388</v>
      </c>
      <c r="C249" s="496" t="s">
        <v>2389</v>
      </c>
      <c r="D249" s="497" t="s">
        <v>1841</v>
      </c>
      <c r="E249" s="495" t="s">
        <v>2191</v>
      </c>
      <c r="F249" s="495" t="s">
        <v>2351</v>
      </c>
      <c r="G249" s="495"/>
      <c r="H249" s="495" t="s">
        <v>851</v>
      </c>
      <c r="I249" s="501"/>
      <c r="J249" s="229" t="str">
        <f t="shared" si="3"/>
        <v>13</v>
      </c>
    </row>
    <row r="250" spans="1:10" ht="15.75" hidden="1">
      <c r="A250" s="495">
        <v>15</v>
      </c>
      <c r="B250" s="495" t="s">
        <v>2390</v>
      </c>
      <c r="C250" s="496" t="s">
        <v>1742</v>
      </c>
      <c r="D250" s="497" t="s">
        <v>2391</v>
      </c>
      <c r="E250" s="495" t="s">
        <v>2392</v>
      </c>
      <c r="F250" s="495" t="s">
        <v>2351</v>
      </c>
      <c r="G250" s="495"/>
      <c r="H250" s="495" t="s">
        <v>1544</v>
      </c>
      <c r="I250" s="502" t="s">
        <v>867</v>
      </c>
      <c r="J250" s="229" t="str">
        <f t="shared" si="3"/>
        <v>13</v>
      </c>
    </row>
    <row r="251" spans="1:10" ht="15.75" hidden="1">
      <c r="A251" s="495">
        <v>16</v>
      </c>
      <c r="B251" s="495" t="s">
        <v>2394</v>
      </c>
      <c r="C251" s="496" t="s">
        <v>2395</v>
      </c>
      <c r="D251" s="497" t="s">
        <v>1580</v>
      </c>
      <c r="E251" s="495" t="s">
        <v>2396</v>
      </c>
      <c r="F251" s="495" t="s">
        <v>2351</v>
      </c>
      <c r="G251" s="495"/>
      <c r="H251" s="495" t="s">
        <v>1544</v>
      </c>
      <c r="I251" s="501"/>
      <c r="J251" s="229" t="str">
        <f t="shared" si="3"/>
        <v>13</v>
      </c>
    </row>
    <row r="252" spans="1:10" ht="15.75" hidden="1">
      <c r="A252" s="495">
        <v>17</v>
      </c>
      <c r="B252" s="495" t="s">
        <v>2397</v>
      </c>
      <c r="C252" s="496" t="s">
        <v>1966</v>
      </c>
      <c r="D252" s="497" t="s">
        <v>1585</v>
      </c>
      <c r="E252" s="495" t="s">
        <v>2398</v>
      </c>
      <c r="F252" s="495" t="s">
        <v>2351</v>
      </c>
      <c r="G252" s="495"/>
      <c r="H252" s="495" t="s">
        <v>1544</v>
      </c>
      <c r="I252" s="501"/>
      <c r="J252" s="229" t="str">
        <f t="shared" si="3"/>
        <v>13</v>
      </c>
    </row>
    <row r="253" spans="1:10" ht="15.75" hidden="1">
      <c r="A253" s="495">
        <v>18</v>
      </c>
      <c r="B253" s="495" t="s">
        <v>2399</v>
      </c>
      <c r="C253" s="496" t="s">
        <v>1444</v>
      </c>
      <c r="D253" s="497" t="s">
        <v>1626</v>
      </c>
      <c r="E253" s="495" t="s">
        <v>1967</v>
      </c>
      <c r="F253" s="495" t="s">
        <v>2351</v>
      </c>
      <c r="G253" s="495"/>
      <c r="H253" s="495" t="s">
        <v>1544</v>
      </c>
      <c r="I253" s="502"/>
      <c r="J253" s="229" t="str">
        <f t="shared" si="3"/>
        <v>13</v>
      </c>
    </row>
    <row r="254" spans="1:10" ht="15.75" hidden="1">
      <c r="A254" s="495">
        <v>19</v>
      </c>
      <c r="B254" s="495" t="s">
        <v>2400</v>
      </c>
      <c r="C254" s="496" t="s">
        <v>2401</v>
      </c>
      <c r="D254" s="497" t="s">
        <v>1449</v>
      </c>
      <c r="E254" s="495" t="s">
        <v>1753</v>
      </c>
      <c r="F254" s="495" t="s">
        <v>2351</v>
      </c>
      <c r="G254" s="495"/>
      <c r="H254" s="495" t="s">
        <v>1544</v>
      </c>
      <c r="I254" s="501"/>
      <c r="J254" s="229" t="str">
        <f t="shared" si="3"/>
        <v>13</v>
      </c>
    </row>
    <row r="255" spans="1:10" ht="15.75" hidden="1">
      <c r="A255" s="495">
        <v>20</v>
      </c>
      <c r="B255" s="495" t="s">
        <v>2402</v>
      </c>
      <c r="C255" s="496" t="s">
        <v>2103</v>
      </c>
      <c r="D255" s="497" t="s">
        <v>1635</v>
      </c>
      <c r="E255" s="495" t="s">
        <v>2403</v>
      </c>
      <c r="F255" s="495" t="s">
        <v>2351</v>
      </c>
      <c r="G255" s="495"/>
      <c r="H255" s="495" t="s">
        <v>1544</v>
      </c>
      <c r="I255" s="502" t="s">
        <v>605</v>
      </c>
      <c r="J255" s="229" t="str">
        <f t="shared" si="3"/>
        <v>13</v>
      </c>
    </row>
    <row r="256" spans="1:10" ht="15.75" hidden="1">
      <c r="A256" s="495">
        <v>21</v>
      </c>
      <c r="B256" s="495" t="s">
        <v>2404</v>
      </c>
      <c r="C256" s="496" t="s">
        <v>2083</v>
      </c>
      <c r="D256" s="497" t="s">
        <v>1454</v>
      </c>
      <c r="E256" s="495" t="s">
        <v>2405</v>
      </c>
      <c r="F256" s="495" t="s">
        <v>2351</v>
      </c>
      <c r="G256" s="495"/>
      <c r="H256" s="495" t="s">
        <v>1544</v>
      </c>
      <c r="I256" s="501"/>
      <c r="J256" s="229" t="str">
        <f t="shared" si="3"/>
        <v>13</v>
      </c>
    </row>
    <row r="257" spans="1:10" ht="15.75" hidden="1">
      <c r="A257" s="495">
        <v>22</v>
      </c>
      <c r="B257" s="495" t="s">
        <v>2406</v>
      </c>
      <c r="C257" s="499" t="s">
        <v>1448</v>
      </c>
      <c r="D257" s="500" t="s">
        <v>1763</v>
      </c>
      <c r="E257" s="498" t="s">
        <v>2407</v>
      </c>
      <c r="F257" s="495" t="s">
        <v>2351</v>
      </c>
      <c r="G257" s="498" t="s">
        <v>1642</v>
      </c>
      <c r="H257" s="498" t="s">
        <v>851</v>
      </c>
      <c r="I257" s="502"/>
      <c r="J257" s="229" t="str">
        <f t="shared" si="3"/>
        <v>13</v>
      </c>
    </row>
    <row r="258" spans="1:10" ht="15.75" hidden="1">
      <c r="A258" s="495">
        <v>23</v>
      </c>
      <c r="B258" s="495" t="s">
        <v>2408</v>
      </c>
      <c r="C258" s="496" t="s">
        <v>2409</v>
      </c>
      <c r="D258" s="497" t="s">
        <v>1649</v>
      </c>
      <c r="E258" s="495" t="s">
        <v>1632</v>
      </c>
      <c r="F258" s="495" t="s">
        <v>2351</v>
      </c>
      <c r="G258" s="495"/>
      <c r="H258" s="495" t="s">
        <v>1544</v>
      </c>
      <c r="I258" s="502"/>
      <c r="J258" s="229" t="str">
        <f t="shared" si="3"/>
        <v>13</v>
      </c>
    </row>
    <row r="259" spans="1:10" ht="15.75" hidden="1">
      <c r="A259" s="495">
        <v>24</v>
      </c>
      <c r="B259" s="495" t="s">
        <v>2410</v>
      </c>
      <c r="C259" s="496" t="s">
        <v>2411</v>
      </c>
      <c r="D259" s="497" t="s">
        <v>1649</v>
      </c>
      <c r="E259" s="495" t="s">
        <v>2412</v>
      </c>
      <c r="F259" s="495" t="s">
        <v>2351</v>
      </c>
      <c r="G259" s="495"/>
      <c r="H259" s="495" t="s">
        <v>1544</v>
      </c>
      <c r="I259" s="501"/>
      <c r="J259" s="229" t="str">
        <f t="shared" ref="J259:J322" si="4">LEFT(F259,2)</f>
        <v>13</v>
      </c>
    </row>
    <row r="260" spans="1:10" ht="15.75" hidden="1">
      <c r="A260" s="495">
        <v>25</v>
      </c>
      <c r="B260" s="495" t="s">
        <v>2413</v>
      </c>
      <c r="C260" s="496" t="s">
        <v>2414</v>
      </c>
      <c r="D260" s="497" t="s">
        <v>1457</v>
      </c>
      <c r="E260" s="495" t="s">
        <v>2415</v>
      </c>
      <c r="F260" s="495" t="s">
        <v>2351</v>
      </c>
      <c r="G260" s="495"/>
      <c r="H260" s="495" t="s">
        <v>1544</v>
      </c>
      <c r="I260" s="513"/>
      <c r="J260" s="229" t="str">
        <f t="shared" si="4"/>
        <v>13</v>
      </c>
    </row>
    <row r="261" spans="1:10" ht="15.75" hidden="1">
      <c r="A261" s="495">
        <v>26</v>
      </c>
      <c r="B261" s="495" t="s">
        <v>2416</v>
      </c>
      <c r="C261" s="496" t="s">
        <v>1453</v>
      </c>
      <c r="D261" s="497" t="s">
        <v>2300</v>
      </c>
      <c r="E261" s="495" t="s">
        <v>2417</v>
      </c>
      <c r="F261" s="495" t="s">
        <v>2351</v>
      </c>
      <c r="G261" s="495"/>
      <c r="H261" s="495" t="s">
        <v>851</v>
      </c>
      <c r="I261" s="516"/>
      <c r="J261" s="229" t="str">
        <f t="shared" si="4"/>
        <v>13</v>
      </c>
    </row>
    <row r="262" spans="1:10" ht="15.75" hidden="1">
      <c r="A262" s="495">
        <v>27</v>
      </c>
      <c r="B262" s="495" t="s">
        <v>2418</v>
      </c>
      <c r="C262" s="496" t="s">
        <v>2419</v>
      </c>
      <c r="D262" s="497" t="s">
        <v>2300</v>
      </c>
      <c r="E262" s="495" t="s">
        <v>2420</v>
      </c>
      <c r="F262" s="495" t="s">
        <v>2351</v>
      </c>
      <c r="G262" s="495"/>
      <c r="H262" s="495" t="s">
        <v>851</v>
      </c>
      <c r="I262" s="501"/>
      <c r="J262" s="229" t="str">
        <f t="shared" si="4"/>
        <v>13</v>
      </c>
    </row>
    <row r="263" spans="1:10" ht="15.75" hidden="1">
      <c r="A263" s="495">
        <v>28</v>
      </c>
      <c r="B263" s="495" t="s">
        <v>2422</v>
      </c>
      <c r="C263" s="499" t="s">
        <v>1858</v>
      </c>
      <c r="D263" s="500" t="s">
        <v>1672</v>
      </c>
      <c r="E263" s="498" t="s">
        <v>2423</v>
      </c>
      <c r="F263" s="495" t="s">
        <v>2351</v>
      </c>
      <c r="G263" s="498"/>
      <c r="H263" s="498" t="s">
        <v>1544</v>
      </c>
      <c r="I263" s="502"/>
      <c r="J263" s="229" t="str">
        <f t="shared" si="4"/>
        <v>13</v>
      </c>
    </row>
    <row r="264" spans="1:10" ht="15.75" hidden="1">
      <c r="A264" s="495">
        <v>29</v>
      </c>
      <c r="B264" s="495" t="s">
        <v>2424</v>
      </c>
      <c r="C264" s="496" t="s">
        <v>2358</v>
      </c>
      <c r="D264" s="497" t="s">
        <v>1466</v>
      </c>
      <c r="E264" s="495" t="s">
        <v>2425</v>
      </c>
      <c r="F264" s="495" t="s">
        <v>2351</v>
      </c>
      <c r="G264" s="495"/>
      <c r="H264" s="495" t="s">
        <v>1544</v>
      </c>
      <c r="I264" s="501"/>
      <c r="J264" s="229" t="str">
        <f t="shared" si="4"/>
        <v>13</v>
      </c>
    </row>
    <row r="265" spans="1:10" ht="15.75" hidden="1">
      <c r="A265" s="495">
        <v>30</v>
      </c>
      <c r="B265" s="495" t="s">
        <v>2426</v>
      </c>
      <c r="C265" s="496" t="s">
        <v>2427</v>
      </c>
      <c r="D265" s="497" t="s">
        <v>1677</v>
      </c>
      <c r="E265" s="495" t="s">
        <v>2428</v>
      </c>
      <c r="F265" s="495" t="s">
        <v>2351</v>
      </c>
      <c r="G265" s="495"/>
      <c r="H265" s="495" t="s">
        <v>1544</v>
      </c>
      <c r="I265" s="515" t="s">
        <v>604</v>
      </c>
      <c r="J265" s="229" t="str">
        <f t="shared" si="4"/>
        <v>13</v>
      </c>
    </row>
    <row r="266" spans="1:10" ht="15.75" hidden="1">
      <c r="A266" s="495">
        <v>31</v>
      </c>
      <c r="B266" s="495" t="s">
        <v>2429</v>
      </c>
      <c r="C266" s="496" t="s">
        <v>2430</v>
      </c>
      <c r="D266" s="497" t="s">
        <v>1681</v>
      </c>
      <c r="E266" s="495" t="s">
        <v>2359</v>
      </c>
      <c r="F266" s="495" t="s">
        <v>2351</v>
      </c>
      <c r="G266" s="495"/>
      <c r="H266" s="495" t="s">
        <v>1544</v>
      </c>
      <c r="I266" s="501"/>
      <c r="J266" s="229" t="str">
        <f t="shared" si="4"/>
        <v>13</v>
      </c>
    </row>
    <row r="267" spans="1:10" ht="15.75" hidden="1">
      <c r="A267" s="495">
        <v>32</v>
      </c>
      <c r="B267" s="495" t="s">
        <v>2431</v>
      </c>
      <c r="C267" s="496" t="s">
        <v>2432</v>
      </c>
      <c r="D267" s="497" t="s">
        <v>1476</v>
      </c>
      <c r="E267" s="495" t="s">
        <v>2433</v>
      </c>
      <c r="F267" s="495" t="s">
        <v>2351</v>
      </c>
      <c r="G267" s="495"/>
      <c r="H267" s="495" t="s">
        <v>1544</v>
      </c>
      <c r="I267" s="515"/>
      <c r="J267" s="229" t="str">
        <f t="shared" si="4"/>
        <v>13</v>
      </c>
    </row>
    <row r="268" spans="1:10" ht="15.75" hidden="1">
      <c r="A268" s="495">
        <v>33</v>
      </c>
      <c r="B268" s="495" t="s">
        <v>2435</v>
      </c>
      <c r="C268" s="496" t="s">
        <v>2436</v>
      </c>
      <c r="D268" s="497" t="s">
        <v>1483</v>
      </c>
      <c r="E268" s="495" t="s">
        <v>1823</v>
      </c>
      <c r="F268" s="495" t="s">
        <v>2351</v>
      </c>
      <c r="G268" s="495"/>
      <c r="H268" s="495" t="s">
        <v>1544</v>
      </c>
      <c r="I268" s="495"/>
      <c r="J268" s="229" t="str">
        <f t="shared" si="4"/>
        <v>13</v>
      </c>
    </row>
    <row r="269" spans="1:10" ht="15.75" hidden="1">
      <c r="A269" s="495">
        <v>34</v>
      </c>
      <c r="B269" s="495" t="s">
        <v>2437</v>
      </c>
      <c r="C269" s="496" t="s">
        <v>2438</v>
      </c>
      <c r="D269" s="497" t="s">
        <v>2344</v>
      </c>
      <c r="E269" s="495" t="s">
        <v>2158</v>
      </c>
      <c r="F269" s="495" t="s">
        <v>2351</v>
      </c>
      <c r="G269" s="495"/>
      <c r="H269" s="495" t="s">
        <v>1544</v>
      </c>
      <c r="I269" s="510"/>
      <c r="J269" s="229" t="str">
        <f t="shared" si="4"/>
        <v>13</v>
      </c>
    </row>
    <row r="270" spans="1:10" ht="15.75" hidden="1">
      <c r="A270" s="495">
        <v>35</v>
      </c>
      <c r="B270" s="495" t="s">
        <v>2439</v>
      </c>
      <c r="C270" s="496" t="s">
        <v>2440</v>
      </c>
      <c r="D270" s="497" t="s">
        <v>2441</v>
      </c>
      <c r="E270" s="495" t="s">
        <v>2442</v>
      </c>
      <c r="F270" s="495" t="s">
        <v>2351</v>
      </c>
      <c r="G270" s="495"/>
      <c r="H270" s="495" t="s">
        <v>851</v>
      </c>
      <c r="I270" s="501"/>
      <c r="J270" s="229" t="str">
        <f t="shared" si="4"/>
        <v>13</v>
      </c>
    </row>
    <row r="271" spans="1:10" ht="15.75" hidden="1">
      <c r="A271" s="495">
        <v>36</v>
      </c>
      <c r="B271" s="495" t="s">
        <v>868</v>
      </c>
      <c r="C271" s="496" t="s">
        <v>1616</v>
      </c>
      <c r="D271" s="497" t="s">
        <v>1558</v>
      </c>
      <c r="E271" s="495" t="s">
        <v>1792</v>
      </c>
      <c r="F271" s="495" t="s">
        <v>2351</v>
      </c>
      <c r="G271" s="501" t="s">
        <v>858</v>
      </c>
      <c r="H271" s="495" t="s">
        <v>851</v>
      </c>
      <c r="I271" s="518" t="s">
        <v>869</v>
      </c>
      <c r="J271" s="229" t="str">
        <f t="shared" si="4"/>
        <v>13</v>
      </c>
    </row>
    <row r="272" spans="1:10" ht="15.75" hidden="1">
      <c r="A272" s="495">
        <v>37</v>
      </c>
      <c r="B272" s="498" t="s">
        <v>870</v>
      </c>
      <c r="C272" s="499" t="s">
        <v>871</v>
      </c>
      <c r="D272" s="500" t="s">
        <v>1438</v>
      </c>
      <c r="E272" s="498" t="s">
        <v>872</v>
      </c>
      <c r="F272" s="495" t="s">
        <v>2351</v>
      </c>
      <c r="G272" s="502" t="s">
        <v>1619</v>
      </c>
      <c r="H272" s="498" t="s">
        <v>1544</v>
      </c>
      <c r="I272" s="518" t="s">
        <v>610</v>
      </c>
      <c r="J272" s="229" t="str">
        <f t="shared" si="4"/>
        <v>13</v>
      </c>
    </row>
    <row r="273" spans="1:10" ht="15.75" hidden="1">
      <c r="A273" s="495">
        <v>38</v>
      </c>
      <c r="B273" s="498" t="s">
        <v>873</v>
      </c>
      <c r="C273" s="499" t="s">
        <v>874</v>
      </c>
      <c r="D273" s="500" t="s">
        <v>875</v>
      </c>
      <c r="E273" s="498" t="s">
        <v>2118</v>
      </c>
      <c r="F273" s="495" t="s">
        <v>2351</v>
      </c>
      <c r="G273" s="502" t="s">
        <v>858</v>
      </c>
      <c r="H273" s="498" t="s">
        <v>1544</v>
      </c>
      <c r="I273" s="518" t="s">
        <v>876</v>
      </c>
      <c r="J273" s="229" t="str">
        <f t="shared" si="4"/>
        <v>13</v>
      </c>
    </row>
    <row r="274" spans="1:10" ht="15.75" hidden="1">
      <c r="A274" s="495">
        <v>39</v>
      </c>
      <c r="B274" s="498" t="s">
        <v>877</v>
      </c>
      <c r="C274" s="499" t="s">
        <v>878</v>
      </c>
      <c r="D274" s="500" t="s">
        <v>1484</v>
      </c>
      <c r="E274" s="498" t="s">
        <v>879</v>
      </c>
      <c r="F274" s="495" t="s">
        <v>2351</v>
      </c>
      <c r="G274" s="502" t="s">
        <v>858</v>
      </c>
      <c r="H274" s="498" t="s">
        <v>1544</v>
      </c>
      <c r="I274" s="518" t="s">
        <v>880</v>
      </c>
      <c r="J274" s="229" t="str">
        <f t="shared" si="4"/>
        <v>13</v>
      </c>
    </row>
    <row r="275" spans="1:10" ht="15.75" hidden="1">
      <c r="A275" s="495">
        <v>1</v>
      </c>
      <c r="B275" s="495" t="s">
        <v>2443</v>
      </c>
      <c r="C275" s="496" t="s">
        <v>1916</v>
      </c>
      <c r="D275" s="497" t="s">
        <v>2249</v>
      </c>
      <c r="E275" s="495" t="s">
        <v>2444</v>
      </c>
      <c r="F275" s="495" t="s">
        <v>2445</v>
      </c>
      <c r="G275" s="495"/>
      <c r="H275" s="495" t="s">
        <v>1544</v>
      </c>
      <c r="I275" s="501"/>
      <c r="J275" s="229" t="str">
        <f t="shared" si="4"/>
        <v>13</v>
      </c>
    </row>
    <row r="276" spans="1:10" ht="15.75" hidden="1">
      <c r="A276" s="495">
        <v>2</v>
      </c>
      <c r="B276" s="495" t="s">
        <v>2446</v>
      </c>
      <c r="C276" s="496" t="s">
        <v>2447</v>
      </c>
      <c r="D276" s="497" t="s">
        <v>1929</v>
      </c>
      <c r="E276" s="495" t="s">
        <v>2448</v>
      </c>
      <c r="F276" s="495" t="s">
        <v>2445</v>
      </c>
      <c r="G276" s="495"/>
      <c r="H276" s="495" t="s">
        <v>1544</v>
      </c>
      <c r="I276" s="501"/>
      <c r="J276" s="229" t="str">
        <f t="shared" si="4"/>
        <v>13</v>
      </c>
    </row>
    <row r="277" spans="1:10" ht="15.75" hidden="1">
      <c r="A277" s="495">
        <v>3</v>
      </c>
      <c r="B277" s="495" t="s">
        <v>2449</v>
      </c>
      <c r="C277" s="496" t="s">
        <v>2450</v>
      </c>
      <c r="D277" s="497" t="s">
        <v>1712</v>
      </c>
      <c r="E277" s="495" t="s">
        <v>1666</v>
      </c>
      <c r="F277" s="495" t="s">
        <v>2445</v>
      </c>
      <c r="G277" s="495" t="s">
        <v>1630</v>
      </c>
      <c r="H277" s="495" t="s">
        <v>1544</v>
      </c>
      <c r="I277" s="501"/>
      <c r="J277" s="229" t="str">
        <f t="shared" si="4"/>
        <v>13</v>
      </c>
    </row>
    <row r="278" spans="1:10" ht="15.75" hidden="1">
      <c r="A278" s="495">
        <v>4</v>
      </c>
      <c r="B278" s="495" t="s">
        <v>2451</v>
      </c>
      <c r="C278" s="496" t="s">
        <v>2018</v>
      </c>
      <c r="D278" s="497" t="s">
        <v>2452</v>
      </c>
      <c r="E278" s="495" t="s">
        <v>1715</v>
      </c>
      <c r="F278" s="495" t="s">
        <v>2445</v>
      </c>
      <c r="G278" s="495"/>
      <c r="H278" s="495" t="s">
        <v>851</v>
      </c>
      <c r="I278" s="502" t="s">
        <v>611</v>
      </c>
      <c r="J278" s="229" t="str">
        <f t="shared" si="4"/>
        <v>13</v>
      </c>
    </row>
    <row r="279" spans="1:10" ht="15.75" hidden="1">
      <c r="A279" s="495">
        <v>5</v>
      </c>
      <c r="B279" s="495" t="s">
        <v>2453</v>
      </c>
      <c r="C279" s="496" t="s">
        <v>1439</v>
      </c>
      <c r="D279" s="497" t="s">
        <v>2143</v>
      </c>
      <c r="E279" s="495" t="s">
        <v>2454</v>
      </c>
      <c r="F279" s="495" t="s">
        <v>2445</v>
      </c>
      <c r="G279" s="495"/>
      <c r="H279" s="495" t="s">
        <v>1544</v>
      </c>
      <c r="I279" s="515" t="s">
        <v>865</v>
      </c>
      <c r="J279" s="229" t="str">
        <f t="shared" si="4"/>
        <v>13</v>
      </c>
    </row>
    <row r="280" spans="1:10" ht="15.75" hidden="1">
      <c r="A280" s="495">
        <v>6</v>
      </c>
      <c r="B280" s="495" t="s">
        <v>2455</v>
      </c>
      <c r="C280" s="496" t="s">
        <v>1439</v>
      </c>
      <c r="D280" s="497" t="s">
        <v>2456</v>
      </c>
      <c r="E280" s="495" t="s">
        <v>2457</v>
      </c>
      <c r="F280" s="495" t="s">
        <v>2445</v>
      </c>
      <c r="G280" s="495" t="s">
        <v>1704</v>
      </c>
      <c r="H280" s="495" t="s">
        <v>1544</v>
      </c>
      <c r="I280" s="501"/>
      <c r="J280" s="229" t="str">
        <f t="shared" si="4"/>
        <v>13</v>
      </c>
    </row>
    <row r="281" spans="1:10" ht="15.75" hidden="1">
      <c r="A281" s="495">
        <v>7</v>
      </c>
      <c r="B281" s="495" t="s">
        <v>2458</v>
      </c>
      <c r="C281" s="496" t="s">
        <v>2459</v>
      </c>
      <c r="D281" s="497" t="s">
        <v>1440</v>
      </c>
      <c r="E281" s="495" t="s">
        <v>2165</v>
      </c>
      <c r="F281" s="495" t="s">
        <v>2445</v>
      </c>
      <c r="G281" s="495"/>
      <c r="H281" s="495" t="s">
        <v>1544</v>
      </c>
      <c r="I281" s="502"/>
      <c r="J281" s="229" t="str">
        <f t="shared" si="4"/>
        <v>13</v>
      </c>
    </row>
    <row r="282" spans="1:10" ht="15.75" hidden="1">
      <c r="A282" s="495">
        <v>8</v>
      </c>
      <c r="B282" s="495" t="s">
        <v>2460</v>
      </c>
      <c r="C282" s="496" t="s">
        <v>2461</v>
      </c>
      <c r="D282" s="497" t="s">
        <v>2462</v>
      </c>
      <c r="E282" s="495" t="s">
        <v>2463</v>
      </c>
      <c r="F282" s="495" t="s">
        <v>2445</v>
      </c>
      <c r="G282" s="495" t="s">
        <v>1551</v>
      </c>
      <c r="H282" s="495" t="s">
        <v>1544</v>
      </c>
      <c r="I282" s="501"/>
      <c r="J282" s="229" t="str">
        <f t="shared" si="4"/>
        <v>13</v>
      </c>
    </row>
    <row r="283" spans="1:10" ht="15.75" hidden="1">
      <c r="A283" s="495">
        <v>9</v>
      </c>
      <c r="B283" s="495" t="s">
        <v>2464</v>
      </c>
      <c r="C283" s="496" t="s">
        <v>2465</v>
      </c>
      <c r="D283" s="497" t="s">
        <v>1724</v>
      </c>
      <c r="E283" s="495" t="s">
        <v>2213</v>
      </c>
      <c r="F283" s="495" t="s">
        <v>2445</v>
      </c>
      <c r="G283" s="495"/>
      <c r="H283" s="495" t="s">
        <v>1544</v>
      </c>
      <c r="I283" s="501"/>
      <c r="J283" s="229" t="str">
        <f t="shared" si="4"/>
        <v>13</v>
      </c>
    </row>
    <row r="284" spans="1:10" ht="15.75" hidden="1">
      <c r="A284" s="495">
        <v>10</v>
      </c>
      <c r="B284" s="495" t="s">
        <v>2466</v>
      </c>
      <c r="C284" s="496" t="s">
        <v>1973</v>
      </c>
      <c r="D284" s="497" t="s">
        <v>1580</v>
      </c>
      <c r="E284" s="495" t="s">
        <v>2467</v>
      </c>
      <c r="F284" s="495" t="s">
        <v>2445</v>
      </c>
      <c r="G284" s="495"/>
      <c r="H284" s="495" t="s">
        <v>1544</v>
      </c>
      <c r="I284" s="501"/>
      <c r="J284" s="229" t="str">
        <f t="shared" si="4"/>
        <v>13</v>
      </c>
    </row>
    <row r="285" spans="1:10" ht="15.75" hidden="1">
      <c r="A285" s="495">
        <v>11</v>
      </c>
      <c r="B285" s="495" t="s">
        <v>2469</v>
      </c>
      <c r="C285" s="496" t="s">
        <v>2470</v>
      </c>
      <c r="D285" s="497" t="s">
        <v>1617</v>
      </c>
      <c r="E285" s="495" t="s">
        <v>1764</v>
      </c>
      <c r="F285" s="495" t="s">
        <v>2445</v>
      </c>
      <c r="G285" s="495"/>
      <c r="H285" s="495" t="s">
        <v>1544</v>
      </c>
      <c r="I285" s="501"/>
      <c r="J285" s="229" t="str">
        <f t="shared" si="4"/>
        <v>13</v>
      </c>
    </row>
    <row r="286" spans="1:10" ht="15.75" hidden="1">
      <c r="A286" s="495">
        <v>12</v>
      </c>
      <c r="B286" s="495" t="s">
        <v>2471</v>
      </c>
      <c r="C286" s="496" t="s">
        <v>1941</v>
      </c>
      <c r="D286" s="497" t="s">
        <v>1626</v>
      </c>
      <c r="E286" s="495" t="s">
        <v>2472</v>
      </c>
      <c r="F286" s="495" t="s">
        <v>2445</v>
      </c>
      <c r="G286" s="495"/>
      <c r="H286" s="495" t="s">
        <v>1544</v>
      </c>
      <c r="I286" s="501"/>
      <c r="J286" s="229" t="str">
        <f t="shared" si="4"/>
        <v>13</v>
      </c>
    </row>
    <row r="287" spans="1:10" ht="15.75" hidden="1">
      <c r="A287" s="495">
        <v>13</v>
      </c>
      <c r="B287" s="495" t="s">
        <v>2473</v>
      </c>
      <c r="C287" s="496" t="s">
        <v>2474</v>
      </c>
      <c r="D287" s="497" t="s">
        <v>1628</v>
      </c>
      <c r="E287" s="495" t="s">
        <v>2227</v>
      </c>
      <c r="F287" s="495" t="s">
        <v>2445</v>
      </c>
      <c r="G287" s="495"/>
      <c r="H287" s="495" t="s">
        <v>851</v>
      </c>
      <c r="I287" s="501"/>
      <c r="J287" s="229" t="str">
        <f t="shared" si="4"/>
        <v>13</v>
      </c>
    </row>
    <row r="288" spans="1:10" ht="15.75" hidden="1">
      <c r="A288" s="495">
        <v>14</v>
      </c>
      <c r="B288" s="495" t="s">
        <v>2475</v>
      </c>
      <c r="C288" s="496" t="s">
        <v>1730</v>
      </c>
      <c r="D288" s="497" t="s">
        <v>1975</v>
      </c>
      <c r="E288" s="495" t="s">
        <v>2476</v>
      </c>
      <c r="F288" s="495" t="s">
        <v>2445</v>
      </c>
      <c r="G288" s="495"/>
      <c r="H288" s="495" t="s">
        <v>1544</v>
      </c>
      <c r="I288" s="501"/>
      <c r="J288" s="229" t="str">
        <f t="shared" si="4"/>
        <v>13</v>
      </c>
    </row>
    <row r="289" spans="1:10" ht="15.75" hidden="1">
      <c r="A289" s="495">
        <v>15</v>
      </c>
      <c r="B289" s="495" t="s">
        <v>2477</v>
      </c>
      <c r="C289" s="496" t="s">
        <v>2478</v>
      </c>
      <c r="D289" s="497" t="s">
        <v>1635</v>
      </c>
      <c r="E289" s="495" t="s">
        <v>1789</v>
      </c>
      <c r="F289" s="495" t="s">
        <v>2445</v>
      </c>
      <c r="G289" s="495"/>
      <c r="H289" s="495" t="s">
        <v>851</v>
      </c>
      <c r="I289" s="501"/>
      <c r="J289" s="229" t="str">
        <f t="shared" si="4"/>
        <v>13</v>
      </c>
    </row>
    <row r="290" spans="1:10" ht="15.75" hidden="1">
      <c r="A290" s="495">
        <v>16</v>
      </c>
      <c r="B290" s="495" t="s">
        <v>2480</v>
      </c>
      <c r="C290" s="496" t="s">
        <v>2481</v>
      </c>
      <c r="D290" s="497" t="s">
        <v>2482</v>
      </c>
      <c r="E290" s="495" t="s">
        <v>2483</v>
      </c>
      <c r="F290" s="495" t="s">
        <v>2445</v>
      </c>
      <c r="G290" s="495" t="s">
        <v>1642</v>
      </c>
      <c r="H290" s="495" t="s">
        <v>1544</v>
      </c>
      <c r="I290" s="501" t="s">
        <v>881</v>
      </c>
      <c r="J290" s="229" t="str">
        <f t="shared" si="4"/>
        <v>13</v>
      </c>
    </row>
    <row r="291" spans="1:10" ht="15.75" hidden="1">
      <c r="A291" s="495">
        <v>17</v>
      </c>
      <c r="B291" s="495" t="s">
        <v>2484</v>
      </c>
      <c r="C291" s="496" t="s">
        <v>1439</v>
      </c>
      <c r="D291" s="497" t="s">
        <v>1653</v>
      </c>
      <c r="E291" s="495" t="s">
        <v>2485</v>
      </c>
      <c r="F291" s="495" t="s">
        <v>2445</v>
      </c>
      <c r="G291" s="495"/>
      <c r="H291" s="495" t="s">
        <v>1544</v>
      </c>
      <c r="I291" s="501"/>
      <c r="J291" s="229" t="str">
        <f t="shared" si="4"/>
        <v>13</v>
      </c>
    </row>
    <row r="292" spans="1:10" ht="15.75" hidden="1">
      <c r="A292" s="495">
        <v>18</v>
      </c>
      <c r="B292" s="495" t="s">
        <v>2486</v>
      </c>
      <c r="C292" s="496" t="s">
        <v>2487</v>
      </c>
      <c r="D292" s="497" t="s">
        <v>2488</v>
      </c>
      <c r="E292" s="495" t="s">
        <v>1801</v>
      </c>
      <c r="F292" s="495" t="s">
        <v>2445</v>
      </c>
      <c r="G292" s="495"/>
      <c r="H292" s="495" t="s">
        <v>1544</v>
      </c>
      <c r="I292" s="501"/>
      <c r="J292" s="229" t="str">
        <f t="shared" si="4"/>
        <v>13</v>
      </c>
    </row>
    <row r="293" spans="1:10" ht="15.75" hidden="1">
      <c r="A293" s="495">
        <v>19</v>
      </c>
      <c r="B293" s="495" t="s">
        <v>2489</v>
      </c>
      <c r="C293" s="496" t="s">
        <v>2018</v>
      </c>
      <c r="D293" s="497" t="s">
        <v>2490</v>
      </c>
      <c r="E293" s="495" t="s">
        <v>2491</v>
      </c>
      <c r="F293" s="495" t="s">
        <v>2445</v>
      </c>
      <c r="G293" s="495"/>
      <c r="H293" s="495" t="s">
        <v>1544</v>
      </c>
      <c r="I293" s="501"/>
      <c r="J293" s="229" t="str">
        <f t="shared" si="4"/>
        <v>13</v>
      </c>
    </row>
    <row r="294" spans="1:10" ht="15.75" hidden="1">
      <c r="A294" s="495">
        <v>20</v>
      </c>
      <c r="B294" s="495" t="s">
        <v>2492</v>
      </c>
      <c r="C294" s="496" t="s">
        <v>2493</v>
      </c>
      <c r="D294" s="497" t="s">
        <v>2494</v>
      </c>
      <c r="E294" s="495" t="s">
        <v>2495</v>
      </c>
      <c r="F294" s="495" t="s">
        <v>2445</v>
      </c>
      <c r="G294" s="495"/>
      <c r="H294" s="495" t="s">
        <v>1544</v>
      </c>
      <c r="I294" s="515"/>
      <c r="J294" s="229" t="str">
        <f t="shared" si="4"/>
        <v>13</v>
      </c>
    </row>
    <row r="295" spans="1:10" ht="15.75" hidden="1">
      <c r="A295" s="495">
        <v>21</v>
      </c>
      <c r="B295" s="495" t="s">
        <v>2496</v>
      </c>
      <c r="C295" s="496" t="s">
        <v>1435</v>
      </c>
      <c r="D295" s="497" t="s">
        <v>1466</v>
      </c>
      <c r="E295" s="495" t="s">
        <v>2497</v>
      </c>
      <c r="F295" s="495" t="s">
        <v>2445</v>
      </c>
      <c r="G295" s="495"/>
      <c r="H295" s="495" t="s">
        <v>1544</v>
      </c>
      <c r="I295" s="501"/>
      <c r="J295" s="229" t="str">
        <f t="shared" si="4"/>
        <v>13</v>
      </c>
    </row>
    <row r="296" spans="1:10" ht="15.75" hidden="1">
      <c r="A296" s="495">
        <v>22</v>
      </c>
      <c r="B296" s="495" t="s">
        <v>2498</v>
      </c>
      <c r="C296" s="496" t="s">
        <v>2499</v>
      </c>
      <c r="D296" s="497" t="s">
        <v>1681</v>
      </c>
      <c r="E296" s="495" t="s">
        <v>2500</v>
      </c>
      <c r="F296" s="495" t="s">
        <v>2445</v>
      </c>
      <c r="G296" s="495"/>
      <c r="H296" s="495" t="s">
        <v>1544</v>
      </c>
      <c r="I296" s="501"/>
      <c r="J296" s="229" t="str">
        <f t="shared" si="4"/>
        <v>13</v>
      </c>
    </row>
    <row r="297" spans="1:10" ht="15.75" hidden="1">
      <c r="A297" s="495">
        <v>23</v>
      </c>
      <c r="B297" s="495" t="s">
        <v>2501</v>
      </c>
      <c r="C297" s="496" t="s">
        <v>2502</v>
      </c>
      <c r="D297" s="497" t="s">
        <v>2503</v>
      </c>
      <c r="E297" s="495" t="s">
        <v>2421</v>
      </c>
      <c r="F297" s="495" t="s">
        <v>2445</v>
      </c>
      <c r="G297" s="495"/>
      <c r="H297" s="495" t="s">
        <v>1544</v>
      </c>
      <c r="I297" s="501"/>
      <c r="J297" s="229" t="str">
        <f t="shared" si="4"/>
        <v>13</v>
      </c>
    </row>
    <row r="298" spans="1:10" ht="15.75" hidden="1">
      <c r="A298" s="495">
        <v>24</v>
      </c>
      <c r="B298" s="495" t="s">
        <v>2510</v>
      </c>
      <c r="C298" s="496" t="s">
        <v>2511</v>
      </c>
      <c r="D298" s="497" t="s">
        <v>2512</v>
      </c>
      <c r="E298" s="495" t="s">
        <v>1864</v>
      </c>
      <c r="F298" s="495" t="s">
        <v>2445</v>
      </c>
      <c r="G298" s="495"/>
      <c r="H298" s="495" t="s">
        <v>1544</v>
      </c>
      <c r="I298" s="501"/>
      <c r="J298" s="229" t="str">
        <f t="shared" si="4"/>
        <v>13</v>
      </c>
    </row>
    <row r="299" spans="1:10" ht="15.75" hidden="1">
      <c r="A299" s="495">
        <v>25</v>
      </c>
      <c r="B299" s="495" t="s">
        <v>882</v>
      </c>
      <c r="C299" s="499" t="s">
        <v>1469</v>
      </c>
      <c r="D299" s="500" t="s">
        <v>2512</v>
      </c>
      <c r="E299" s="495" t="s">
        <v>1662</v>
      </c>
      <c r="F299" s="495" t="s">
        <v>2445</v>
      </c>
      <c r="G299" s="501"/>
      <c r="H299" s="495" t="s">
        <v>1544</v>
      </c>
      <c r="I299" s="517"/>
      <c r="J299" s="229" t="str">
        <f t="shared" si="4"/>
        <v>13</v>
      </c>
    </row>
    <row r="300" spans="1:10" ht="15.75" hidden="1">
      <c r="A300" s="495">
        <v>26</v>
      </c>
      <c r="B300" s="495" t="s">
        <v>2513</v>
      </c>
      <c r="C300" s="496" t="s">
        <v>2046</v>
      </c>
      <c r="D300" s="497" t="s">
        <v>2126</v>
      </c>
      <c r="E300" s="495" t="s">
        <v>1946</v>
      </c>
      <c r="F300" s="495" t="s">
        <v>2445</v>
      </c>
      <c r="G300" s="495"/>
      <c r="H300" s="495" t="s">
        <v>1544</v>
      </c>
      <c r="I300" s="502" t="s">
        <v>855</v>
      </c>
      <c r="J300" s="229" t="str">
        <f t="shared" si="4"/>
        <v>13</v>
      </c>
    </row>
    <row r="301" spans="1:10" ht="15.75" hidden="1">
      <c r="A301" s="495">
        <v>27</v>
      </c>
      <c r="B301" s="495" t="s">
        <v>2514</v>
      </c>
      <c r="C301" s="496" t="s">
        <v>2393</v>
      </c>
      <c r="D301" s="497" t="s">
        <v>1486</v>
      </c>
      <c r="E301" s="495" t="s">
        <v>2021</v>
      </c>
      <c r="F301" s="495" t="s">
        <v>2445</v>
      </c>
      <c r="G301" s="495"/>
      <c r="H301" s="495" t="s">
        <v>1544</v>
      </c>
      <c r="I301" s="501"/>
      <c r="J301" s="229" t="str">
        <f t="shared" si="4"/>
        <v>13</v>
      </c>
    </row>
    <row r="302" spans="1:10" ht="15.75" hidden="1">
      <c r="A302" s="495">
        <v>28</v>
      </c>
      <c r="B302" s="495" t="s">
        <v>2504</v>
      </c>
      <c r="C302" s="496" t="s">
        <v>2505</v>
      </c>
      <c r="D302" s="497" t="s">
        <v>2506</v>
      </c>
      <c r="E302" s="495" t="s">
        <v>2507</v>
      </c>
      <c r="F302" s="495" t="s">
        <v>2445</v>
      </c>
      <c r="G302" s="501" t="s">
        <v>858</v>
      </c>
      <c r="H302" s="495" t="s">
        <v>851</v>
      </c>
      <c r="I302" s="517" t="s">
        <v>883</v>
      </c>
      <c r="J302" s="229" t="str">
        <f t="shared" si="4"/>
        <v>13</v>
      </c>
    </row>
    <row r="303" spans="1:10" ht="15.75" hidden="1">
      <c r="A303" s="495">
        <v>1</v>
      </c>
      <c r="B303" s="495" t="s">
        <v>2515</v>
      </c>
      <c r="C303" s="496" t="s">
        <v>2516</v>
      </c>
      <c r="D303" s="497" t="s">
        <v>2517</v>
      </c>
      <c r="E303" s="495" t="s">
        <v>2518</v>
      </c>
      <c r="F303" s="495" t="s">
        <v>2519</v>
      </c>
      <c r="G303" s="495" t="s">
        <v>1630</v>
      </c>
      <c r="H303" s="495" t="s">
        <v>851</v>
      </c>
      <c r="I303" s="501"/>
      <c r="J303" s="229" t="str">
        <f t="shared" si="4"/>
        <v>13</v>
      </c>
    </row>
    <row r="304" spans="1:10" ht="15.75" hidden="1">
      <c r="A304" s="495">
        <v>2</v>
      </c>
      <c r="B304" s="495" t="s">
        <v>2521</v>
      </c>
      <c r="C304" s="496" t="s">
        <v>1933</v>
      </c>
      <c r="D304" s="497" t="s">
        <v>1720</v>
      </c>
      <c r="E304" s="495" t="s">
        <v>2201</v>
      </c>
      <c r="F304" s="495" t="s">
        <v>2519</v>
      </c>
      <c r="G304" s="495" t="s">
        <v>1642</v>
      </c>
      <c r="H304" s="495" t="s">
        <v>1544</v>
      </c>
      <c r="I304" s="501" t="s">
        <v>884</v>
      </c>
      <c r="J304" s="229" t="str">
        <f t="shared" si="4"/>
        <v>13</v>
      </c>
    </row>
    <row r="305" spans="1:10" ht="15.75" hidden="1">
      <c r="A305" s="495">
        <v>3</v>
      </c>
      <c r="B305" s="495" t="s">
        <v>2522</v>
      </c>
      <c r="C305" s="496" t="s">
        <v>2523</v>
      </c>
      <c r="D305" s="497" t="s">
        <v>1566</v>
      </c>
      <c r="E305" s="495" t="s">
        <v>1967</v>
      </c>
      <c r="F305" s="495" t="s">
        <v>2519</v>
      </c>
      <c r="G305" s="495"/>
      <c r="H305" s="495" t="s">
        <v>1544</v>
      </c>
      <c r="I305" s="501"/>
      <c r="J305" s="229" t="str">
        <f t="shared" si="4"/>
        <v>13</v>
      </c>
    </row>
    <row r="306" spans="1:10" ht="15.75" hidden="1">
      <c r="A306" s="495">
        <v>4</v>
      </c>
      <c r="B306" s="495" t="s">
        <v>2525</v>
      </c>
      <c r="C306" s="496" t="s">
        <v>1973</v>
      </c>
      <c r="D306" s="497" t="s">
        <v>1440</v>
      </c>
      <c r="E306" s="495" t="s">
        <v>2222</v>
      </c>
      <c r="F306" s="495" t="s">
        <v>2519</v>
      </c>
      <c r="G306" s="495"/>
      <c r="H306" s="495" t="s">
        <v>851</v>
      </c>
      <c r="I306" s="501"/>
      <c r="J306" s="229" t="str">
        <f t="shared" si="4"/>
        <v>13</v>
      </c>
    </row>
    <row r="307" spans="1:10" ht="15.75" hidden="1">
      <c r="A307" s="495">
        <v>5</v>
      </c>
      <c r="B307" s="495" t="s">
        <v>2526</v>
      </c>
      <c r="C307" s="496" t="s">
        <v>2527</v>
      </c>
      <c r="D307" s="497" t="s">
        <v>1952</v>
      </c>
      <c r="E307" s="495" t="s">
        <v>2528</v>
      </c>
      <c r="F307" s="495" t="s">
        <v>2519</v>
      </c>
      <c r="G307" s="495" t="s">
        <v>1704</v>
      </c>
      <c r="H307" s="495" t="s">
        <v>1544</v>
      </c>
      <c r="I307" s="501"/>
      <c r="J307" s="229" t="str">
        <f t="shared" si="4"/>
        <v>13</v>
      </c>
    </row>
    <row r="308" spans="1:10" ht="15.75" hidden="1">
      <c r="A308" s="495">
        <v>6</v>
      </c>
      <c r="B308" s="495" t="s">
        <v>2529</v>
      </c>
      <c r="C308" s="496" t="s">
        <v>1948</v>
      </c>
      <c r="D308" s="497" t="s">
        <v>2530</v>
      </c>
      <c r="E308" s="495" t="s">
        <v>2531</v>
      </c>
      <c r="F308" s="495" t="s">
        <v>2519</v>
      </c>
      <c r="G308" s="495"/>
      <c r="H308" s="495" t="s">
        <v>1544</v>
      </c>
      <c r="I308" s="501"/>
      <c r="J308" s="229" t="str">
        <f t="shared" si="4"/>
        <v>13</v>
      </c>
    </row>
    <row r="309" spans="1:10" ht="15.75" hidden="1">
      <c r="A309" s="495">
        <v>7</v>
      </c>
      <c r="B309" s="495" t="s">
        <v>2532</v>
      </c>
      <c r="C309" s="496" t="s">
        <v>2533</v>
      </c>
      <c r="D309" s="497" t="s">
        <v>1580</v>
      </c>
      <c r="E309" s="495" t="s">
        <v>2534</v>
      </c>
      <c r="F309" s="495" t="s">
        <v>2519</v>
      </c>
      <c r="G309" s="495"/>
      <c r="H309" s="495" t="s">
        <v>1544</v>
      </c>
      <c r="I309" s="501"/>
      <c r="J309" s="229" t="str">
        <f t="shared" si="4"/>
        <v>13</v>
      </c>
    </row>
    <row r="310" spans="1:10" ht="15.75" hidden="1">
      <c r="A310" s="495">
        <v>8</v>
      </c>
      <c r="B310" s="495" t="s">
        <v>2535</v>
      </c>
      <c r="C310" s="496" t="s">
        <v>2536</v>
      </c>
      <c r="D310" s="497" t="s">
        <v>1587</v>
      </c>
      <c r="E310" s="495" t="s">
        <v>2366</v>
      </c>
      <c r="F310" s="495" t="s">
        <v>2519</v>
      </c>
      <c r="G310" s="495"/>
      <c r="H310" s="495" t="s">
        <v>1544</v>
      </c>
      <c r="I310" s="501"/>
      <c r="J310" s="229" t="str">
        <f t="shared" si="4"/>
        <v>13</v>
      </c>
    </row>
    <row r="311" spans="1:10" ht="15.75" hidden="1">
      <c r="A311" s="495">
        <v>9</v>
      </c>
      <c r="B311" s="495" t="s">
        <v>2537</v>
      </c>
      <c r="C311" s="496" t="s">
        <v>2538</v>
      </c>
      <c r="D311" s="497" t="s">
        <v>1587</v>
      </c>
      <c r="E311" s="495" t="s">
        <v>2356</v>
      </c>
      <c r="F311" s="495" t="s">
        <v>2519</v>
      </c>
      <c r="G311" s="495"/>
      <c r="H311" s="495" t="s">
        <v>1544</v>
      </c>
      <c r="I311" s="501"/>
      <c r="J311" s="229" t="str">
        <f t="shared" si="4"/>
        <v>13</v>
      </c>
    </row>
    <row r="312" spans="1:10" ht="15.75" hidden="1">
      <c r="A312" s="495">
        <v>10</v>
      </c>
      <c r="B312" s="495" t="s">
        <v>2539</v>
      </c>
      <c r="C312" s="496" t="s">
        <v>1430</v>
      </c>
      <c r="D312" s="497" t="s">
        <v>2540</v>
      </c>
      <c r="E312" s="495" t="s">
        <v>2541</v>
      </c>
      <c r="F312" s="495" t="s">
        <v>2519</v>
      </c>
      <c r="G312" s="495"/>
      <c r="H312" s="495" t="s">
        <v>1544</v>
      </c>
      <c r="I312" s="501"/>
      <c r="J312" s="229" t="str">
        <f t="shared" si="4"/>
        <v>13</v>
      </c>
    </row>
    <row r="313" spans="1:10" ht="15.75" hidden="1">
      <c r="A313" s="495">
        <v>11</v>
      </c>
      <c r="B313" s="495" t="s">
        <v>2542</v>
      </c>
      <c r="C313" s="496" t="s">
        <v>2543</v>
      </c>
      <c r="D313" s="497" t="s">
        <v>2544</v>
      </c>
      <c r="E313" s="495" t="s">
        <v>2545</v>
      </c>
      <c r="F313" s="495" t="s">
        <v>2519</v>
      </c>
      <c r="G313" s="495"/>
      <c r="H313" s="495" t="s">
        <v>1544</v>
      </c>
      <c r="I313" s="501"/>
      <c r="J313" s="229" t="str">
        <f t="shared" si="4"/>
        <v>13</v>
      </c>
    </row>
    <row r="314" spans="1:10" ht="15.75" hidden="1">
      <c r="A314" s="495">
        <v>12</v>
      </c>
      <c r="B314" s="495" t="s">
        <v>2546</v>
      </c>
      <c r="C314" s="496" t="s">
        <v>1448</v>
      </c>
      <c r="D314" s="497" t="s">
        <v>1631</v>
      </c>
      <c r="E314" s="495" t="s">
        <v>2547</v>
      </c>
      <c r="F314" s="495" t="s">
        <v>2519</v>
      </c>
      <c r="G314" s="495"/>
      <c r="H314" s="495" t="s">
        <v>1544</v>
      </c>
      <c r="I314" s="501"/>
      <c r="J314" s="229" t="str">
        <f t="shared" si="4"/>
        <v>13</v>
      </c>
    </row>
    <row r="315" spans="1:10" ht="15.75" hidden="1">
      <c r="A315" s="495">
        <v>13</v>
      </c>
      <c r="B315" s="495" t="s">
        <v>2548</v>
      </c>
      <c r="C315" s="496" t="s">
        <v>2550</v>
      </c>
      <c r="D315" s="497" t="s">
        <v>1635</v>
      </c>
      <c r="E315" s="495" t="s">
        <v>2551</v>
      </c>
      <c r="F315" s="495" t="s">
        <v>2519</v>
      </c>
      <c r="G315" s="495"/>
      <c r="H315" s="495" t="s">
        <v>851</v>
      </c>
      <c r="I315" s="501"/>
      <c r="J315" s="229" t="str">
        <f t="shared" si="4"/>
        <v>13</v>
      </c>
    </row>
    <row r="316" spans="1:10" ht="15.75" hidden="1">
      <c r="A316" s="495">
        <v>14</v>
      </c>
      <c r="B316" s="498" t="s">
        <v>2552</v>
      </c>
      <c r="C316" s="499" t="s">
        <v>2553</v>
      </c>
      <c r="D316" s="500" t="s">
        <v>1454</v>
      </c>
      <c r="E316" s="498" t="s">
        <v>2554</v>
      </c>
      <c r="F316" s="495" t="s">
        <v>2519</v>
      </c>
      <c r="G316" s="498"/>
      <c r="H316" s="498" t="s">
        <v>1544</v>
      </c>
      <c r="I316" s="501"/>
      <c r="J316" s="229" t="str">
        <f t="shared" si="4"/>
        <v>13</v>
      </c>
    </row>
    <row r="317" spans="1:10" ht="15.75" hidden="1">
      <c r="A317" s="495">
        <v>15</v>
      </c>
      <c r="B317" s="495" t="s">
        <v>2555</v>
      </c>
      <c r="C317" s="496" t="s">
        <v>1444</v>
      </c>
      <c r="D317" s="497" t="s">
        <v>1454</v>
      </c>
      <c r="E317" s="495" t="s">
        <v>1567</v>
      </c>
      <c r="F317" s="495" t="s">
        <v>2519</v>
      </c>
      <c r="G317" s="495"/>
      <c r="H317" s="495" t="s">
        <v>1544</v>
      </c>
      <c r="I317" s="501"/>
      <c r="J317" s="229" t="str">
        <f t="shared" si="4"/>
        <v>13</v>
      </c>
    </row>
    <row r="318" spans="1:10" ht="15.75" hidden="1">
      <c r="A318" s="495">
        <v>16</v>
      </c>
      <c r="B318" s="495" t="s">
        <v>2556</v>
      </c>
      <c r="C318" s="496" t="s">
        <v>1742</v>
      </c>
      <c r="D318" s="497" t="s">
        <v>1645</v>
      </c>
      <c r="E318" s="495" t="s">
        <v>1550</v>
      </c>
      <c r="F318" s="495" t="s">
        <v>2519</v>
      </c>
      <c r="G318" s="495"/>
      <c r="H318" s="495" t="s">
        <v>851</v>
      </c>
      <c r="I318" s="502" t="s">
        <v>866</v>
      </c>
      <c r="J318" s="229" t="str">
        <f t="shared" si="4"/>
        <v>13</v>
      </c>
    </row>
    <row r="319" spans="1:10" ht="15.75" hidden="1">
      <c r="A319" s="495">
        <v>17</v>
      </c>
      <c r="B319" s="495" t="s">
        <v>2557</v>
      </c>
      <c r="C319" s="496" t="s">
        <v>2558</v>
      </c>
      <c r="D319" s="497" t="s">
        <v>1763</v>
      </c>
      <c r="E319" s="495" t="s">
        <v>2547</v>
      </c>
      <c r="F319" s="495" t="s">
        <v>2519</v>
      </c>
      <c r="G319" s="495"/>
      <c r="H319" s="495" t="s">
        <v>851</v>
      </c>
      <c r="I319" s="501"/>
      <c r="J319" s="229" t="str">
        <f t="shared" si="4"/>
        <v>13</v>
      </c>
    </row>
    <row r="320" spans="1:10" ht="15.75" hidden="1">
      <c r="A320" s="495">
        <v>18</v>
      </c>
      <c r="B320" s="495" t="s">
        <v>2559</v>
      </c>
      <c r="C320" s="496" t="s">
        <v>2560</v>
      </c>
      <c r="D320" s="497" t="s">
        <v>2561</v>
      </c>
      <c r="E320" s="495" t="s">
        <v>2562</v>
      </c>
      <c r="F320" s="495" t="s">
        <v>2519</v>
      </c>
      <c r="G320" s="495"/>
      <c r="H320" s="495" t="s">
        <v>1544</v>
      </c>
      <c r="I320" s="501"/>
      <c r="J320" s="229" t="str">
        <f t="shared" si="4"/>
        <v>13</v>
      </c>
    </row>
    <row r="321" spans="1:10" ht="15.75" hidden="1">
      <c r="A321" s="495">
        <v>19</v>
      </c>
      <c r="B321" s="495" t="s">
        <v>2563</v>
      </c>
      <c r="C321" s="496" t="s">
        <v>2564</v>
      </c>
      <c r="D321" s="497" t="s">
        <v>2565</v>
      </c>
      <c r="E321" s="495" t="s">
        <v>2566</v>
      </c>
      <c r="F321" s="495" t="s">
        <v>2519</v>
      </c>
      <c r="G321" s="495"/>
      <c r="H321" s="495" t="s">
        <v>851</v>
      </c>
      <c r="I321" s="501"/>
      <c r="J321" s="229" t="str">
        <f t="shared" si="4"/>
        <v>13</v>
      </c>
    </row>
    <row r="322" spans="1:10" ht="15.75" hidden="1">
      <c r="A322" s="495">
        <v>20</v>
      </c>
      <c r="B322" s="495" t="s">
        <v>2568</v>
      </c>
      <c r="C322" s="496" t="s">
        <v>2569</v>
      </c>
      <c r="D322" s="497" t="s">
        <v>1466</v>
      </c>
      <c r="E322" s="495" t="s">
        <v>2570</v>
      </c>
      <c r="F322" s="495" t="s">
        <v>2519</v>
      </c>
      <c r="G322" s="495"/>
      <c r="H322" s="495" t="s">
        <v>1544</v>
      </c>
      <c r="I322" s="501"/>
      <c r="J322" s="229" t="str">
        <f t="shared" si="4"/>
        <v>13</v>
      </c>
    </row>
    <row r="323" spans="1:10" ht="15.75" hidden="1">
      <c r="A323" s="495">
        <v>21</v>
      </c>
      <c r="B323" s="495" t="s">
        <v>2572</v>
      </c>
      <c r="C323" s="496" t="s">
        <v>2573</v>
      </c>
      <c r="D323" s="497" t="s">
        <v>1677</v>
      </c>
      <c r="E323" s="495" t="s">
        <v>2574</v>
      </c>
      <c r="F323" s="495" t="s">
        <v>2519</v>
      </c>
      <c r="G323" s="495"/>
      <c r="H323" s="495" t="s">
        <v>1544</v>
      </c>
      <c r="I323" s="501"/>
      <c r="J323" s="229" t="str">
        <f t="shared" ref="J323:J386" si="5">LEFT(F323,2)</f>
        <v>13</v>
      </c>
    </row>
    <row r="324" spans="1:10" ht="15.75" hidden="1">
      <c r="A324" s="495">
        <v>22</v>
      </c>
      <c r="B324" s="495" t="s">
        <v>2575</v>
      </c>
      <c r="C324" s="496" t="s">
        <v>2040</v>
      </c>
      <c r="D324" s="497" t="s">
        <v>1802</v>
      </c>
      <c r="E324" s="495" t="s">
        <v>2576</v>
      </c>
      <c r="F324" s="495" t="s">
        <v>2519</v>
      </c>
      <c r="G324" s="495"/>
      <c r="H324" s="495" t="s">
        <v>1544</v>
      </c>
      <c r="I324" s="501"/>
      <c r="J324" s="229" t="str">
        <f t="shared" si="5"/>
        <v>13</v>
      </c>
    </row>
    <row r="325" spans="1:10" ht="15.75" hidden="1">
      <c r="A325" s="495">
        <v>23</v>
      </c>
      <c r="B325" s="495" t="s">
        <v>2577</v>
      </c>
      <c r="C325" s="496" t="s">
        <v>2578</v>
      </c>
      <c r="D325" s="497" t="s">
        <v>1476</v>
      </c>
      <c r="E325" s="495" t="s">
        <v>1816</v>
      </c>
      <c r="F325" s="495" t="s">
        <v>2519</v>
      </c>
      <c r="G325" s="495"/>
      <c r="H325" s="495" t="s">
        <v>1544</v>
      </c>
      <c r="I325" s="501"/>
      <c r="J325" s="229" t="str">
        <f t="shared" si="5"/>
        <v>13</v>
      </c>
    </row>
    <row r="326" spans="1:10" ht="15.75" hidden="1">
      <c r="A326" s="495">
        <v>24</v>
      </c>
      <c r="B326" s="495" t="s">
        <v>2579</v>
      </c>
      <c r="C326" s="496" t="s">
        <v>2580</v>
      </c>
      <c r="D326" s="497" t="s">
        <v>1702</v>
      </c>
      <c r="E326" s="495" t="s">
        <v>1772</v>
      </c>
      <c r="F326" s="495" t="s">
        <v>2519</v>
      </c>
      <c r="G326" s="495"/>
      <c r="H326" s="495" t="s">
        <v>1544</v>
      </c>
      <c r="I326" s="501"/>
      <c r="J326" s="229" t="str">
        <f t="shared" si="5"/>
        <v>13</v>
      </c>
    </row>
    <row r="327" spans="1:10" ht="15.75" hidden="1">
      <c r="A327" s="495">
        <v>25</v>
      </c>
      <c r="B327" s="495" t="s">
        <v>2581</v>
      </c>
      <c r="C327" s="496" t="s">
        <v>2582</v>
      </c>
      <c r="D327" s="497" t="s">
        <v>1484</v>
      </c>
      <c r="E327" s="495" t="s">
        <v>2583</v>
      </c>
      <c r="F327" s="495" t="s">
        <v>2519</v>
      </c>
      <c r="G327" s="495"/>
      <c r="H327" s="495" t="s">
        <v>1544</v>
      </c>
      <c r="I327" s="501"/>
      <c r="J327" s="229" t="str">
        <f t="shared" si="5"/>
        <v>13</v>
      </c>
    </row>
    <row r="328" spans="1:10" ht="15.75" hidden="1">
      <c r="A328" s="495">
        <v>26</v>
      </c>
      <c r="B328" s="495" t="s">
        <v>2584</v>
      </c>
      <c r="C328" s="496" t="s">
        <v>2585</v>
      </c>
      <c r="D328" s="497" t="s">
        <v>2586</v>
      </c>
      <c r="E328" s="495" t="s">
        <v>1715</v>
      </c>
      <c r="F328" s="495" t="s">
        <v>2519</v>
      </c>
      <c r="G328" s="495"/>
      <c r="H328" s="495" t="s">
        <v>851</v>
      </c>
      <c r="I328" s="501"/>
      <c r="J328" s="229" t="str">
        <f t="shared" si="5"/>
        <v>13</v>
      </c>
    </row>
    <row r="329" spans="1:10" ht="15.75" hidden="1">
      <c r="A329" s="495">
        <v>27</v>
      </c>
      <c r="B329" s="495" t="s">
        <v>2587</v>
      </c>
      <c r="C329" s="496" t="s">
        <v>1482</v>
      </c>
      <c r="D329" s="497" t="s">
        <v>2512</v>
      </c>
      <c r="E329" s="495" t="s">
        <v>1998</v>
      </c>
      <c r="F329" s="495" t="s">
        <v>2519</v>
      </c>
      <c r="G329" s="495"/>
      <c r="H329" s="495" t="s">
        <v>1544</v>
      </c>
      <c r="I329" s="501"/>
      <c r="J329" s="229" t="str">
        <f t="shared" si="5"/>
        <v>13</v>
      </c>
    </row>
    <row r="330" spans="1:10" ht="15.75" hidden="1">
      <c r="A330" s="495">
        <v>28</v>
      </c>
      <c r="B330" s="495" t="s">
        <v>2588</v>
      </c>
      <c r="C330" s="496" t="s">
        <v>1973</v>
      </c>
      <c r="D330" s="497" t="s">
        <v>1486</v>
      </c>
      <c r="E330" s="495" t="s">
        <v>2109</v>
      </c>
      <c r="F330" s="495" t="s">
        <v>2519</v>
      </c>
      <c r="G330" s="495"/>
      <c r="H330" s="495" t="s">
        <v>1544</v>
      </c>
      <c r="I330" s="501"/>
      <c r="J330" s="229" t="str">
        <f t="shared" si="5"/>
        <v>13</v>
      </c>
    </row>
    <row r="331" spans="1:10" ht="15.75" hidden="1">
      <c r="A331" s="495">
        <v>1</v>
      </c>
      <c r="B331" s="495" t="s">
        <v>2589</v>
      </c>
      <c r="C331" s="496" t="s">
        <v>2590</v>
      </c>
      <c r="D331" s="497" t="s">
        <v>2591</v>
      </c>
      <c r="E331" s="495" t="s">
        <v>2182</v>
      </c>
      <c r="F331" s="495" t="s">
        <v>2592</v>
      </c>
      <c r="G331" s="495"/>
      <c r="H331" s="495" t="s">
        <v>1544</v>
      </c>
      <c r="I331" s="519" t="s">
        <v>885</v>
      </c>
      <c r="J331" s="229" t="str">
        <f t="shared" si="5"/>
        <v>13</v>
      </c>
    </row>
    <row r="332" spans="1:10" ht="15.75" hidden="1">
      <c r="A332" s="495">
        <v>2</v>
      </c>
      <c r="B332" s="495" t="s">
        <v>359</v>
      </c>
      <c r="C332" s="496" t="s">
        <v>2136</v>
      </c>
      <c r="D332" s="497" t="s">
        <v>360</v>
      </c>
      <c r="E332" s="495" t="s">
        <v>361</v>
      </c>
      <c r="F332" s="495" t="s">
        <v>2592</v>
      </c>
      <c r="G332" s="495"/>
      <c r="H332" s="495" t="s">
        <v>1544</v>
      </c>
      <c r="I332" s="501" t="s">
        <v>886</v>
      </c>
      <c r="J332" s="229" t="str">
        <f t="shared" si="5"/>
        <v>13</v>
      </c>
    </row>
    <row r="333" spans="1:10" ht="15.75" hidden="1">
      <c r="A333" s="495">
        <v>3</v>
      </c>
      <c r="B333" s="495" t="s">
        <v>363</v>
      </c>
      <c r="C333" s="496" t="s">
        <v>364</v>
      </c>
      <c r="D333" s="497" t="s">
        <v>365</v>
      </c>
      <c r="E333" s="495" t="s">
        <v>366</v>
      </c>
      <c r="F333" s="495" t="s">
        <v>2592</v>
      </c>
      <c r="G333" s="495"/>
      <c r="H333" s="495" t="s">
        <v>1544</v>
      </c>
      <c r="I333" s="502" t="s">
        <v>612</v>
      </c>
      <c r="J333" s="229" t="str">
        <f t="shared" si="5"/>
        <v>13</v>
      </c>
    </row>
    <row r="334" spans="1:10" ht="15.75" hidden="1">
      <c r="A334" s="495">
        <v>4</v>
      </c>
      <c r="B334" s="498" t="s">
        <v>367</v>
      </c>
      <c r="C334" s="496" t="s">
        <v>368</v>
      </c>
      <c r="D334" s="497" t="s">
        <v>369</v>
      </c>
      <c r="E334" s="495" t="s">
        <v>1924</v>
      </c>
      <c r="F334" s="495" t="s">
        <v>2592</v>
      </c>
      <c r="G334" s="495"/>
      <c r="H334" s="495" t="s">
        <v>1544</v>
      </c>
      <c r="I334" s="502" t="s">
        <v>887</v>
      </c>
      <c r="J334" s="229" t="str">
        <f t="shared" si="5"/>
        <v>13</v>
      </c>
    </row>
    <row r="335" spans="1:10" ht="15.75" hidden="1">
      <c r="A335" s="495">
        <v>5</v>
      </c>
      <c r="B335" s="495" t="s">
        <v>2593</v>
      </c>
      <c r="C335" s="496" t="s">
        <v>2594</v>
      </c>
      <c r="D335" s="497" t="s">
        <v>1934</v>
      </c>
      <c r="E335" s="495" t="s">
        <v>2595</v>
      </c>
      <c r="F335" s="495" t="s">
        <v>2592</v>
      </c>
      <c r="G335" s="495"/>
      <c r="H335" s="495" t="s">
        <v>1544</v>
      </c>
      <c r="I335" s="502"/>
      <c r="J335" s="229" t="str">
        <f t="shared" si="5"/>
        <v>13</v>
      </c>
    </row>
    <row r="336" spans="1:10" ht="15.75" hidden="1">
      <c r="A336" s="495">
        <v>6</v>
      </c>
      <c r="B336" s="495" t="s">
        <v>370</v>
      </c>
      <c r="C336" s="496" t="s">
        <v>371</v>
      </c>
      <c r="D336" s="497" t="s">
        <v>2024</v>
      </c>
      <c r="E336" s="495" t="s">
        <v>372</v>
      </c>
      <c r="F336" s="495" t="s">
        <v>2592</v>
      </c>
      <c r="G336" s="495"/>
      <c r="H336" s="495" t="s">
        <v>1544</v>
      </c>
      <c r="I336" s="501" t="s">
        <v>886</v>
      </c>
      <c r="J336" s="229" t="str">
        <f t="shared" si="5"/>
        <v>13</v>
      </c>
    </row>
    <row r="337" spans="1:10" ht="15.75" hidden="1">
      <c r="A337" s="495">
        <v>7</v>
      </c>
      <c r="B337" s="495" t="s">
        <v>373</v>
      </c>
      <c r="C337" s="496" t="s">
        <v>1432</v>
      </c>
      <c r="D337" s="497" t="s">
        <v>374</v>
      </c>
      <c r="E337" s="495" t="s">
        <v>375</v>
      </c>
      <c r="F337" s="495" t="s">
        <v>2592</v>
      </c>
      <c r="G337" s="495"/>
      <c r="H337" s="495" t="s">
        <v>1544</v>
      </c>
      <c r="I337" s="501" t="s">
        <v>886</v>
      </c>
      <c r="J337" s="229" t="str">
        <f t="shared" si="5"/>
        <v>13</v>
      </c>
    </row>
    <row r="338" spans="1:10" ht="15.75" hidden="1">
      <c r="A338" s="495">
        <v>8</v>
      </c>
      <c r="B338" s="498" t="s">
        <v>376</v>
      </c>
      <c r="C338" s="496" t="s">
        <v>1966</v>
      </c>
      <c r="D338" s="497" t="s">
        <v>377</v>
      </c>
      <c r="E338" s="495" t="s">
        <v>144</v>
      </c>
      <c r="F338" s="495" t="s">
        <v>2592</v>
      </c>
      <c r="G338" s="495"/>
      <c r="H338" s="495" t="s">
        <v>1544</v>
      </c>
      <c r="I338" s="501" t="s">
        <v>886</v>
      </c>
      <c r="J338" s="229" t="str">
        <f t="shared" si="5"/>
        <v>13</v>
      </c>
    </row>
    <row r="339" spans="1:10" ht="15.75" hidden="1">
      <c r="A339" s="495">
        <v>9</v>
      </c>
      <c r="B339" s="495" t="s">
        <v>378</v>
      </c>
      <c r="C339" s="496" t="s">
        <v>2083</v>
      </c>
      <c r="D339" s="497" t="s">
        <v>1558</v>
      </c>
      <c r="E339" s="495" t="s">
        <v>2093</v>
      </c>
      <c r="F339" s="495" t="s">
        <v>2592</v>
      </c>
      <c r="G339" s="495"/>
      <c r="H339" s="495" t="s">
        <v>1544</v>
      </c>
      <c r="I339" s="501" t="s">
        <v>886</v>
      </c>
      <c r="J339" s="229" t="str">
        <f t="shared" si="5"/>
        <v>13</v>
      </c>
    </row>
    <row r="340" spans="1:10" ht="15.75" hidden="1">
      <c r="A340" s="495">
        <v>10</v>
      </c>
      <c r="B340" s="498" t="s">
        <v>379</v>
      </c>
      <c r="C340" s="496" t="s">
        <v>380</v>
      </c>
      <c r="D340" s="497" t="s">
        <v>1558</v>
      </c>
      <c r="E340" s="495" t="s">
        <v>2178</v>
      </c>
      <c r="F340" s="495" t="s">
        <v>2592</v>
      </c>
      <c r="G340" s="495"/>
      <c r="H340" s="495" t="s">
        <v>1544</v>
      </c>
      <c r="I340" s="501" t="s">
        <v>886</v>
      </c>
      <c r="J340" s="229" t="str">
        <f t="shared" si="5"/>
        <v>13</v>
      </c>
    </row>
    <row r="341" spans="1:10" ht="15.75" hidden="1">
      <c r="A341" s="495">
        <v>11</v>
      </c>
      <c r="B341" s="498" t="s">
        <v>381</v>
      </c>
      <c r="C341" s="496" t="s">
        <v>1966</v>
      </c>
      <c r="D341" s="497" t="s">
        <v>1558</v>
      </c>
      <c r="E341" s="495" t="s">
        <v>382</v>
      </c>
      <c r="F341" s="495" t="s">
        <v>2592</v>
      </c>
      <c r="G341" s="495"/>
      <c r="H341" s="495" t="s">
        <v>1544</v>
      </c>
      <c r="I341" s="501" t="s">
        <v>886</v>
      </c>
      <c r="J341" s="229" t="str">
        <f t="shared" si="5"/>
        <v>13</v>
      </c>
    </row>
    <row r="342" spans="1:10" ht="15.75" hidden="1">
      <c r="A342" s="495">
        <v>12</v>
      </c>
      <c r="B342" s="495" t="s">
        <v>2596</v>
      </c>
      <c r="C342" s="496" t="s">
        <v>2597</v>
      </c>
      <c r="D342" s="497" t="s">
        <v>1562</v>
      </c>
      <c r="E342" s="495" t="s">
        <v>2598</v>
      </c>
      <c r="F342" s="495" t="s">
        <v>2592</v>
      </c>
      <c r="G342" s="495"/>
      <c r="H342" s="495" t="s">
        <v>1544</v>
      </c>
      <c r="I342" s="501"/>
      <c r="J342" s="229" t="str">
        <f t="shared" si="5"/>
        <v>13</v>
      </c>
    </row>
    <row r="343" spans="1:10" ht="15.75" hidden="1">
      <c r="A343" s="495">
        <v>13</v>
      </c>
      <c r="B343" s="495" t="s">
        <v>2599</v>
      </c>
      <c r="C343" s="496" t="s">
        <v>1983</v>
      </c>
      <c r="D343" s="497" t="s">
        <v>1440</v>
      </c>
      <c r="E343" s="495" t="s">
        <v>2600</v>
      </c>
      <c r="F343" s="495" t="s">
        <v>2592</v>
      </c>
      <c r="G343" s="495"/>
      <c r="H343" s="495" t="s">
        <v>1544</v>
      </c>
      <c r="I343" s="501"/>
      <c r="J343" s="229" t="str">
        <f t="shared" si="5"/>
        <v>13</v>
      </c>
    </row>
    <row r="344" spans="1:10" ht="15.75" hidden="1">
      <c r="A344" s="495">
        <v>14</v>
      </c>
      <c r="B344" s="495" t="s">
        <v>2601</v>
      </c>
      <c r="C344" s="496" t="s">
        <v>1730</v>
      </c>
      <c r="D344" s="497" t="s">
        <v>1839</v>
      </c>
      <c r="E344" s="495" t="s">
        <v>2602</v>
      </c>
      <c r="F344" s="495" t="s">
        <v>2592</v>
      </c>
      <c r="G344" s="495"/>
      <c r="H344" s="495" t="s">
        <v>1544</v>
      </c>
      <c r="I344" s="515" t="s">
        <v>613</v>
      </c>
      <c r="J344" s="229" t="str">
        <f t="shared" si="5"/>
        <v>13</v>
      </c>
    </row>
    <row r="345" spans="1:10" ht="15.75" hidden="1">
      <c r="A345" s="495">
        <v>15</v>
      </c>
      <c r="B345" s="495" t="s">
        <v>2603</v>
      </c>
      <c r="C345" s="496" t="s">
        <v>1439</v>
      </c>
      <c r="D345" s="497" t="s">
        <v>1952</v>
      </c>
      <c r="E345" s="495" t="s">
        <v>2604</v>
      </c>
      <c r="F345" s="495" t="s">
        <v>2592</v>
      </c>
      <c r="G345" s="495"/>
      <c r="H345" s="495" t="s">
        <v>1544</v>
      </c>
      <c r="I345" s="501"/>
      <c r="J345" s="229" t="str">
        <f t="shared" si="5"/>
        <v>13</v>
      </c>
    </row>
    <row r="346" spans="1:10" ht="15.75" hidden="1">
      <c r="A346" s="495">
        <v>16</v>
      </c>
      <c r="B346" s="495" t="s">
        <v>2605</v>
      </c>
      <c r="C346" s="499" t="s">
        <v>1439</v>
      </c>
      <c r="D346" s="500" t="s">
        <v>1961</v>
      </c>
      <c r="E346" s="498" t="s">
        <v>2218</v>
      </c>
      <c r="F346" s="495" t="s">
        <v>2592</v>
      </c>
      <c r="G346" s="498"/>
      <c r="H346" s="498" t="s">
        <v>1544</v>
      </c>
      <c r="I346" s="502"/>
      <c r="J346" s="229" t="str">
        <f t="shared" si="5"/>
        <v>13</v>
      </c>
    </row>
    <row r="347" spans="1:10" ht="15.75" hidden="1">
      <c r="A347" s="495">
        <v>17</v>
      </c>
      <c r="B347" s="495" t="s">
        <v>2606</v>
      </c>
      <c r="C347" s="496" t="s">
        <v>1435</v>
      </c>
      <c r="D347" s="497" t="s">
        <v>1844</v>
      </c>
      <c r="E347" s="495" t="s">
        <v>2607</v>
      </c>
      <c r="F347" s="495" t="s">
        <v>2592</v>
      </c>
      <c r="G347" s="495"/>
      <c r="H347" s="495" t="s">
        <v>1544</v>
      </c>
      <c r="I347" s="502" t="s">
        <v>888</v>
      </c>
      <c r="J347" s="229" t="str">
        <f t="shared" si="5"/>
        <v>13</v>
      </c>
    </row>
    <row r="348" spans="1:10" ht="15.75" hidden="1">
      <c r="A348" s="495">
        <v>18</v>
      </c>
      <c r="B348" s="495" t="s">
        <v>2608</v>
      </c>
      <c r="C348" s="499" t="s">
        <v>1453</v>
      </c>
      <c r="D348" s="500" t="s">
        <v>2609</v>
      </c>
      <c r="E348" s="498" t="s">
        <v>1938</v>
      </c>
      <c r="F348" s="495" t="s">
        <v>2592</v>
      </c>
      <c r="G348" s="498"/>
      <c r="H348" s="498" t="s">
        <v>1544</v>
      </c>
      <c r="I348" s="502" t="s">
        <v>889</v>
      </c>
      <c r="J348" s="229" t="str">
        <f t="shared" si="5"/>
        <v>13</v>
      </c>
    </row>
    <row r="349" spans="1:10" ht="15.75" hidden="1">
      <c r="A349" s="495">
        <v>19</v>
      </c>
      <c r="B349" s="495" t="s">
        <v>2610</v>
      </c>
      <c r="C349" s="499" t="s">
        <v>1448</v>
      </c>
      <c r="D349" s="500" t="s">
        <v>2611</v>
      </c>
      <c r="E349" s="498" t="s">
        <v>1864</v>
      </c>
      <c r="F349" s="495" t="s">
        <v>2592</v>
      </c>
      <c r="G349" s="498"/>
      <c r="H349" s="498" t="s">
        <v>1544</v>
      </c>
      <c r="I349" s="502"/>
      <c r="J349" s="229" t="str">
        <f t="shared" si="5"/>
        <v>13</v>
      </c>
    </row>
    <row r="350" spans="1:10" ht="15.75" hidden="1">
      <c r="A350" s="495">
        <v>20</v>
      </c>
      <c r="B350" s="495" t="s">
        <v>2612</v>
      </c>
      <c r="C350" s="496" t="s">
        <v>2613</v>
      </c>
      <c r="D350" s="497" t="s">
        <v>2058</v>
      </c>
      <c r="E350" s="495" t="s">
        <v>2614</v>
      </c>
      <c r="F350" s="495" t="s">
        <v>2592</v>
      </c>
      <c r="G350" s="495"/>
      <c r="H350" s="495" t="s">
        <v>1544</v>
      </c>
      <c r="I350" s="519" t="s">
        <v>890</v>
      </c>
      <c r="J350" s="229" t="str">
        <f t="shared" si="5"/>
        <v>13</v>
      </c>
    </row>
    <row r="351" spans="1:10" ht="15.75" hidden="1">
      <c r="A351" s="495">
        <v>21</v>
      </c>
      <c r="B351" s="495" t="s">
        <v>2615</v>
      </c>
      <c r="C351" s="496" t="s">
        <v>1972</v>
      </c>
      <c r="D351" s="497" t="s">
        <v>2616</v>
      </c>
      <c r="E351" s="495" t="s">
        <v>2245</v>
      </c>
      <c r="F351" s="495" t="s">
        <v>2592</v>
      </c>
      <c r="G351" s="495"/>
      <c r="H351" s="495" t="s">
        <v>1544</v>
      </c>
      <c r="I351" s="501"/>
      <c r="J351" s="229" t="str">
        <f t="shared" si="5"/>
        <v>13</v>
      </c>
    </row>
    <row r="352" spans="1:10" ht="15.75" hidden="1">
      <c r="A352" s="495">
        <v>22</v>
      </c>
      <c r="B352" s="495" t="s">
        <v>2617</v>
      </c>
      <c r="C352" s="496" t="s">
        <v>2618</v>
      </c>
      <c r="D352" s="497" t="s">
        <v>1631</v>
      </c>
      <c r="E352" s="495" t="s">
        <v>1586</v>
      </c>
      <c r="F352" s="495" t="s">
        <v>2592</v>
      </c>
      <c r="G352" s="495"/>
      <c r="H352" s="495" t="s">
        <v>851</v>
      </c>
      <c r="I352" s="501"/>
      <c r="J352" s="229" t="str">
        <f t="shared" si="5"/>
        <v>13</v>
      </c>
    </row>
    <row r="353" spans="1:10" ht="15.75" hidden="1">
      <c r="A353" s="495">
        <v>23</v>
      </c>
      <c r="B353" s="495" t="s">
        <v>2619</v>
      </c>
      <c r="C353" s="499" t="s">
        <v>1885</v>
      </c>
      <c r="D353" s="500" t="s">
        <v>2620</v>
      </c>
      <c r="E353" s="498" t="s">
        <v>1831</v>
      </c>
      <c r="F353" s="495" t="s">
        <v>2592</v>
      </c>
      <c r="G353" s="498"/>
      <c r="H353" s="498" t="s">
        <v>1544</v>
      </c>
      <c r="I353" s="502"/>
      <c r="J353" s="229" t="str">
        <f t="shared" si="5"/>
        <v>13</v>
      </c>
    </row>
    <row r="354" spans="1:10" ht="15.75" hidden="1">
      <c r="A354" s="495">
        <v>24</v>
      </c>
      <c r="B354" s="495" t="s">
        <v>2621</v>
      </c>
      <c r="C354" s="496" t="s">
        <v>2622</v>
      </c>
      <c r="D354" s="497" t="s">
        <v>1640</v>
      </c>
      <c r="E354" s="495" t="s">
        <v>1859</v>
      </c>
      <c r="F354" s="495" t="s">
        <v>2592</v>
      </c>
      <c r="G354" s="495"/>
      <c r="H354" s="495" t="s">
        <v>1544</v>
      </c>
      <c r="I354" s="519" t="s">
        <v>891</v>
      </c>
      <c r="J354" s="229" t="str">
        <f t="shared" si="5"/>
        <v>13</v>
      </c>
    </row>
    <row r="355" spans="1:10" ht="15.75" hidden="1">
      <c r="A355" s="495">
        <v>25</v>
      </c>
      <c r="B355" s="495" t="s">
        <v>2623</v>
      </c>
      <c r="C355" s="499" t="s">
        <v>2624</v>
      </c>
      <c r="D355" s="500" t="s">
        <v>2479</v>
      </c>
      <c r="E355" s="498" t="s">
        <v>2625</v>
      </c>
      <c r="F355" s="495" t="s">
        <v>2592</v>
      </c>
      <c r="G355" s="498"/>
      <c r="H355" s="498" t="s">
        <v>1544</v>
      </c>
      <c r="I355" s="502" t="s">
        <v>892</v>
      </c>
      <c r="J355" s="229" t="str">
        <f t="shared" si="5"/>
        <v>13</v>
      </c>
    </row>
    <row r="356" spans="1:10" ht="15.75" hidden="1">
      <c r="A356" s="495">
        <v>26</v>
      </c>
      <c r="B356" s="495" t="s">
        <v>2626</v>
      </c>
      <c r="C356" s="499" t="s">
        <v>1439</v>
      </c>
      <c r="D356" s="500" t="s">
        <v>1649</v>
      </c>
      <c r="E356" s="498" t="s">
        <v>2627</v>
      </c>
      <c r="F356" s="495" t="s">
        <v>2592</v>
      </c>
      <c r="G356" s="498"/>
      <c r="H356" s="498" t="s">
        <v>1544</v>
      </c>
      <c r="I356" s="502"/>
      <c r="J356" s="229" t="str">
        <f t="shared" si="5"/>
        <v>13</v>
      </c>
    </row>
    <row r="357" spans="1:10" ht="15.75" hidden="1">
      <c r="A357" s="495">
        <v>27</v>
      </c>
      <c r="B357" s="495" t="s">
        <v>2628</v>
      </c>
      <c r="C357" s="499" t="s">
        <v>1973</v>
      </c>
      <c r="D357" s="500" t="s">
        <v>1653</v>
      </c>
      <c r="E357" s="498" t="s">
        <v>1740</v>
      </c>
      <c r="F357" s="495" t="s">
        <v>2592</v>
      </c>
      <c r="G357" s="498"/>
      <c r="H357" s="498" t="s">
        <v>1544</v>
      </c>
      <c r="I357" s="502"/>
      <c r="J357" s="229" t="str">
        <f t="shared" si="5"/>
        <v>13</v>
      </c>
    </row>
    <row r="358" spans="1:10" ht="15.75" hidden="1">
      <c r="A358" s="495">
        <v>28</v>
      </c>
      <c r="B358" s="495" t="s">
        <v>2629</v>
      </c>
      <c r="C358" s="496" t="s">
        <v>1698</v>
      </c>
      <c r="D358" s="497" t="s">
        <v>1659</v>
      </c>
      <c r="E358" s="495" t="s">
        <v>2630</v>
      </c>
      <c r="F358" s="495" t="s">
        <v>2592</v>
      </c>
      <c r="G358" s="495"/>
      <c r="H358" s="495" t="s">
        <v>1544</v>
      </c>
      <c r="I358" s="501"/>
      <c r="J358" s="229" t="str">
        <f t="shared" si="5"/>
        <v>13</v>
      </c>
    </row>
    <row r="359" spans="1:10" ht="15.75" hidden="1">
      <c r="A359" s="495">
        <v>29</v>
      </c>
      <c r="B359" s="495" t="s">
        <v>2632</v>
      </c>
      <c r="C359" s="499" t="s">
        <v>2161</v>
      </c>
      <c r="D359" s="500" t="s">
        <v>1786</v>
      </c>
      <c r="E359" s="498" t="s">
        <v>2633</v>
      </c>
      <c r="F359" s="495" t="s">
        <v>2592</v>
      </c>
      <c r="G359" s="498"/>
      <c r="H359" s="498" t="s">
        <v>1544</v>
      </c>
      <c r="I359" s="502"/>
      <c r="J359" s="229" t="str">
        <f t="shared" si="5"/>
        <v>13</v>
      </c>
    </row>
    <row r="360" spans="1:10" ht="15.75" hidden="1">
      <c r="A360" s="495">
        <v>30</v>
      </c>
      <c r="B360" s="495" t="s">
        <v>2634</v>
      </c>
      <c r="C360" s="496" t="s">
        <v>2635</v>
      </c>
      <c r="D360" s="497" t="s">
        <v>1468</v>
      </c>
      <c r="E360" s="495" t="s">
        <v>2636</v>
      </c>
      <c r="F360" s="495" t="s">
        <v>2592</v>
      </c>
      <c r="G360" s="495"/>
      <c r="H360" s="495" t="s">
        <v>1544</v>
      </c>
      <c r="I360" s="501"/>
      <c r="J360" s="229" t="str">
        <f t="shared" si="5"/>
        <v>13</v>
      </c>
    </row>
    <row r="361" spans="1:10" ht="15.75" hidden="1">
      <c r="A361" s="495">
        <v>31</v>
      </c>
      <c r="B361" s="495" t="s">
        <v>2637</v>
      </c>
      <c r="C361" s="496" t="s">
        <v>2644</v>
      </c>
      <c r="D361" s="497" t="s">
        <v>1677</v>
      </c>
      <c r="E361" s="495" t="s">
        <v>2645</v>
      </c>
      <c r="F361" s="495" t="s">
        <v>2592</v>
      </c>
      <c r="G361" s="495"/>
      <c r="H361" s="495" t="s">
        <v>1544</v>
      </c>
      <c r="I361" s="501"/>
      <c r="J361" s="229" t="str">
        <f t="shared" si="5"/>
        <v>13</v>
      </c>
    </row>
    <row r="362" spans="1:10" ht="15.75" hidden="1">
      <c r="A362" s="495">
        <v>32</v>
      </c>
      <c r="B362" s="495" t="s">
        <v>2646</v>
      </c>
      <c r="C362" s="499" t="s">
        <v>1448</v>
      </c>
      <c r="D362" s="500" t="s">
        <v>1681</v>
      </c>
      <c r="E362" s="498" t="s">
        <v>1646</v>
      </c>
      <c r="F362" s="495" t="s">
        <v>2592</v>
      </c>
      <c r="G362" s="498"/>
      <c r="H362" s="498" t="s">
        <v>1544</v>
      </c>
      <c r="I362" s="502" t="s">
        <v>892</v>
      </c>
      <c r="J362" s="229" t="str">
        <f t="shared" si="5"/>
        <v>13</v>
      </c>
    </row>
    <row r="363" spans="1:10" ht="15.75" hidden="1">
      <c r="A363" s="495">
        <v>33</v>
      </c>
      <c r="B363" s="495" t="s">
        <v>2647</v>
      </c>
      <c r="C363" s="496" t="s">
        <v>2648</v>
      </c>
      <c r="D363" s="497" t="s">
        <v>1802</v>
      </c>
      <c r="E363" s="495" t="s">
        <v>2649</v>
      </c>
      <c r="F363" s="495" t="s">
        <v>2592</v>
      </c>
      <c r="G363" s="495"/>
      <c r="H363" s="495" t="s">
        <v>1544</v>
      </c>
      <c r="I363" s="501"/>
      <c r="J363" s="229" t="str">
        <f t="shared" si="5"/>
        <v>13</v>
      </c>
    </row>
    <row r="364" spans="1:10" ht="15.75" hidden="1">
      <c r="A364" s="495">
        <v>34</v>
      </c>
      <c r="B364" s="495" t="s">
        <v>2650</v>
      </c>
      <c r="C364" s="499" t="s">
        <v>2651</v>
      </c>
      <c r="D364" s="500" t="s">
        <v>1471</v>
      </c>
      <c r="E364" s="498" t="s">
        <v>2275</v>
      </c>
      <c r="F364" s="495" t="s">
        <v>2592</v>
      </c>
      <c r="G364" s="498"/>
      <c r="H364" s="498" t="s">
        <v>1544</v>
      </c>
      <c r="I364" s="502"/>
      <c r="J364" s="229" t="str">
        <f t="shared" si="5"/>
        <v>13</v>
      </c>
    </row>
    <row r="365" spans="1:10" ht="15.75" hidden="1">
      <c r="A365" s="495">
        <v>35</v>
      </c>
      <c r="B365" s="498" t="s">
        <v>2652</v>
      </c>
      <c r="C365" s="499" t="s">
        <v>1439</v>
      </c>
      <c r="D365" s="500" t="s">
        <v>1474</v>
      </c>
      <c r="E365" s="498" t="s">
        <v>2653</v>
      </c>
      <c r="F365" s="498" t="s">
        <v>2592</v>
      </c>
      <c r="G365" s="498" t="s">
        <v>1704</v>
      </c>
      <c r="H365" s="498" t="s">
        <v>1544</v>
      </c>
      <c r="I365" s="515"/>
      <c r="J365" s="229" t="str">
        <f t="shared" si="5"/>
        <v>13</v>
      </c>
    </row>
    <row r="366" spans="1:10" ht="15.75" hidden="1">
      <c r="A366" s="495">
        <v>36</v>
      </c>
      <c r="B366" s="495" t="s">
        <v>2654</v>
      </c>
      <c r="C366" s="499" t="s">
        <v>1432</v>
      </c>
      <c r="D366" s="500" t="s">
        <v>1475</v>
      </c>
      <c r="E366" s="498" t="s">
        <v>1646</v>
      </c>
      <c r="F366" s="495" t="s">
        <v>2592</v>
      </c>
      <c r="G366" s="498"/>
      <c r="H366" s="498" t="s">
        <v>1544</v>
      </c>
      <c r="I366" s="502"/>
      <c r="J366" s="229" t="str">
        <f t="shared" si="5"/>
        <v>13</v>
      </c>
    </row>
    <row r="367" spans="1:10" ht="15.75" hidden="1">
      <c r="A367" s="495">
        <v>37</v>
      </c>
      <c r="B367" s="495" t="s">
        <v>2655</v>
      </c>
      <c r="C367" s="499" t="s">
        <v>2011</v>
      </c>
      <c r="D367" s="500" t="s">
        <v>1904</v>
      </c>
      <c r="E367" s="498" t="s">
        <v>1567</v>
      </c>
      <c r="F367" s="495" t="s">
        <v>2592</v>
      </c>
      <c r="G367" s="498"/>
      <c r="H367" s="498" t="s">
        <v>1544</v>
      </c>
      <c r="I367" s="502"/>
      <c r="J367" s="229" t="str">
        <f t="shared" si="5"/>
        <v>13</v>
      </c>
    </row>
    <row r="368" spans="1:10" ht="15.75" hidden="1">
      <c r="A368" s="495">
        <v>38</v>
      </c>
      <c r="B368" s="495" t="s">
        <v>2656</v>
      </c>
      <c r="C368" s="499" t="s">
        <v>2262</v>
      </c>
      <c r="D368" s="500" t="s">
        <v>1811</v>
      </c>
      <c r="E368" s="498" t="s">
        <v>2657</v>
      </c>
      <c r="F368" s="495" t="s">
        <v>2592</v>
      </c>
      <c r="G368" s="498" t="s">
        <v>1642</v>
      </c>
      <c r="H368" s="498" t="s">
        <v>1544</v>
      </c>
      <c r="I368" s="502"/>
      <c r="J368" s="229" t="str">
        <f t="shared" si="5"/>
        <v>13</v>
      </c>
    </row>
    <row r="369" spans="1:10" ht="15.75" hidden="1">
      <c r="A369" s="495">
        <v>39</v>
      </c>
      <c r="B369" s="495" t="s">
        <v>2658</v>
      </c>
      <c r="C369" s="496" t="s">
        <v>1439</v>
      </c>
      <c r="D369" s="497" t="s">
        <v>2659</v>
      </c>
      <c r="E369" s="495" t="s">
        <v>2660</v>
      </c>
      <c r="F369" s="495" t="s">
        <v>2592</v>
      </c>
      <c r="G369" s="495"/>
      <c r="H369" s="495" t="s">
        <v>1544</v>
      </c>
      <c r="I369" s="519" t="s">
        <v>893</v>
      </c>
      <c r="J369" s="229" t="str">
        <f t="shared" si="5"/>
        <v>13</v>
      </c>
    </row>
    <row r="370" spans="1:10" ht="15.75" hidden="1">
      <c r="A370" s="495">
        <v>40</v>
      </c>
      <c r="B370" s="495" t="s">
        <v>2661</v>
      </c>
      <c r="C370" s="496" t="s">
        <v>2662</v>
      </c>
      <c r="D370" s="497" t="s">
        <v>1478</v>
      </c>
      <c r="E370" s="495" t="s">
        <v>2663</v>
      </c>
      <c r="F370" s="495" t="s">
        <v>2592</v>
      </c>
      <c r="G370" s="495"/>
      <c r="H370" s="495" t="s">
        <v>1544</v>
      </c>
      <c r="I370" s="501"/>
      <c r="J370" s="229" t="str">
        <f t="shared" si="5"/>
        <v>13</v>
      </c>
    </row>
    <row r="371" spans="1:10" ht="15.75" hidden="1">
      <c r="A371" s="495">
        <v>41</v>
      </c>
      <c r="B371" s="495" t="s">
        <v>2664</v>
      </c>
      <c r="C371" s="499" t="s">
        <v>2665</v>
      </c>
      <c r="D371" s="500" t="s">
        <v>1912</v>
      </c>
      <c r="E371" s="498" t="s">
        <v>2666</v>
      </c>
      <c r="F371" s="495" t="s">
        <v>2592</v>
      </c>
      <c r="G371" s="498"/>
      <c r="H371" s="498" t="s">
        <v>1544</v>
      </c>
      <c r="I371" s="502"/>
      <c r="J371" s="229" t="str">
        <f t="shared" si="5"/>
        <v>13</v>
      </c>
    </row>
    <row r="372" spans="1:10" ht="15.75" hidden="1">
      <c r="A372" s="495">
        <v>42</v>
      </c>
      <c r="B372" s="495" t="s">
        <v>2667</v>
      </c>
      <c r="C372" s="499" t="s">
        <v>2668</v>
      </c>
      <c r="D372" s="500" t="s">
        <v>1702</v>
      </c>
      <c r="E372" s="498" t="s">
        <v>2227</v>
      </c>
      <c r="F372" s="495" t="s">
        <v>2592</v>
      </c>
      <c r="G372" s="498"/>
      <c r="H372" s="498" t="s">
        <v>1544</v>
      </c>
      <c r="I372" s="502"/>
      <c r="J372" s="229" t="str">
        <f t="shared" si="5"/>
        <v>13</v>
      </c>
    </row>
    <row r="373" spans="1:10" ht="15.75" hidden="1">
      <c r="A373" s="495">
        <v>43</v>
      </c>
      <c r="B373" s="495" t="s">
        <v>2669</v>
      </c>
      <c r="C373" s="499" t="s">
        <v>2670</v>
      </c>
      <c r="D373" s="500" t="s">
        <v>1481</v>
      </c>
      <c r="E373" s="498" t="s">
        <v>2576</v>
      </c>
      <c r="F373" s="495" t="s">
        <v>2592</v>
      </c>
      <c r="G373" s="498"/>
      <c r="H373" s="498" t="s">
        <v>1544</v>
      </c>
      <c r="I373" s="502"/>
      <c r="J373" s="229" t="str">
        <f t="shared" si="5"/>
        <v>13</v>
      </c>
    </row>
    <row r="374" spans="1:10" ht="15.75" hidden="1">
      <c r="A374" s="495">
        <v>44</v>
      </c>
      <c r="B374" s="495" t="s">
        <v>2671</v>
      </c>
      <c r="C374" s="496" t="s">
        <v>1680</v>
      </c>
      <c r="D374" s="497" t="s">
        <v>1918</v>
      </c>
      <c r="E374" s="495" t="s">
        <v>1767</v>
      </c>
      <c r="F374" s="495" t="s">
        <v>2592</v>
      </c>
      <c r="G374" s="495"/>
      <c r="H374" s="495" t="s">
        <v>1544</v>
      </c>
      <c r="I374" s="502"/>
      <c r="J374" s="229" t="str">
        <f t="shared" si="5"/>
        <v>13</v>
      </c>
    </row>
    <row r="375" spans="1:10" ht="15.75" hidden="1">
      <c r="A375" s="495">
        <v>45</v>
      </c>
      <c r="B375" s="495" t="s">
        <v>2672</v>
      </c>
      <c r="C375" s="496" t="s">
        <v>1742</v>
      </c>
      <c r="D375" s="497" t="s">
        <v>2126</v>
      </c>
      <c r="E375" s="495" t="s">
        <v>2021</v>
      </c>
      <c r="F375" s="495" t="s">
        <v>2592</v>
      </c>
      <c r="G375" s="495" t="s">
        <v>1630</v>
      </c>
      <c r="H375" s="495" t="s">
        <v>1544</v>
      </c>
      <c r="I375" s="501"/>
      <c r="J375" s="229" t="str">
        <f t="shared" si="5"/>
        <v>13</v>
      </c>
    </row>
    <row r="376" spans="1:10" ht="15.75" hidden="1">
      <c r="A376" s="495">
        <v>1</v>
      </c>
      <c r="B376" s="495" t="s">
        <v>2673</v>
      </c>
      <c r="C376" s="496" t="s">
        <v>2674</v>
      </c>
      <c r="D376" s="497" t="s">
        <v>1541</v>
      </c>
      <c r="E376" s="495" t="s">
        <v>1775</v>
      </c>
      <c r="F376" s="495" t="s">
        <v>2675</v>
      </c>
      <c r="G376" s="495"/>
      <c r="H376" s="495" t="s">
        <v>851</v>
      </c>
      <c r="I376" s="501"/>
      <c r="J376" s="229" t="str">
        <f t="shared" si="5"/>
        <v>13</v>
      </c>
    </row>
    <row r="377" spans="1:10" ht="15.75" hidden="1">
      <c r="A377" s="495">
        <v>2</v>
      </c>
      <c r="B377" s="495" t="s">
        <v>2676</v>
      </c>
      <c r="C377" s="496" t="s">
        <v>2677</v>
      </c>
      <c r="D377" s="497" t="s">
        <v>1929</v>
      </c>
      <c r="E377" s="495" t="s">
        <v>2115</v>
      </c>
      <c r="F377" s="495" t="s">
        <v>2675</v>
      </c>
      <c r="G377" s="495"/>
      <c r="H377" s="495" t="s">
        <v>1544</v>
      </c>
      <c r="I377" s="501"/>
      <c r="J377" s="229" t="str">
        <f t="shared" si="5"/>
        <v>13</v>
      </c>
    </row>
    <row r="378" spans="1:10" ht="15.75" hidden="1">
      <c r="A378" s="495">
        <v>3</v>
      </c>
      <c r="B378" s="495" t="s">
        <v>2678</v>
      </c>
      <c r="C378" s="496" t="s">
        <v>2188</v>
      </c>
      <c r="D378" s="497" t="s">
        <v>1431</v>
      </c>
      <c r="E378" s="495" t="s">
        <v>2679</v>
      </c>
      <c r="F378" s="495" t="s">
        <v>2675</v>
      </c>
      <c r="G378" s="495"/>
      <c r="H378" s="495" t="s">
        <v>1544</v>
      </c>
      <c r="I378" s="501"/>
      <c r="J378" s="229" t="str">
        <f t="shared" si="5"/>
        <v>13</v>
      </c>
    </row>
    <row r="379" spans="1:10" ht="15.75" hidden="1">
      <c r="A379" s="495">
        <v>4</v>
      </c>
      <c r="B379" s="495" t="s">
        <v>2680</v>
      </c>
      <c r="C379" s="496" t="s">
        <v>1730</v>
      </c>
      <c r="D379" s="497" t="s">
        <v>2517</v>
      </c>
      <c r="E379" s="495" t="s">
        <v>1740</v>
      </c>
      <c r="F379" s="495" t="s">
        <v>2675</v>
      </c>
      <c r="G379" s="495" t="s">
        <v>1642</v>
      </c>
      <c r="H379" s="495" t="s">
        <v>1544</v>
      </c>
      <c r="I379" s="501"/>
      <c r="J379" s="229" t="str">
        <f t="shared" si="5"/>
        <v>13</v>
      </c>
    </row>
    <row r="380" spans="1:10" ht="15.75" hidden="1">
      <c r="A380" s="495">
        <v>5</v>
      </c>
      <c r="B380" s="495" t="s">
        <v>2681</v>
      </c>
      <c r="C380" s="496" t="s">
        <v>2682</v>
      </c>
      <c r="D380" s="497" t="s">
        <v>2143</v>
      </c>
      <c r="E380" s="495" t="s">
        <v>2683</v>
      </c>
      <c r="F380" s="495" t="s">
        <v>2675</v>
      </c>
      <c r="G380" s="495"/>
      <c r="H380" s="495" t="s">
        <v>1544</v>
      </c>
      <c r="I380" s="502"/>
      <c r="J380" s="229" t="str">
        <f t="shared" si="5"/>
        <v>13</v>
      </c>
    </row>
    <row r="381" spans="1:10" ht="15.75" hidden="1">
      <c r="A381" s="495">
        <v>6</v>
      </c>
      <c r="B381" s="495" t="s">
        <v>383</v>
      </c>
      <c r="C381" s="496" t="s">
        <v>1860</v>
      </c>
      <c r="D381" s="497" t="s">
        <v>384</v>
      </c>
      <c r="E381" s="495" t="s">
        <v>2259</v>
      </c>
      <c r="F381" s="495" t="s">
        <v>2675</v>
      </c>
      <c r="G381" s="495"/>
      <c r="H381" s="495" t="s">
        <v>1544</v>
      </c>
      <c r="I381" s="515" t="s">
        <v>614</v>
      </c>
      <c r="J381" s="229" t="str">
        <f t="shared" si="5"/>
        <v>13</v>
      </c>
    </row>
    <row r="382" spans="1:10" ht="15.75" hidden="1">
      <c r="A382" s="495">
        <v>7</v>
      </c>
      <c r="B382" s="495" t="s">
        <v>385</v>
      </c>
      <c r="C382" s="496" t="s">
        <v>1696</v>
      </c>
      <c r="D382" s="497" t="s">
        <v>1720</v>
      </c>
      <c r="E382" s="495" t="s">
        <v>1859</v>
      </c>
      <c r="F382" s="495" t="s">
        <v>2675</v>
      </c>
      <c r="G382" s="495"/>
      <c r="H382" s="495" t="s">
        <v>1544</v>
      </c>
      <c r="I382" s="501" t="s">
        <v>886</v>
      </c>
      <c r="J382" s="229" t="str">
        <f t="shared" si="5"/>
        <v>13</v>
      </c>
    </row>
    <row r="383" spans="1:10" ht="15.75" hidden="1">
      <c r="A383" s="495">
        <v>8</v>
      </c>
      <c r="B383" s="495" t="s">
        <v>2684</v>
      </c>
      <c r="C383" s="496" t="s">
        <v>1874</v>
      </c>
      <c r="D383" s="497" t="s">
        <v>1720</v>
      </c>
      <c r="E383" s="495" t="s">
        <v>2112</v>
      </c>
      <c r="F383" s="495" t="s">
        <v>2675</v>
      </c>
      <c r="G383" s="495"/>
      <c r="H383" s="495" t="s">
        <v>1544</v>
      </c>
      <c r="I383" s="501"/>
      <c r="J383" s="229" t="str">
        <f t="shared" si="5"/>
        <v>13</v>
      </c>
    </row>
    <row r="384" spans="1:10" ht="15.75" hidden="1">
      <c r="A384" s="495">
        <v>9</v>
      </c>
      <c r="B384" s="495" t="s">
        <v>386</v>
      </c>
      <c r="C384" s="496" t="s">
        <v>2571</v>
      </c>
      <c r="D384" s="497" t="s">
        <v>387</v>
      </c>
      <c r="E384" s="495" t="s">
        <v>388</v>
      </c>
      <c r="F384" s="495" t="s">
        <v>2675</v>
      </c>
      <c r="G384" s="495"/>
      <c r="H384" s="495" t="s">
        <v>1544</v>
      </c>
      <c r="I384" s="501" t="s">
        <v>886</v>
      </c>
      <c r="J384" s="229" t="str">
        <f t="shared" si="5"/>
        <v>13</v>
      </c>
    </row>
    <row r="385" spans="1:10" ht="15.75" hidden="1">
      <c r="A385" s="495">
        <v>10</v>
      </c>
      <c r="B385" s="495" t="s">
        <v>2685</v>
      </c>
      <c r="C385" s="496" t="s">
        <v>2170</v>
      </c>
      <c r="D385" s="497" t="s">
        <v>2686</v>
      </c>
      <c r="E385" s="495" t="s">
        <v>2687</v>
      </c>
      <c r="F385" s="495" t="s">
        <v>2675</v>
      </c>
      <c r="G385" s="495"/>
      <c r="H385" s="495" t="s">
        <v>1544</v>
      </c>
      <c r="I385" s="502" t="s">
        <v>889</v>
      </c>
      <c r="J385" s="229" t="str">
        <f t="shared" si="5"/>
        <v>13</v>
      </c>
    </row>
    <row r="386" spans="1:10" ht="15.75" hidden="1">
      <c r="A386" s="495">
        <v>11</v>
      </c>
      <c r="B386" s="495" t="s">
        <v>389</v>
      </c>
      <c r="C386" s="496" t="s">
        <v>1428</v>
      </c>
      <c r="D386" s="497" t="s">
        <v>1440</v>
      </c>
      <c r="E386" s="495" t="s">
        <v>2159</v>
      </c>
      <c r="F386" s="495" t="s">
        <v>2675</v>
      </c>
      <c r="G386" s="495"/>
      <c r="H386" s="495" t="s">
        <v>1544</v>
      </c>
      <c r="I386" s="501" t="s">
        <v>886</v>
      </c>
      <c r="J386" s="229" t="str">
        <f t="shared" si="5"/>
        <v>13</v>
      </c>
    </row>
    <row r="387" spans="1:10" ht="15.75" hidden="1">
      <c r="A387" s="495">
        <v>12</v>
      </c>
      <c r="B387" s="498" t="s">
        <v>390</v>
      </c>
      <c r="C387" s="496" t="s">
        <v>1439</v>
      </c>
      <c r="D387" s="497" t="s">
        <v>1440</v>
      </c>
      <c r="E387" s="495" t="s">
        <v>391</v>
      </c>
      <c r="F387" s="495" t="s">
        <v>2675</v>
      </c>
      <c r="G387" s="495"/>
      <c r="H387" s="495" t="s">
        <v>1544</v>
      </c>
      <c r="I387" s="501" t="s">
        <v>886</v>
      </c>
      <c r="J387" s="229" t="str">
        <f t="shared" ref="J387:J450" si="6">LEFT(F387,2)</f>
        <v>13</v>
      </c>
    </row>
    <row r="388" spans="1:10" ht="15.75" hidden="1">
      <c r="A388" s="495">
        <v>13</v>
      </c>
      <c r="B388" s="495" t="s">
        <v>2688</v>
      </c>
      <c r="C388" s="496" t="s">
        <v>2689</v>
      </c>
      <c r="D388" s="497" t="s">
        <v>1440</v>
      </c>
      <c r="E388" s="495" t="s">
        <v>2690</v>
      </c>
      <c r="F388" s="495" t="s">
        <v>2675</v>
      </c>
      <c r="G388" s="495"/>
      <c r="H388" s="495" t="s">
        <v>1544</v>
      </c>
      <c r="I388" s="501"/>
      <c r="J388" s="229" t="str">
        <f t="shared" si="6"/>
        <v>13</v>
      </c>
    </row>
    <row r="389" spans="1:10" ht="15.75" hidden="1">
      <c r="A389" s="495">
        <v>14</v>
      </c>
      <c r="B389" s="495" t="s">
        <v>2691</v>
      </c>
      <c r="C389" s="499" t="s">
        <v>2692</v>
      </c>
      <c r="D389" s="500" t="s">
        <v>1442</v>
      </c>
      <c r="E389" s="498" t="s">
        <v>2649</v>
      </c>
      <c r="F389" s="495" t="s">
        <v>2675</v>
      </c>
      <c r="G389" s="498"/>
      <c r="H389" s="498" t="s">
        <v>1544</v>
      </c>
      <c r="I389" s="502"/>
      <c r="J389" s="229" t="str">
        <f t="shared" si="6"/>
        <v>13</v>
      </c>
    </row>
    <row r="390" spans="1:10" ht="15.75" hidden="1">
      <c r="A390" s="495">
        <v>15</v>
      </c>
      <c r="B390" s="495" t="s">
        <v>2693</v>
      </c>
      <c r="C390" s="496" t="s">
        <v>1973</v>
      </c>
      <c r="D390" s="497" t="s">
        <v>1724</v>
      </c>
      <c r="E390" s="495" t="s">
        <v>2694</v>
      </c>
      <c r="F390" s="495" t="s">
        <v>2675</v>
      </c>
      <c r="G390" s="495" t="s">
        <v>1630</v>
      </c>
      <c r="H390" s="495" t="s">
        <v>1544</v>
      </c>
      <c r="I390" s="501"/>
      <c r="J390" s="229" t="str">
        <f t="shared" si="6"/>
        <v>13</v>
      </c>
    </row>
    <row r="391" spans="1:10" ht="15.75" hidden="1">
      <c r="A391" s="495">
        <v>16</v>
      </c>
      <c r="B391" s="495" t="s">
        <v>2695</v>
      </c>
      <c r="C391" s="499" t="s">
        <v>2323</v>
      </c>
      <c r="D391" s="500" t="s">
        <v>1961</v>
      </c>
      <c r="E391" s="498" t="s">
        <v>1678</v>
      </c>
      <c r="F391" s="495" t="s">
        <v>2675</v>
      </c>
      <c r="G391" s="498"/>
      <c r="H391" s="498" t="s">
        <v>1544</v>
      </c>
      <c r="I391" s="502"/>
      <c r="J391" s="229" t="str">
        <f t="shared" si="6"/>
        <v>13</v>
      </c>
    </row>
    <row r="392" spans="1:10" ht="15.75" hidden="1">
      <c r="A392" s="495">
        <v>17</v>
      </c>
      <c r="B392" s="495" t="s">
        <v>2696</v>
      </c>
      <c r="C392" s="496" t="s">
        <v>1479</v>
      </c>
      <c r="D392" s="497" t="s">
        <v>1844</v>
      </c>
      <c r="E392" s="495" t="s">
        <v>2697</v>
      </c>
      <c r="F392" s="495" t="s">
        <v>2675</v>
      </c>
      <c r="G392" s="495"/>
      <c r="H392" s="495" t="s">
        <v>851</v>
      </c>
      <c r="I392" s="502"/>
      <c r="J392" s="229" t="str">
        <f t="shared" si="6"/>
        <v>13</v>
      </c>
    </row>
    <row r="393" spans="1:10" ht="15.75" hidden="1">
      <c r="A393" s="495">
        <v>18</v>
      </c>
      <c r="B393" s="495" t="s">
        <v>2698</v>
      </c>
      <c r="C393" s="499" t="s">
        <v>2699</v>
      </c>
      <c r="D393" s="500" t="s">
        <v>1580</v>
      </c>
      <c r="E393" s="498" t="s">
        <v>2700</v>
      </c>
      <c r="F393" s="495" t="s">
        <v>2675</v>
      </c>
      <c r="G393" s="498"/>
      <c r="H393" s="498" t="s">
        <v>1544</v>
      </c>
      <c r="I393" s="502"/>
      <c r="J393" s="229" t="str">
        <f t="shared" si="6"/>
        <v>13</v>
      </c>
    </row>
    <row r="394" spans="1:10" ht="15.75" hidden="1">
      <c r="A394" s="495">
        <v>19</v>
      </c>
      <c r="B394" s="495" t="s">
        <v>2702</v>
      </c>
      <c r="C394" s="499" t="s">
        <v>2703</v>
      </c>
      <c r="D394" s="500" t="s">
        <v>2704</v>
      </c>
      <c r="E394" s="498" t="s">
        <v>2705</v>
      </c>
      <c r="F394" s="495" t="s">
        <v>2675</v>
      </c>
      <c r="G394" s="498"/>
      <c r="H394" s="498" t="s">
        <v>1544</v>
      </c>
      <c r="I394" s="502" t="s">
        <v>855</v>
      </c>
      <c r="J394" s="229" t="str">
        <f t="shared" si="6"/>
        <v>13</v>
      </c>
    </row>
    <row r="395" spans="1:10" ht="15.75" hidden="1">
      <c r="A395" s="495">
        <v>20</v>
      </c>
      <c r="B395" s="495" t="s">
        <v>2706</v>
      </c>
      <c r="C395" s="499" t="s">
        <v>2707</v>
      </c>
      <c r="D395" s="500" t="s">
        <v>1626</v>
      </c>
      <c r="E395" s="498" t="s">
        <v>2204</v>
      </c>
      <c r="F395" s="495" t="s">
        <v>2675</v>
      </c>
      <c r="G395" s="498"/>
      <c r="H395" s="498" t="s">
        <v>1544</v>
      </c>
      <c r="I395" s="502" t="s">
        <v>892</v>
      </c>
      <c r="J395" s="229" t="str">
        <f t="shared" si="6"/>
        <v>13</v>
      </c>
    </row>
    <row r="396" spans="1:10" ht="15.75" hidden="1">
      <c r="A396" s="495">
        <v>21</v>
      </c>
      <c r="B396" s="495" t="s">
        <v>2708</v>
      </c>
      <c r="C396" s="496" t="s">
        <v>1448</v>
      </c>
      <c r="D396" s="497" t="s">
        <v>1449</v>
      </c>
      <c r="E396" s="495" t="s">
        <v>2709</v>
      </c>
      <c r="F396" s="495" t="s">
        <v>2675</v>
      </c>
      <c r="G396" s="495"/>
      <c r="H396" s="495" t="s">
        <v>851</v>
      </c>
      <c r="I396" s="501"/>
      <c r="J396" s="229" t="str">
        <f t="shared" si="6"/>
        <v>13</v>
      </c>
    </row>
    <row r="397" spans="1:10" ht="15.75" hidden="1">
      <c r="A397" s="495">
        <v>22</v>
      </c>
      <c r="B397" s="495" t="s">
        <v>2710</v>
      </c>
      <c r="C397" s="496" t="s">
        <v>0</v>
      </c>
      <c r="D397" s="497" t="s">
        <v>1862</v>
      </c>
      <c r="E397" s="495" t="s">
        <v>1842</v>
      </c>
      <c r="F397" s="495" t="s">
        <v>2675</v>
      </c>
      <c r="G397" s="495"/>
      <c r="H397" s="495" t="s">
        <v>1544</v>
      </c>
      <c r="I397" s="501"/>
      <c r="J397" s="229" t="str">
        <f t="shared" si="6"/>
        <v>13</v>
      </c>
    </row>
    <row r="398" spans="1:10" ht="15.75" hidden="1">
      <c r="A398" s="495">
        <v>23</v>
      </c>
      <c r="B398" s="495" t="s">
        <v>1</v>
      </c>
      <c r="C398" s="499" t="s">
        <v>1973</v>
      </c>
      <c r="D398" s="500" t="s">
        <v>1975</v>
      </c>
      <c r="E398" s="498" t="s">
        <v>2</v>
      </c>
      <c r="F398" s="495" t="s">
        <v>2675</v>
      </c>
      <c r="G398" s="498"/>
      <c r="H398" s="498" t="s">
        <v>1544</v>
      </c>
      <c r="I398" s="502"/>
      <c r="J398" s="229" t="str">
        <f t="shared" si="6"/>
        <v>13</v>
      </c>
    </row>
    <row r="399" spans="1:10" ht="15.75" hidden="1">
      <c r="A399" s="495">
        <v>24</v>
      </c>
      <c r="B399" s="495" t="s">
        <v>3</v>
      </c>
      <c r="C399" s="496" t="s">
        <v>1944</v>
      </c>
      <c r="D399" s="497" t="s">
        <v>1631</v>
      </c>
      <c r="E399" s="495" t="s">
        <v>1577</v>
      </c>
      <c r="F399" s="495" t="s">
        <v>2675</v>
      </c>
      <c r="G399" s="495"/>
      <c r="H399" s="495" t="s">
        <v>1544</v>
      </c>
      <c r="I399" s="501"/>
      <c r="J399" s="229" t="str">
        <f t="shared" si="6"/>
        <v>13</v>
      </c>
    </row>
    <row r="400" spans="1:10" ht="15.75" hidden="1">
      <c r="A400" s="495">
        <v>25</v>
      </c>
      <c r="B400" s="495" t="s">
        <v>4</v>
      </c>
      <c r="C400" s="496" t="s">
        <v>2183</v>
      </c>
      <c r="D400" s="497" t="s">
        <v>1635</v>
      </c>
      <c r="E400" s="495" t="s">
        <v>5</v>
      </c>
      <c r="F400" s="495" t="s">
        <v>2675</v>
      </c>
      <c r="G400" s="495"/>
      <c r="H400" s="495" t="s">
        <v>851</v>
      </c>
      <c r="I400" s="501"/>
      <c r="J400" s="229" t="str">
        <f t="shared" si="6"/>
        <v>13</v>
      </c>
    </row>
    <row r="401" spans="1:10" ht="15.75" hidden="1">
      <c r="A401" s="495">
        <v>26</v>
      </c>
      <c r="B401" s="495" t="s">
        <v>6</v>
      </c>
      <c r="C401" s="496" t="s">
        <v>1432</v>
      </c>
      <c r="D401" s="497" t="s">
        <v>1637</v>
      </c>
      <c r="E401" s="495" t="s">
        <v>7</v>
      </c>
      <c r="F401" s="495" t="s">
        <v>2675</v>
      </c>
      <c r="G401" s="495"/>
      <c r="H401" s="495" t="s">
        <v>1544</v>
      </c>
      <c r="I401" s="501"/>
      <c r="J401" s="229" t="str">
        <f t="shared" si="6"/>
        <v>13</v>
      </c>
    </row>
    <row r="402" spans="1:10" ht="15.75" hidden="1">
      <c r="A402" s="495">
        <v>27</v>
      </c>
      <c r="B402" s="495" t="s">
        <v>8</v>
      </c>
      <c r="C402" s="496" t="s">
        <v>9</v>
      </c>
      <c r="D402" s="497" t="s">
        <v>1455</v>
      </c>
      <c r="E402" s="495" t="s">
        <v>10</v>
      </c>
      <c r="F402" s="495" t="s">
        <v>2675</v>
      </c>
      <c r="G402" s="495"/>
      <c r="H402" s="495" t="s">
        <v>1544</v>
      </c>
      <c r="I402" s="501"/>
      <c r="J402" s="229" t="str">
        <f t="shared" si="6"/>
        <v>13</v>
      </c>
    </row>
    <row r="403" spans="1:10" ht="15.75" hidden="1">
      <c r="A403" s="495">
        <v>28</v>
      </c>
      <c r="B403" s="495" t="s">
        <v>11</v>
      </c>
      <c r="C403" s="499" t="s">
        <v>1439</v>
      </c>
      <c r="D403" s="500" t="s">
        <v>1649</v>
      </c>
      <c r="E403" s="498" t="s">
        <v>2382</v>
      </c>
      <c r="F403" s="495" t="s">
        <v>2675</v>
      </c>
      <c r="G403" s="498"/>
      <c r="H403" s="498" t="s">
        <v>1544</v>
      </c>
      <c r="I403" s="502"/>
      <c r="J403" s="229" t="str">
        <f t="shared" si="6"/>
        <v>13</v>
      </c>
    </row>
    <row r="404" spans="1:10" ht="15.75" hidden="1">
      <c r="A404" s="495">
        <v>29</v>
      </c>
      <c r="B404" s="495" t="s">
        <v>12</v>
      </c>
      <c r="C404" s="496" t="s">
        <v>13</v>
      </c>
      <c r="D404" s="497" t="s">
        <v>1457</v>
      </c>
      <c r="E404" s="495" t="s">
        <v>2338</v>
      </c>
      <c r="F404" s="495" t="s">
        <v>2675</v>
      </c>
      <c r="G404" s="495"/>
      <c r="H404" s="495" t="s">
        <v>851</v>
      </c>
      <c r="I404" s="501"/>
      <c r="J404" s="229" t="str">
        <f t="shared" si="6"/>
        <v>13</v>
      </c>
    </row>
    <row r="405" spans="1:10" ht="15.75" hidden="1">
      <c r="A405" s="495">
        <v>30</v>
      </c>
      <c r="B405" s="495" t="s">
        <v>14</v>
      </c>
      <c r="C405" s="499" t="s">
        <v>1435</v>
      </c>
      <c r="D405" s="500" t="s">
        <v>1653</v>
      </c>
      <c r="E405" s="498" t="s">
        <v>1842</v>
      </c>
      <c r="F405" s="495" t="s">
        <v>2675</v>
      </c>
      <c r="G405" s="498"/>
      <c r="H405" s="498" t="s">
        <v>1544</v>
      </c>
      <c r="I405" s="502"/>
      <c r="J405" s="229" t="str">
        <f t="shared" si="6"/>
        <v>13</v>
      </c>
    </row>
    <row r="406" spans="1:10" ht="15.75" hidden="1">
      <c r="A406" s="495">
        <v>31</v>
      </c>
      <c r="B406" s="495" t="s">
        <v>15</v>
      </c>
      <c r="C406" s="499" t="s">
        <v>16</v>
      </c>
      <c r="D406" s="500" t="s">
        <v>1659</v>
      </c>
      <c r="E406" s="498" t="s">
        <v>1692</v>
      </c>
      <c r="F406" s="495" t="s">
        <v>2675</v>
      </c>
      <c r="G406" s="498"/>
      <c r="H406" s="498" t="s">
        <v>1544</v>
      </c>
      <c r="I406" s="502"/>
      <c r="J406" s="229" t="str">
        <f t="shared" si="6"/>
        <v>13</v>
      </c>
    </row>
    <row r="407" spans="1:10" ht="15.75" hidden="1">
      <c r="A407" s="495">
        <v>32</v>
      </c>
      <c r="B407" s="495" t="s">
        <v>17</v>
      </c>
      <c r="C407" s="496" t="s">
        <v>18</v>
      </c>
      <c r="D407" s="497" t="s">
        <v>19</v>
      </c>
      <c r="E407" s="495" t="s">
        <v>20</v>
      </c>
      <c r="F407" s="495" t="s">
        <v>2675</v>
      </c>
      <c r="G407" s="495"/>
      <c r="H407" s="495" t="s">
        <v>851</v>
      </c>
      <c r="I407" s="515" t="s">
        <v>856</v>
      </c>
      <c r="J407" s="229" t="str">
        <f t="shared" si="6"/>
        <v>13</v>
      </c>
    </row>
    <row r="408" spans="1:10" ht="15.75" hidden="1">
      <c r="A408" s="495">
        <v>33</v>
      </c>
      <c r="B408" s="495" t="s">
        <v>21</v>
      </c>
      <c r="C408" s="496" t="s">
        <v>1435</v>
      </c>
      <c r="D408" s="497" t="s">
        <v>1463</v>
      </c>
      <c r="E408" s="495" t="s">
        <v>1887</v>
      </c>
      <c r="F408" s="495" t="s">
        <v>2675</v>
      </c>
      <c r="G408" s="495"/>
      <c r="H408" s="495" t="s">
        <v>1544</v>
      </c>
      <c r="I408" s="502"/>
      <c r="J408" s="229" t="str">
        <f t="shared" si="6"/>
        <v>13</v>
      </c>
    </row>
    <row r="409" spans="1:10" ht="15.75" hidden="1">
      <c r="A409" s="495">
        <v>34</v>
      </c>
      <c r="B409" s="495" t="s">
        <v>22</v>
      </c>
      <c r="C409" s="496" t="s">
        <v>23</v>
      </c>
      <c r="D409" s="497" t="s">
        <v>1677</v>
      </c>
      <c r="E409" s="495" t="s">
        <v>2138</v>
      </c>
      <c r="F409" s="495" t="s">
        <v>2675</v>
      </c>
      <c r="G409" s="495"/>
      <c r="H409" s="495" t="s">
        <v>1544</v>
      </c>
      <c r="I409" s="510"/>
      <c r="J409" s="229" t="str">
        <f t="shared" si="6"/>
        <v>13</v>
      </c>
    </row>
    <row r="410" spans="1:10" ht="15.75" hidden="1">
      <c r="A410" s="495">
        <v>35</v>
      </c>
      <c r="B410" s="495" t="s">
        <v>24</v>
      </c>
      <c r="C410" s="499" t="s">
        <v>25</v>
      </c>
      <c r="D410" s="500" t="s">
        <v>26</v>
      </c>
      <c r="E410" s="498" t="s">
        <v>1709</v>
      </c>
      <c r="F410" s="495" t="s">
        <v>2675</v>
      </c>
      <c r="G410" s="498"/>
      <c r="H410" s="498" t="s">
        <v>1544</v>
      </c>
      <c r="I410" s="515" t="s">
        <v>613</v>
      </c>
      <c r="J410" s="229" t="str">
        <f t="shared" si="6"/>
        <v>13</v>
      </c>
    </row>
    <row r="411" spans="1:10" ht="15.75" hidden="1">
      <c r="A411" s="495">
        <v>36</v>
      </c>
      <c r="B411" s="495" t="s">
        <v>27</v>
      </c>
      <c r="C411" s="499" t="s">
        <v>28</v>
      </c>
      <c r="D411" s="500" t="s">
        <v>2108</v>
      </c>
      <c r="E411" s="498" t="s">
        <v>1927</v>
      </c>
      <c r="F411" s="495" t="s">
        <v>2675</v>
      </c>
      <c r="G411" s="498"/>
      <c r="H411" s="498" t="s">
        <v>1544</v>
      </c>
      <c r="I411" s="502" t="s">
        <v>866</v>
      </c>
      <c r="J411" s="229" t="str">
        <f t="shared" si="6"/>
        <v>13</v>
      </c>
    </row>
    <row r="412" spans="1:10" ht="15.75" hidden="1">
      <c r="A412" s="495">
        <v>37</v>
      </c>
      <c r="B412" s="495" t="s">
        <v>29</v>
      </c>
      <c r="C412" s="499" t="s">
        <v>2361</v>
      </c>
      <c r="D412" s="500" t="s">
        <v>1802</v>
      </c>
      <c r="E412" s="498" t="s">
        <v>30</v>
      </c>
      <c r="F412" s="495" t="s">
        <v>2675</v>
      </c>
      <c r="G412" s="498"/>
      <c r="H412" s="498" t="s">
        <v>1544</v>
      </c>
      <c r="I412" s="502"/>
      <c r="J412" s="229" t="str">
        <f t="shared" si="6"/>
        <v>13</v>
      </c>
    </row>
    <row r="413" spans="1:10" ht="15.75" hidden="1">
      <c r="A413" s="495">
        <v>38</v>
      </c>
      <c r="B413" s="495" t="s">
        <v>31</v>
      </c>
      <c r="C413" s="499" t="s">
        <v>1989</v>
      </c>
      <c r="D413" s="500" t="s">
        <v>32</v>
      </c>
      <c r="E413" s="498" t="s">
        <v>33</v>
      </c>
      <c r="F413" s="495" t="s">
        <v>2675</v>
      </c>
      <c r="G413" s="498"/>
      <c r="H413" s="498" t="s">
        <v>1544</v>
      </c>
      <c r="I413" s="502"/>
      <c r="J413" s="229" t="str">
        <f t="shared" si="6"/>
        <v>13</v>
      </c>
    </row>
    <row r="414" spans="1:10" ht="15.75" hidden="1">
      <c r="A414" s="495">
        <v>39</v>
      </c>
      <c r="B414" s="495" t="s">
        <v>34</v>
      </c>
      <c r="C414" s="496" t="s">
        <v>1983</v>
      </c>
      <c r="D414" s="497" t="s">
        <v>35</v>
      </c>
      <c r="E414" s="495" t="s">
        <v>1935</v>
      </c>
      <c r="F414" s="495" t="s">
        <v>2675</v>
      </c>
      <c r="G414" s="498" t="s">
        <v>1704</v>
      </c>
      <c r="H414" s="495" t="s">
        <v>1544</v>
      </c>
      <c r="I414" s="501"/>
      <c r="J414" s="229" t="str">
        <f t="shared" si="6"/>
        <v>13</v>
      </c>
    </row>
    <row r="415" spans="1:10" ht="15.75" hidden="1">
      <c r="A415" s="495">
        <v>40</v>
      </c>
      <c r="B415" s="495" t="s">
        <v>36</v>
      </c>
      <c r="C415" s="499" t="s">
        <v>2210</v>
      </c>
      <c r="D415" s="500" t="s">
        <v>1476</v>
      </c>
      <c r="E415" s="498" t="s">
        <v>37</v>
      </c>
      <c r="F415" s="495" t="s">
        <v>2675</v>
      </c>
      <c r="G415" s="498"/>
      <c r="H415" s="498" t="s">
        <v>1544</v>
      </c>
      <c r="I415" s="515"/>
      <c r="J415" s="229" t="str">
        <f t="shared" si="6"/>
        <v>13</v>
      </c>
    </row>
    <row r="416" spans="1:10" ht="15.75" hidden="1">
      <c r="A416" s="495">
        <v>41</v>
      </c>
      <c r="B416" s="495" t="s">
        <v>38</v>
      </c>
      <c r="C416" s="496" t="s">
        <v>39</v>
      </c>
      <c r="D416" s="497" t="s">
        <v>1811</v>
      </c>
      <c r="E416" s="495" t="s">
        <v>40</v>
      </c>
      <c r="F416" s="495" t="s">
        <v>2675</v>
      </c>
      <c r="G416" s="495"/>
      <c r="H416" s="495" t="s">
        <v>1544</v>
      </c>
      <c r="I416" s="502"/>
      <c r="J416" s="229" t="str">
        <f t="shared" si="6"/>
        <v>13</v>
      </c>
    </row>
    <row r="417" spans="1:10" ht="15.75" hidden="1">
      <c r="A417" s="495">
        <v>42</v>
      </c>
      <c r="B417" s="495" t="s">
        <v>41</v>
      </c>
      <c r="C417" s="499" t="s">
        <v>2040</v>
      </c>
      <c r="D417" s="500" t="s">
        <v>1478</v>
      </c>
      <c r="E417" s="498" t="s">
        <v>42</v>
      </c>
      <c r="F417" s="495" t="s">
        <v>2675</v>
      </c>
      <c r="G417" s="498"/>
      <c r="H417" s="498" t="s">
        <v>851</v>
      </c>
      <c r="I417" s="502"/>
      <c r="J417" s="229" t="str">
        <f t="shared" si="6"/>
        <v>13</v>
      </c>
    </row>
    <row r="418" spans="1:10" ht="15.75" hidden="1">
      <c r="A418" s="495">
        <v>43</v>
      </c>
      <c r="B418" s="495" t="s">
        <v>43</v>
      </c>
      <c r="C418" s="499" t="s">
        <v>2302</v>
      </c>
      <c r="D418" s="500" t="s">
        <v>1912</v>
      </c>
      <c r="E418" s="498" t="s">
        <v>1582</v>
      </c>
      <c r="F418" s="495" t="s">
        <v>2675</v>
      </c>
      <c r="G418" s="498"/>
      <c r="H418" s="498" t="s">
        <v>1544</v>
      </c>
      <c r="I418" s="502"/>
      <c r="J418" s="229" t="str">
        <f t="shared" si="6"/>
        <v>13</v>
      </c>
    </row>
    <row r="419" spans="1:10" ht="15.75" hidden="1">
      <c r="A419" s="495">
        <v>44</v>
      </c>
      <c r="B419" s="495" t="s">
        <v>44</v>
      </c>
      <c r="C419" s="499" t="s">
        <v>45</v>
      </c>
      <c r="D419" s="500" t="s">
        <v>1702</v>
      </c>
      <c r="E419" s="498" t="s">
        <v>2627</v>
      </c>
      <c r="F419" s="495" t="s">
        <v>2675</v>
      </c>
      <c r="G419" s="498"/>
      <c r="H419" s="498" t="s">
        <v>1544</v>
      </c>
      <c r="I419" s="502"/>
      <c r="J419" s="229" t="str">
        <f t="shared" si="6"/>
        <v>13</v>
      </c>
    </row>
    <row r="420" spans="1:10" ht="15.75" hidden="1">
      <c r="A420" s="495">
        <v>45</v>
      </c>
      <c r="B420" s="495" t="s">
        <v>46</v>
      </c>
      <c r="C420" s="499" t="s">
        <v>47</v>
      </c>
      <c r="D420" s="500" t="s">
        <v>1483</v>
      </c>
      <c r="E420" s="498" t="s">
        <v>2218</v>
      </c>
      <c r="F420" s="495" t="s">
        <v>2675</v>
      </c>
      <c r="G420" s="498"/>
      <c r="H420" s="498" t="s">
        <v>851</v>
      </c>
      <c r="I420" s="502"/>
      <c r="J420" s="229" t="str">
        <f t="shared" si="6"/>
        <v>13</v>
      </c>
    </row>
    <row r="421" spans="1:10" ht="15.75" hidden="1">
      <c r="A421" s="495">
        <v>46</v>
      </c>
      <c r="B421" s="495" t="s">
        <v>48</v>
      </c>
      <c r="C421" s="499" t="s">
        <v>2452</v>
      </c>
      <c r="D421" s="500" t="s">
        <v>1484</v>
      </c>
      <c r="E421" s="498" t="s">
        <v>2349</v>
      </c>
      <c r="F421" s="495" t="s">
        <v>2675</v>
      </c>
      <c r="G421" s="498"/>
      <c r="H421" s="498" t="s">
        <v>1544</v>
      </c>
      <c r="I421" s="515" t="s">
        <v>894</v>
      </c>
      <c r="J421" s="229" t="str">
        <f t="shared" si="6"/>
        <v>13</v>
      </c>
    </row>
    <row r="422" spans="1:10" ht="15.75" hidden="1">
      <c r="A422" s="495">
        <v>47</v>
      </c>
      <c r="B422" s="495" t="s">
        <v>49</v>
      </c>
      <c r="C422" s="496" t="s">
        <v>1448</v>
      </c>
      <c r="D422" s="497" t="s">
        <v>2344</v>
      </c>
      <c r="E422" s="495" t="s">
        <v>50</v>
      </c>
      <c r="F422" s="495" t="s">
        <v>2675</v>
      </c>
      <c r="G422" s="495"/>
      <c r="H422" s="495" t="s">
        <v>1544</v>
      </c>
      <c r="I422" s="501"/>
      <c r="J422" s="229" t="str">
        <f t="shared" si="6"/>
        <v>13</v>
      </c>
    </row>
    <row r="423" spans="1:10" ht="15.75" hidden="1">
      <c r="A423" s="495">
        <v>48</v>
      </c>
      <c r="B423" s="495" t="s">
        <v>51</v>
      </c>
      <c r="C423" s="496" t="s">
        <v>52</v>
      </c>
      <c r="D423" s="497" t="s">
        <v>2126</v>
      </c>
      <c r="E423" s="495" t="s">
        <v>53</v>
      </c>
      <c r="F423" s="495" t="s">
        <v>2675</v>
      </c>
      <c r="G423" s="495"/>
      <c r="H423" s="495" t="s">
        <v>1544</v>
      </c>
      <c r="I423" s="501"/>
      <c r="J423" s="229" t="str">
        <f t="shared" si="6"/>
        <v>13</v>
      </c>
    </row>
    <row r="424" spans="1:10" ht="15.75" hidden="1">
      <c r="A424" s="495">
        <v>1</v>
      </c>
      <c r="B424" s="495" t="s">
        <v>54</v>
      </c>
      <c r="C424" s="496" t="s">
        <v>55</v>
      </c>
      <c r="D424" s="497" t="s">
        <v>56</v>
      </c>
      <c r="E424" s="495" t="s">
        <v>57</v>
      </c>
      <c r="F424" s="495" t="s">
        <v>58</v>
      </c>
      <c r="G424" s="495" t="s">
        <v>1630</v>
      </c>
      <c r="H424" s="495" t="s">
        <v>851</v>
      </c>
      <c r="I424" s="501"/>
      <c r="J424" s="229" t="str">
        <f t="shared" si="6"/>
        <v>13</v>
      </c>
    </row>
    <row r="425" spans="1:10" ht="15.75" hidden="1">
      <c r="A425" s="495">
        <v>2</v>
      </c>
      <c r="B425" s="495" t="s">
        <v>59</v>
      </c>
      <c r="C425" s="496" t="s">
        <v>60</v>
      </c>
      <c r="D425" s="497" t="s">
        <v>61</v>
      </c>
      <c r="E425" s="495" t="s">
        <v>2111</v>
      </c>
      <c r="F425" s="495" t="s">
        <v>58</v>
      </c>
      <c r="G425" s="495"/>
      <c r="H425" s="495" t="s">
        <v>1544</v>
      </c>
      <c r="I425" s="515" t="s">
        <v>865</v>
      </c>
      <c r="J425" s="229" t="str">
        <f t="shared" si="6"/>
        <v>13</v>
      </c>
    </row>
    <row r="426" spans="1:10" ht="15.75" hidden="1">
      <c r="A426" s="495">
        <v>3</v>
      </c>
      <c r="B426" s="495" t="s">
        <v>62</v>
      </c>
      <c r="C426" s="496" t="s">
        <v>1983</v>
      </c>
      <c r="D426" s="497" t="s">
        <v>63</v>
      </c>
      <c r="E426" s="495" t="s">
        <v>64</v>
      </c>
      <c r="F426" s="495" t="s">
        <v>58</v>
      </c>
      <c r="G426" s="495"/>
      <c r="H426" s="495" t="s">
        <v>1544</v>
      </c>
      <c r="I426" s="501"/>
      <c r="J426" s="229" t="str">
        <f t="shared" si="6"/>
        <v>13</v>
      </c>
    </row>
    <row r="427" spans="1:10" ht="15.75" hidden="1">
      <c r="A427" s="495">
        <v>4</v>
      </c>
      <c r="B427" s="495" t="s">
        <v>65</v>
      </c>
      <c r="C427" s="496" t="s">
        <v>66</v>
      </c>
      <c r="D427" s="497" t="s">
        <v>2456</v>
      </c>
      <c r="E427" s="495" t="s">
        <v>2055</v>
      </c>
      <c r="F427" s="495" t="s">
        <v>58</v>
      </c>
      <c r="G427" s="495"/>
      <c r="H427" s="495" t="s">
        <v>1544</v>
      </c>
      <c r="I427" s="501"/>
      <c r="J427" s="229" t="str">
        <f t="shared" si="6"/>
        <v>13</v>
      </c>
    </row>
    <row r="428" spans="1:10" ht="15.75" hidden="1">
      <c r="A428" s="495">
        <v>5</v>
      </c>
      <c r="B428" s="495" t="s">
        <v>392</v>
      </c>
      <c r="C428" s="496" t="s">
        <v>393</v>
      </c>
      <c r="D428" s="497" t="s">
        <v>1952</v>
      </c>
      <c r="E428" s="495" t="s">
        <v>2468</v>
      </c>
      <c r="F428" s="495" t="s">
        <v>58</v>
      </c>
      <c r="G428" s="495"/>
      <c r="H428" s="495" t="s">
        <v>1544</v>
      </c>
      <c r="I428" s="501" t="s">
        <v>886</v>
      </c>
      <c r="J428" s="229" t="str">
        <f t="shared" si="6"/>
        <v>13</v>
      </c>
    </row>
    <row r="429" spans="1:10" ht="15.75" hidden="1">
      <c r="A429" s="495">
        <v>6</v>
      </c>
      <c r="B429" s="495" t="s">
        <v>67</v>
      </c>
      <c r="C429" s="496" t="s">
        <v>1788</v>
      </c>
      <c r="D429" s="497" t="s">
        <v>1954</v>
      </c>
      <c r="E429" s="495" t="s">
        <v>1905</v>
      </c>
      <c r="F429" s="495" t="s">
        <v>58</v>
      </c>
      <c r="G429" s="495"/>
      <c r="H429" s="495" t="s">
        <v>1544</v>
      </c>
      <c r="I429" s="501"/>
      <c r="J429" s="229" t="str">
        <f t="shared" si="6"/>
        <v>13</v>
      </c>
    </row>
    <row r="430" spans="1:10" ht="15.75" hidden="1">
      <c r="A430" s="495">
        <v>7</v>
      </c>
      <c r="B430" s="498" t="s">
        <v>394</v>
      </c>
      <c r="C430" s="496" t="s">
        <v>395</v>
      </c>
      <c r="D430" s="497" t="s">
        <v>1724</v>
      </c>
      <c r="E430" s="495" t="s">
        <v>396</v>
      </c>
      <c r="F430" s="495" t="s">
        <v>58</v>
      </c>
      <c r="G430" s="495"/>
      <c r="H430" s="495" t="s">
        <v>1544</v>
      </c>
      <c r="I430" s="501" t="s">
        <v>886</v>
      </c>
      <c r="J430" s="229" t="str">
        <f t="shared" si="6"/>
        <v>13</v>
      </c>
    </row>
    <row r="431" spans="1:10" ht="15.75" hidden="1">
      <c r="A431" s="495">
        <v>8</v>
      </c>
      <c r="B431" s="495" t="s">
        <v>68</v>
      </c>
      <c r="C431" s="496" t="s">
        <v>2129</v>
      </c>
      <c r="D431" s="497" t="s">
        <v>1724</v>
      </c>
      <c r="E431" s="495" t="s">
        <v>2194</v>
      </c>
      <c r="F431" s="495" t="s">
        <v>58</v>
      </c>
      <c r="G431" s="495"/>
      <c r="H431" s="495" t="s">
        <v>1544</v>
      </c>
      <c r="I431" s="501"/>
      <c r="J431" s="229" t="str">
        <f t="shared" si="6"/>
        <v>13</v>
      </c>
    </row>
    <row r="432" spans="1:10" ht="15.75" hidden="1">
      <c r="A432" s="495">
        <v>9</v>
      </c>
      <c r="B432" s="495" t="s">
        <v>397</v>
      </c>
      <c r="C432" s="496" t="s">
        <v>398</v>
      </c>
      <c r="D432" s="497" t="s">
        <v>2567</v>
      </c>
      <c r="E432" s="495" t="s">
        <v>5</v>
      </c>
      <c r="F432" s="495" t="s">
        <v>58</v>
      </c>
      <c r="G432" s="495"/>
      <c r="H432" s="495" t="s">
        <v>1544</v>
      </c>
      <c r="I432" s="501" t="s">
        <v>895</v>
      </c>
      <c r="J432" s="229" t="str">
        <f t="shared" si="6"/>
        <v>13</v>
      </c>
    </row>
    <row r="433" spans="1:10" ht="15.75" hidden="1">
      <c r="A433" s="495">
        <v>10</v>
      </c>
      <c r="B433" s="495" t="s">
        <v>399</v>
      </c>
      <c r="C433" s="496" t="s">
        <v>400</v>
      </c>
      <c r="D433" s="497" t="s">
        <v>2385</v>
      </c>
      <c r="E433" s="495" t="s">
        <v>401</v>
      </c>
      <c r="F433" s="495" t="s">
        <v>58</v>
      </c>
      <c r="G433" s="495"/>
      <c r="H433" s="495" t="s">
        <v>851</v>
      </c>
      <c r="I433" s="501" t="s">
        <v>886</v>
      </c>
      <c r="J433" s="229" t="str">
        <f t="shared" si="6"/>
        <v>13</v>
      </c>
    </row>
    <row r="434" spans="1:10" ht="15.75" hidden="1">
      <c r="A434" s="495">
        <v>11</v>
      </c>
      <c r="B434" s="495" t="s">
        <v>69</v>
      </c>
      <c r="C434" s="499" t="s">
        <v>1546</v>
      </c>
      <c r="D434" s="500" t="s">
        <v>70</v>
      </c>
      <c r="E434" s="498" t="s">
        <v>2338</v>
      </c>
      <c r="F434" s="495" t="s">
        <v>58</v>
      </c>
      <c r="G434" s="498"/>
      <c r="H434" s="498" t="s">
        <v>1544</v>
      </c>
      <c r="I434" s="502"/>
      <c r="J434" s="229" t="str">
        <f t="shared" si="6"/>
        <v>13</v>
      </c>
    </row>
    <row r="435" spans="1:10" ht="15.75" hidden="1">
      <c r="A435" s="495">
        <v>12</v>
      </c>
      <c r="B435" s="495" t="s">
        <v>402</v>
      </c>
      <c r="C435" s="496" t="s">
        <v>1439</v>
      </c>
      <c r="D435" s="497" t="s">
        <v>1841</v>
      </c>
      <c r="E435" s="495" t="s">
        <v>81</v>
      </c>
      <c r="F435" s="495" t="s">
        <v>58</v>
      </c>
      <c r="G435" s="495"/>
      <c r="H435" s="495" t="s">
        <v>1544</v>
      </c>
      <c r="I435" s="501" t="s">
        <v>886</v>
      </c>
      <c r="J435" s="229" t="str">
        <f t="shared" si="6"/>
        <v>13</v>
      </c>
    </row>
    <row r="436" spans="1:10" ht="15.75" hidden="1">
      <c r="A436" s="495">
        <v>13</v>
      </c>
      <c r="B436" s="495" t="s">
        <v>71</v>
      </c>
      <c r="C436" s="496" t="s">
        <v>72</v>
      </c>
      <c r="D436" s="497" t="s">
        <v>1844</v>
      </c>
      <c r="E436" s="495" t="s">
        <v>1967</v>
      </c>
      <c r="F436" s="495" t="s">
        <v>58</v>
      </c>
      <c r="G436" s="495"/>
      <c r="H436" s="495" t="s">
        <v>1544</v>
      </c>
      <c r="I436" s="502"/>
      <c r="J436" s="229" t="str">
        <f t="shared" si="6"/>
        <v>13</v>
      </c>
    </row>
    <row r="437" spans="1:10" ht="15.75" hidden="1">
      <c r="A437" s="495">
        <v>14</v>
      </c>
      <c r="B437" s="495" t="s">
        <v>421</v>
      </c>
      <c r="C437" s="499" t="s">
        <v>2387</v>
      </c>
      <c r="D437" s="500" t="s">
        <v>1970</v>
      </c>
      <c r="E437" s="498" t="s">
        <v>422</v>
      </c>
      <c r="F437" s="495" t="s">
        <v>58</v>
      </c>
      <c r="G437" s="498"/>
      <c r="H437" s="498" t="s">
        <v>1544</v>
      </c>
      <c r="I437" s="501" t="s">
        <v>886</v>
      </c>
      <c r="J437" s="229" t="str">
        <f t="shared" si="6"/>
        <v>13</v>
      </c>
    </row>
    <row r="438" spans="1:10" ht="15.75" hidden="1">
      <c r="A438" s="495">
        <v>15</v>
      </c>
      <c r="B438" s="498" t="s">
        <v>423</v>
      </c>
      <c r="C438" s="496" t="s">
        <v>424</v>
      </c>
      <c r="D438" s="497" t="s">
        <v>1739</v>
      </c>
      <c r="E438" s="495" t="s">
        <v>2041</v>
      </c>
      <c r="F438" s="495" t="s">
        <v>58</v>
      </c>
      <c r="G438" s="495" t="s">
        <v>1630</v>
      </c>
      <c r="H438" s="495" t="s">
        <v>1544</v>
      </c>
      <c r="I438" s="501" t="s">
        <v>886</v>
      </c>
      <c r="J438" s="229" t="str">
        <f t="shared" si="6"/>
        <v>13</v>
      </c>
    </row>
    <row r="439" spans="1:10" ht="15.75" hidden="1">
      <c r="A439" s="495">
        <v>16</v>
      </c>
      <c r="B439" s="495" t="s">
        <v>73</v>
      </c>
      <c r="C439" s="499" t="s">
        <v>74</v>
      </c>
      <c r="D439" s="500" t="s">
        <v>75</v>
      </c>
      <c r="E439" s="498" t="s">
        <v>1946</v>
      </c>
      <c r="F439" s="495" t="s">
        <v>58</v>
      </c>
      <c r="G439" s="498"/>
      <c r="H439" s="498" t="s">
        <v>1544</v>
      </c>
      <c r="I439" s="502"/>
      <c r="J439" s="229" t="str">
        <f t="shared" si="6"/>
        <v>13</v>
      </c>
    </row>
    <row r="440" spans="1:10" ht="15.75" hidden="1">
      <c r="A440" s="495">
        <v>17</v>
      </c>
      <c r="B440" s="495" t="s">
        <v>76</v>
      </c>
      <c r="C440" s="499" t="s">
        <v>1464</v>
      </c>
      <c r="D440" s="500" t="s">
        <v>1585</v>
      </c>
      <c r="E440" s="498" t="s">
        <v>77</v>
      </c>
      <c r="F440" s="495" t="s">
        <v>58</v>
      </c>
      <c r="G440" s="498"/>
      <c r="H440" s="498" t="s">
        <v>1544</v>
      </c>
      <c r="I440" s="515" t="s">
        <v>615</v>
      </c>
      <c r="J440" s="229" t="str">
        <f t="shared" si="6"/>
        <v>13</v>
      </c>
    </row>
    <row r="441" spans="1:10" ht="15.75" hidden="1">
      <c r="A441" s="495">
        <v>18</v>
      </c>
      <c r="B441" s="498" t="s">
        <v>425</v>
      </c>
      <c r="C441" s="496" t="s">
        <v>2083</v>
      </c>
      <c r="D441" s="497" t="s">
        <v>426</v>
      </c>
      <c r="E441" s="495" t="s">
        <v>427</v>
      </c>
      <c r="F441" s="495" t="s">
        <v>58</v>
      </c>
      <c r="G441" s="495"/>
      <c r="H441" s="495" t="s">
        <v>1544</v>
      </c>
      <c r="I441" s="501" t="s">
        <v>886</v>
      </c>
      <c r="J441" s="229" t="str">
        <f t="shared" si="6"/>
        <v>13</v>
      </c>
    </row>
    <row r="442" spans="1:10" ht="15.75" hidden="1">
      <c r="A442" s="495">
        <v>19</v>
      </c>
      <c r="B442" s="495" t="s">
        <v>78</v>
      </c>
      <c r="C442" s="499" t="s">
        <v>79</v>
      </c>
      <c r="D442" s="500" t="s">
        <v>2704</v>
      </c>
      <c r="E442" s="498" t="s">
        <v>2145</v>
      </c>
      <c r="F442" s="495" t="s">
        <v>58</v>
      </c>
      <c r="G442" s="498"/>
      <c r="H442" s="498" t="s">
        <v>1544</v>
      </c>
      <c r="I442" s="502"/>
      <c r="J442" s="229" t="str">
        <f t="shared" si="6"/>
        <v>13</v>
      </c>
    </row>
    <row r="443" spans="1:10" ht="15.75" hidden="1">
      <c r="A443" s="495">
        <v>20</v>
      </c>
      <c r="B443" s="495" t="s">
        <v>80</v>
      </c>
      <c r="C443" s="496" t="s">
        <v>1973</v>
      </c>
      <c r="D443" s="497" t="s">
        <v>1626</v>
      </c>
      <c r="E443" s="495" t="s">
        <v>2291</v>
      </c>
      <c r="F443" s="495" t="s">
        <v>58</v>
      </c>
      <c r="G443" s="495"/>
      <c r="H443" s="495" t="s">
        <v>1544</v>
      </c>
      <c r="I443" s="501"/>
      <c r="J443" s="229" t="str">
        <f t="shared" si="6"/>
        <v>13</v>
      </c>
    </row>
    <row r="444" spans="1:10" ht="15.75" hidden="1">
      <c r="A444" s="495">
        <v>21</v>
      </c>
      <c r="B444" s="495" t="s">
        <v>82</v>
      </c>
      <c r="C444" s="499" t="s">
        <v>1439</v>
      </c>
      <c r="D444" s="500" t="s">
        <v>1975</v>
      </c>
      <c r="E444" s="498" t="s">
        <v>2463</v>
      </c>
      <c r="F444" s="495" t="s">
        <v>58</v>
      </c>
      <c r="G444" s="498"/>
      <c r="H444" s="498" t="s">
        <v>1544</v>
      </c>
      <c r="I444" s="502"/>
      <c r="J444" s="229" t="str">
        <f t="shared" si="6"/>
        <v>13</v>
      </c>
    </row>
    <row r="445" spans="1:10" ht="15.75" hidden="1">
      <c r="A445" s="495">
        <v>22</v>
      </c>
      <c r="B445" s="495" t="s">
        <v>83</v>
      </c>
      <c r="C445" s="496" t="s">
        <v>84</v>
      </c>
      <c r="D445" s="497" t="s">
        <v>1635</v>
      </c>
      <c r="E445" s="495" t="s">
        <v>85</v>
      </c>
      <c r="F445" s="495" t="s">
        <v>58</v>
      </c>
      <c r="G445" s="495"/>
      <c r="H445" s="495" t="s">
        <v>851</v>
      </c>
      <c r="I445" s="501"/>
      <c r="J445" s="229" t="str">
        <f t="shared" si="6"/>
        <v>13</v>
      </c>
    </row>
    <row r="446" spans="1:10" ht="15.75" hidden="1">
      <c r="A446" s="495">
        <v>23</v>
      </c>
      <c r="B446" s="495" t="s">
        <v>86</v>
      </c>
      <c r="C446" s="499" t="s">
        <v>87</v>
      </c>
      <c r="D446" s="500" t="s">
        <v>1454</v>
      </c>
      <c r="E446" s="498" t="s">
        <v>2218</v>
      </c>
      <c r="F446" s="495" t="s">
        <v>58</v>
      </c>
      <c r="G446" s="498"/>
      <c r="H446" s="498" t="s">
        <v>1544</v>
      </c>
      <c r="I446" s="502"/>
      <c r="J446" s="229" t="str">
        <f t="shared" si="6"/>
        <v>13</v>
      </c>
    </row>
    <row r="447" spans="1:10" ht="15.75" hidden="1">
      <c r="A447" s="495">
        <v>24</v>
      </c>
      <c r="B447" s="495" t="s">
        <v>88</v>
      </c>
      <c r="C447" s="496" t="s">
        <v>89</v>
      </c>
      <c r="D447" s="497" t="s">
        <v>1637</v>
      </c>
      <c r="E447" s="495" t="s">
        <v>2275</v>
      </c>
      <c r="F447" s="495" t="s">
        <v>58</v>
      </c>
      <c r="G447" s="495"/>
      <c r="H447" s="495" t="s">
        <v>1544</v>
      </c>
      <c r="I447" s="501"/>
      <c r="J447" s="229" t="str">
        <f t="shared" si="6"/>
        <v>13</v>
      </c>
    </row>
    <row r="448" spans="1:10" ht="15.75" hidden="1">
      <c r="A448" s="495">
        <v>25</v>
      </c>
      <c r="B448" s="495" t="s">
        <v>113</v>
      </c>
      <c r="C448" s="496" t="s">
        <v>1480</v>
      </c>
      <c r="D448" s="497" t="s">
        <v>1763</v>
      </c>
      <c r="E448" s="495" t="s">
        <v>114</v>
      </c>
      <c r="F448" s="495" t="s">
        <v>58</v>
      </c>
      <c r="G448" s="495"/>
      <c r="H448" s="495" t="s">
        <v>1544</v>
      </c>
      <c r="I448" s="501"/>
      <c r="J448" s="229" t="str">
        <f t="shared" si="6"/>
        <v>13</v>
      </c>
    </row>
    <row r="449" spans="1:10" ht="15.75" hidden="1">
      <c r="A449" s="495">
        <v>26</v>
      </c>
      <c r="B449" s="495" t="s">
        <v>115</v>
      </c>
      <c r="C449" s="499" t="s">
        <v>116</v>
      </c>
      <c r="D449" s="500" t="s">
        <v>1649</v>
      </c>
      <c r="E449" s="498" t="s">
        <v>2687</v>
      </c>
      <c r="F449" s="495" t="s">
        <v>58</v>
      </c>
      <c r="G449" s="498"/>
      <c r="H449" s="498" t="s">
        <v>1544</v>
      </c>
      <c r="I449" s="502"/>
      <c r="J449" s="229" t="str">
        <f t="shared" si="6"/>
        <v>13</v>
      </c>
    </row>
    <row r="450" spans="1:10" ht="15.75" hidden="1">
      <c r="A450" s="495">
        <v>27</v>
      </c>
      <c r="B450" s="495" t="s">
        <v>117</v>
      </c>
      <c r="C450" s="499" t="s">
        <v>1944</v>
      </c>
      <c r="D450" s="500" t="s">
        <v>1457</v>
      </c>
      <c r="E450" s="498" t="s">
        <v>1758</v>
      </c>
      <c r="F450" s="495" t="s">
        <v>58</v>
      </c>
      <c r="G450" s="498"/>
      <c r="H450" s="498" t="s">
        <v>1544</v>
      </c>
      <c r="I450" s="502"/>
      <c r="J450" s="229" t="str">
        <f t="shared" si="6"/>
        <v>13</v>
      </c>
    </row>
    <row r="451" spans="1:10" ht="15.75" hidden="1">
      <c r="A451" s="495">
        <v>28</v>
      </c>
      <c r="B451" s="495" t="s">
        <v>118</v>
      </c>
      <c r="C451" s="496" t="s">
        <v>2040</v>
      </c>
      <c r="D451" s="497" t="s">
        <v>1460</v>
      </c>
      <c r="E451" s="495" t="s">
        <v>81</v>
      </c>
      <c r="F451" s="495" t="s">
        <v>58</v>
      </c>
      <c r="G451" s="495"/>
      <c r="H451" s="495" t="s">
        <v>1544</v>
      </c>
      <c r="I451" s="501"/>
      <c r="J451" s="229" t="str">
        <f t="shared" ref="J451:J514" si="7">LEFT(F451,2)</f>
        <v>13</v>
      </c>
    </row>
    <row r="452" spans="1:10" ht="15.75" hidden="1">
      <c r="A452" s="495">
        <v>29</v>
      </c>
      <c r="B452" s="495" t="s">
        <v>119</v>
      </c>
      <c r="C452" s="499" t="s">
        <v>120</v>
      </c>
      <c r="D452" s="500" t="s">
        <v>121</v>
      </c>
      <c r="E452" s="498" t="s">
        <v>2138</v>
      </c>
      <c r="F452" s="495" t="s">
        <v>58</v>
      </c>
      <c r="G452" s="498"/>
      <c r="H452" s="498" t="s">
        <v>1544</v>
      </c>
      <c r="I452" s="502"/>
      <c r="J452" s="229" t="str">
        <f t="shared" si="7"/>
        <v>13</v>
      </c>
    </row>
    <row r="453" spans="1:10" ht="15.75" hidden="1">
      <c r="A453" s="495">
        <v>30</v>
      </c>
      <c r="B453" s="495" t="s">
        <v>122</v>
      </c>
      <c r="C453" s="499" t="s">
        <v>123</v>
      </c>
      <c r="D453" s="500" t="s">
        <v>1462</v>
      </c>
      <c r="E453" s="498" t="s">
        <v>1764</v>
      </c>
      <c r="F453" s="495" t="s">
        <v>58</v>
      </c>
      <c r="G453" s="498"/>
      <c r="H453" s="498" t="s">
        <v>1544</v>
      </c>
      <c r="I453" s="502"/>
      <c r="J453" s="229" t="str">
        <f t="shared" si="7"/>
        <v>13</v>
      </c>
    </row>
    <row r="454" spans="1:10" ht="15.75" hidden="1">
      <c r="A454" s="495">
        <v>31</v>
      </c>
      <c r="B454" s="495" t="s">
        <v>124</v>
      </c>
      <c r="C454" s="499" t="s">
        <v>2377</v>
      </c>
      <c r="D454" s="500" t="s">
        <v>125</v>
      </c>
      <c r="E454" s="498" t="s">
        <v>126</v>
      </c>
      <c r="F454" s="495" t="s">
        <v>58</v>
      </c>
      <c r="G454" s="498" t="s">
        <v>1642</v>
      </c>
      <c r="H454" s="498" t="s">
        <v>1544</v>
      </c>
      <c r="I454" s="502"/>
      <c r="J454" s="229" t="str">
        <f t="shared" si="7"/>
        <v>13</v>
      </c>
    </row>
    <row r="455" spans="1:10" ht="15.75" hidden="1">
      <c r="A455" s="495">
        <v>32</v>
      </c>
      <c r="B455" s="495" t="s">
        <v>127</v>
      </c>
      <c r="C455" s="496" t="s">
        <v>128</v>
      </c>
      <c r="D455" s="497" t="s">
        <v>2199</v>
      </c>
      <c r="E455" s="495" t="s">
        <v>129</v>
      </c>
      <c r="F455" s="495" t="s">
        <v>58</v>
      </c>
      <c r="G455" s="495"/>
      <c r="H455" s="495" t="s">
        <v>1544</v>
      </c>
      <c r="I455" s="501"/>
      <c r="J455" s="229" t="str">
        <f t="shared" si="7"/>
        <v>13</v>
      </c>
    </row>
    <row r="456" spans="1:10" ht="15.75" hidden="1">
      <c r="A456" s="495">
        <v>33</v>
      </c>
      <c r="B456" s="495" t="s">
        <v>130</v>
      </c>
      <c r="C456" s="499" t="s">
        <v>1432</v>
      </c>
      <c r="D456" s="500" t="s">
        <v>1677</v>
      </c>
      <c r="E456" s="498" t="s">
        <v>131</v>
      </c>
      <c r="F456" s="495" t="s">
        <v>58</v>
      </c>
      <c r="G456" s="498"/>
      <c r="H456" s="498" t="s">
        <v>1544</v>
      </c>
      <c r="I456" s="502"/>
      <c r="J456" s="229" t="str">
        <f t="shared" si="7"/>
        <v>13</v>
      </c>
    </row>
    <row r="457" spans="1:10" ht="15.75" hidden="1">
      <c r="A457" s="495">
        <v>34</v>
      </c>
      <c r="B457" s="495" t="s">
        <v>132</v>
      </c>
      <c r="C457" s="499" t="s">
        <v>133</v>
      </c>
      <c r="D457" s="500" t="s">
        <v>1990</v>
      </c>
      <c r="E457" s="498" t="s">
        <v>134</v>
      </c>
      <c r="F457" s="495" t="s">
        <v>58</v>
      </c>
      <c r="G457" s="498"/>
      <c r="H457" s="498" t="s">
        <v>1544</v>
      </c>
      <c r="I457" s="502"/>
      <c r="J457" s="229" t="str">
        <f t="shared" si="7"/>
        <v>13</v>
      </c>
    </row>
    <row r="458" spans="1:10" ht="15.75" hidden="1">
      <c r="A458" s="495">
        <v>35</v>
      </c>
      <c r="B458" s="495" t="s">
        <v>135</v>
      </c>
      <c r="C458" s="499" t="s">
        <v>2161</v>
      </c>
      <c r="D458" s="500" t="s">
        <v>2108</v>
      </c>
      <c r="E458" s="498" t="s">
        <v>1927</v>
      </c>
      <c r="F458" s="495" t="s">
        <v>58</v>
      </c>
      <c r="G458" s="498"/>
      <c r="H458" s="498" t="s">
        <v>1544</v>
      </c>
      <c r="I458" s="502"/>
      <c r="J458" s="229" t="str">
        <f t="shared" si="7"/>
        <v>13</v>
      </c>
    </row>
    <row r="459" spans="1:10" ht="15.75" hidden="1">
      <c r="A459" s="495">
        <v>36</v>
      </c>
      <c r="B459" s="495" t="s">
        <v>136</v>
      </c>
      <c r="C459" s="496" t="s">
        <v>1933</v>
      </c>
      <c r="D459" s="497" t="s">
        <v>137</v>
      </c>
      <c r="E459" s="495" t="s">
        <v>1823</v>
      </c>
      <c r="F459" s="495" t="s">
        <v>58</v>
      </c>
      <c r="G459" s="495"/>
      <c r="H459" s="495" t="s">
        <v>1544</v>
      </c>
      <c r="I459" s="515" t="s">
        <v>615</v>
      </c>
      <c r="J459" s="229" t="str">
        <f t="shared" si="7"/>
        <v>13</v>
      </c>
    </row>
    <row r="460" spans="1:10" ht="15.75" hidden="1">
      <c r="A460" s="495">
        <v>37</v>
      </c>
      <c r="B460" s="495" t="s">
        <v>138</v>
      </c>
      <c r="C460" s="499" t="s">
        <v>139</v>
      </c>
      <c r="D460" s="500" t="s">
        <v>1474</v>
      </c>
      <c r="E460" s="498" t="s">
        <v>140</v>
      </c>
      <c r="F460" s="495" t="s">
        <v>58</v>
      </c>
      <c r="G460" s="498"/>
      <c r="H460" s="498" t="s">
        <v>851</v>
      </c>
      <c r="I460" s="502"/>
      <c r="J460" s="229" t="str">
        <f t="shared" si="7"/>
        <v>13</v>
      </c>
    </row>
    <row r="461" spans="1:10" ht="15.75" hidden="1">
      <c r="A461" s="495">
        <v>38</v>
      </c>
      <c r="B461" s="495" t="s">
        <v>141</v>
      </c>
      <c r="C461" s="499" t="s">
        <v>1953</v>
      </c>
      <c r="D461" s="500" t="s">
        <v>1476</v>
      </c>
      <c r="E461" s="498" t="s">
        <v>2636</v>
      </c>
      <c r="F461" s="495" t="s">
        <v>58</v>
      </c>
      <c r="G461" s="498"/>
      <c r="H461" s="498" t="s">
        <v>1544</v>
      </c>
      <c r="I461" s="502"/>
      <c r="J461" s="229" t="str">
        <f t="shared" si="7"/>
        <v>13</v>
      </c>
    </row>
    <row r="462" spans="1:10" ht="15.75" hidden="1">
      <c r="A462" s="495">
        <v>39</v>
      </c>
      <c r="B462" s="495" t="s">
        <v>143</v>
      </c>
      <c r="C462" s="499" t="s">
        <v>2161</v>
      </c>
      <c r="D462" s="500" t="s">
        <v>1478</v>
      </c>
      <c r="E462" s="498" t="s">
        <v>144</v>
      </c>
      <c r="F462" s="495" t="s">
        <v>58</v>
      </c>
      <c r="G462" s="498"/>
      <c r="H462" s="498" t="s">
        <v>1544</v>
      </c>
      <c r="I462" s="502"/>
      <c r="J462" s="229" t="str">
        <f t="shared" si="7"/>
        <v>13</v>
      </c>
    </row>
    <row r="463" spans="1:10" ht="15.75" hidden="1">
      <c r="A463" s="495">
        <v>40</v>
      </c>
      <c r="B463" s="495" t="s">
        <v>145</v>
      </c>
      <c r="C463" s="496" t="s">
        <v>1482</v>
      </c>
      <c r="D463" s="497" t="s">
        <v>146</v>
      </c>
      <c r="E463" s="495" t="s">
        <v>2312</v>
      </c>
      <c r="F463" s="495" t="s">
        <v>58</v>
      </c>
      <c r="G463" s="495"/>
      <c r="H463" s="495" t="s">
        <v>1544</v>
      </c>
      <c r="I463" s="501"/>
      <c r="J463" s="229" t="str">
        <f t="shared" si="7"/>
        <v>13</v>
      </c>
    </row>
    <row r="464" spans="1:10" ht="15.75" hidden="1">
      <c r="A464" s="495">
        <v>41</v>
      </c>
      <c r="B464" s="495" t="s">
        <v>147</v>
      </c>
      <c r="C464" s="499" t="s">
        <v>1806</v>
      </c>
      <c r="D464" s="500" t="s">
        <v>1483</v>
      </c>
      <c r="E464" s="498" t="s">
        <v>2386</v>
      </c>
      <c r="F464" s="495" t="s">
        <v>58</v>
      </c>
      <c r="G464" s="498"/>
      <c r="H464" s="498" t="s">
        <v>1544</v>
      </c>
      <c r="I464" s="502"/>
      <c r="J464" s="229" t="str">
        <f t="shared" si="7"/>
        <v>13</v>
      </c>
    </row>
    <row r="465" spans="1:10" ht="15.75" hidden="1">
      <c r="A465" s="495">
        <v>42</v>
      </c>
      <c r="B465" s="495" t="s">
        <v>148</v>
      </c>
      <c r="C465" s="496" t="s">
        <v>1435</v>
      </c>
      <c r="D465" s="497" t="s">
        <v>149</v>
      </c>
      <c r="E465" s="495" t="s">
        <v>142</v>
      </c>
      <c r="F465" s="495" t="s">
        <v>58</v>
      </c>
      <c r="G465" s="495"/>
      <c r="H465" s="495" t="s">
        <v>1544</v>
      </c>
      <c r="I465" s="501"/>
      <c r="J465" s="229" t="str">
        <f t="shared" si="7"/>
        <v>13</v>
      </c>
    </row>
    <row r="466" spans="1:10" ht="15.75" hidden="1">
      <c r="A466" s="495">
        <v>43</v>
      </c>
      <c r="B466" s="495" t="s">
        <v>150</v>
      </c>
      <c r="C466" s="496" t="s">
        <v>2387</v>
      </c>
      <c r="D466" s="497" t="s">
        <v>2512</v>
      </c>
      <c r="E466" s="495" t="s">
        <v>151</v>
      </c>
      <c r="F466" s="495" t="s">
        <v>58</v>
      </c>
      <c r="G466" s="495"/>
      <c r="H466" s="495" t="s">
        <v>1544</v>
      </c>
      <c r="I466" s="501"/>
      <c r="J466" s="229" t="str">
        <f t="shared" si="7"/>
        <v>13</v>
      </c>
    </row>
    <row r="467" spans="1:10" ht="15.75" hidden="1">
      <c r="A467" s="495">
        <v>44</v>
      </c>
      <c r="B467" s="495" t="s">
        <v>152</v>
      </c>
      <c r="C467" s="496" t="s">
        <v>205</v>
      </c>
      <c r="D467" s="497" t="s">
        <v>2126</v>
      </c>
      <c r="E467" s="495" t="s">
        <v>2227</v>
      </c>
      <c r="F467" s="495" t="s">
        <v>58</v>
      </c>
      <c r="G467" s="495"/>
      <c r="H467" s="495" t="s">
        <v>851</v>
      </c>
      <c r="I467" s="515" t="s">
        <v>856</v>
      </c>
      <c r="J467" s="229" t="str">
        <f t="shared" si="7"/>
        <v>13</v>
      </c>
    </row>
    <row r="468" spans="1:10" ht="15.75" hidden="1">
      <c r="A468" s="495">
        <v>1</v>
      </c>
      <c r="B468" s="495" t="s">
        <v>206</v>
      </c>
      <c r="C468" s="496" t="s">
        <v>1948</v>
      </c>
      <c r="D468" s="497" t="s">
        <v>56</v>
      </c>
      <c r="E468" s="495" t="s">
        <v>1877</v>
      </c>
      <c r="F468" s="495" t="s">
        <v>207</v>
      </c>
      <c r="G468" s="495"/>
      <c r="H468" s="495" t="s">
        <v>851</v>
      </c>
      <c r="I468" s="501"/>
      <c r="J468" s="229" t="str">
        <f t="shared" si="7"/>
        <v>13</v>
      </c>
    </row>
    <row r="469" spans="1:10" ht="15.75" hidden="1">
      <c r="A469" s="495">
        <v>2</v>
      </c>
      <c r="B469" s="495" t="s">
        <v>208</v>
      </c>
      <c r="C469" s="496" t="s">
        <v>2136</v>
      </c>
      <c r="D469" s="497" t="s">
        <v>1929</v>
      </c>
      <c r="E469" s="495" t="s">
        <v>1883</v>
      </c>
      <c r="F469" s="495" t="s">
        <v>207</v>
      </c>
      <c r="G469" s="495"/>
      <c r="H469" s="495" t="s">
        <v>851</v>
      </c>
      <c r="I469" s="501"/>
      <c r="J469" s="229" t="str">
        <f t="shared" si="7"/>
        <v>13</v>
      </c>
    </row>
    <row r="470" spans="1:10" ht="15.75" hidden="1">
      <c r="A470" s="495">
        <v>3</v>
      </c>
      <c r="B470" s="495" t="s">
        <v>209</v>
      </c>
      <c r="C470" s="496" t="s">
        <v>1812</v>
      </c>
      <c r="D470" s="497" t="s">
        <v>1547</v>
      </c>
      <c r="E470" s="495" t="s">
        <v>2328</v>
      </c>
      <c r="F470" s="495" t="s">
        <v>207</v>
      </c>
      <c r="G470" s="495"/>
      <c r="H470" s="495" t="s">
        <v>1544</v>
      </c>
      <c r="I470" s="501"/>
      <c r="J470" s="229" t="str">
        <f t="shared" si="7"/>
        <v>13</v>
      </c>
    </row>
    <row r="471" spans="1:10" ht="15.75" hidden="1">
      <c r="A471" s="495">
        <v>4</v>
      </c>
      <c r="B471" s="495" t="s">
        <v>210</v>
      </c>
      <c r="C471" s="496" t="s">
        <v>2040</v>
      </c>
      <c r="D471" s="497" t="s">
        <v>1720</v>
      </c>
      <c r="E471" s="495" t="s">
        <v>211</v>
      </c>
      <c r="F471" s="495" t="s">
        <v>207</v>
      </c>
      <c r="G471" s="495"/>
      <c r="H471" s="495" t="s">
        <v>1544</v>
      </c>
      <c r="I471" s="501"/>
      <c r="J471" s="229" t="str">
        <f t="shared" si="7"/>
        <v>13</v>
      </c>
    </row>
    <row r="472" spans="1:10" ht="15.75" hidden="1">
      <c r="A472" s="495">
        <v>5</v>
      </c>
      <c r="B472" s="495" t="s">
        <v>212</v>
      </c>
      <c r="C472" s="496" t="s">
        <v>2083</v>
      </c>
      <c r="D472" s="497" t="s">
        <v>213</v>
      </c>
      <c r="E472" s="495" t="s">
        <v>2295</v>
      </c>
      <c r="F472" s="495" t="s">
        <v>207</v>
      </c>
      <c r="G472" s="495"/>
      <c r="H472" s="495" t="s">
        <v>1544</v>
      </c>
      <c r="I472" s="501"/>
      <c r="J472" s="229" t="str">
        <f t="shared" si="7"/>
        <v>13</v>
      </c>
    </row>
    <row r="473" spans="1:10" ht="15.75" hidden="1">
      <c r="A473" s="495">
        <v>6</v>
      </c>
      <c r="B473" s="495" t="s">
        <v>214</v>
      </c>
      <c r="C473" s="496" t="s">
        <v>215</v>
      </c>
      <c r="D473" s="497" t="s">
        <v>1440</v>
      </c>
      <c r="E473" s="495" t="s">
        <v>216</v>
      </c>
      <c r="F473" s="495" t="s">
        <v>207</v>
      </c>
      <c r="G473" s="495"/>
      <c r="H473" s="495" t="s">
        <v>1544</v>
      </c>
      <c r="I473" s="501"/>
      <c r="J473" s="229" t="str">
        <f t="shared" si="7"/>
        <v>13</v>
      </c>
    </row>
    <row r="474" spans="1:10" ht="15.75" hidden="1">
      <c r="A474" s="495">
        <v>7</v>
      </c>
      <c r="B474" s="495" t="s">
        <v>217</v>
      </c>
      <c r="C474" s="496" t="s">
        <v>1806</v>
      </c>
      <c r="D474" s="497" t="s">
        <v>1572</v>
      </c>
      <c r="E474" s="495" t="s">
        <v>218</v>
      </c>
      <c r="F474" s="495" t="s">
        <v>207</v>
      </c>
      <c r="G474" s="495" t="s">
        <v>1642</v>
      </c>
      <c r="H474" s="495" t="s">
        <v>1544</v>
      </c>
      <c r="I474" s="501"/>
      <c r="J474" s="229" t="str">
        <f t="shared" si="7"/>
        <v>13</v>
      </c>
    </row>
    <row r="475" spans="1:10" ht="15.75" hidden="1">
      <c r="A475" s="495">
        <v>8</v>
      </c>
      <c r="B475" s="495" t="s">
        <v>219</v>
      </c>
      <c r="C475" s="496" t="s">
        <v>2011</v>
      </c>
      <c r="D475" s="497" t="s">
        <v>220</v>
      </c>
      <c r="E475" s="495" t="s">
        <v>1801</v>
      </c>
      <c r="F475" s="495" t="s">
        <v>207</v>
      </c>
      <c r="G475" s="495"/>
      <c r="H475" s="495" t="s">
        <v>1544</v>
      </c>
      <c r="I475" s="501"/>
      <c r="J475" s="229" t="str">
        <f t="shared" si="7"/>
        <v>13</v>
      </c>
    </row>
    <row r="476" spans="1:10" ht="15.75" hidden="1">
      <c r="A476" s="495">
        <v>9</v>
      </c>
      <c r="B476" s="495" t="s">
        <v>221</v>
      </c>
      <c r="C476" s="496" t="s">
        <v>1430</v>
      </c>
      <c r="D476" s="497" t="s">
        <v>1724</v>
      </c>
      <c r="E476" s="495" t="s">
        <v>81</v>
      </c>
      <c r="F476" s="495" t="s">
        <v>207</v>
      </c>
      <c r="G476" s="495"/>
      <c r="H476" s="495" t="s">
        <v>1544</v>
      </c>
      <c r="I476" s="515" t="s">
        <v>613</v>
      </c>
      <c r="J476" s="229" t="str">
        <f t="shared" si="7"/>
        <v>13</v>
      </c>
    </row>
    <row r="477" spans="1:10" ht="15.75" hidden="1">
      <c r="A477" s="495">
        <v>10</v>
      </c>
      <c r="B477" s="495" t="s">
        <v>419</v>
      </c>
      <c r="C477" s="496" t="s">
        <v>420</v>
      </c>
      <c r="D477" s="497" t="s">
        <v>1841</v>
      </c>
      <c r="E477" s="495" t="s">
        <v>232</v>
      </c>
      <c r="F477" s="495" t="s">
        <v>207</v>
      </c>
      <c r="G477" s="495"/>
      <c r="H477" s="495" t="s">
        <v>1544</v>
      </c>
      <c r="I477" s="501" t="s">
        <v>886</v>
      </c>
      <c r="J477" s="229" t="str">
        <f t="shared" si="7"/>
        <v>13</v>
      </c>
    </row>
    <row r="478" spans="1:10" ht="15.75" hidden="1">
      <c r="A478" s="495">
        <v>11</v>
      </c>
      <c r="B478" s="495" t="s">
        <v>222</v>
      </c>
      <c r="C478" s="499" t="s">
        <v>1546</v>
      </c>
      <c r="D478" s="500" t="s">
        <v>75</v>
      </c>
      <c r="E478" s="498" t="s">
        <v>223</v>
      </c>
      <c r="F478" s="495" t="s">
        <v>207</v>
      </c>
      <c r="G478" s="498"/>
      <c r="H478" s="498" t="s">
        <v>1544</v>
      </c>
      <c r="I478" s="502"/>
      <c r="J478" s="229" t="str">
        <f t="shared" si="7"/>
        <v>13</v>
      </c>
    </row>
    <row r="479" spans="1:10" ht="15.75" hidden="1">
      <c r="A479" s="495">
        <v>12</v>
      </c>
      <c r="B479" s="495" t="s">
        <v>224</v>
      </c>
      <c r="C479" s="496" t="s">
        <v>225</v>
      </c>
      <c r="D479" s="497" t="s">
        <v>1587</v>
      </c>
      <c r="E479" s="495" t="s">
        <v>1935</v>
      </c>
      <c r="F479" s="495" t="s">
        <v>207</v>
      </c>
      <c r="G479" s="495"/>
      <c r="H479" s="495" t="s">
        <v>1544</v>
      </c>
      <c r="I479" s="501"/>
      <c r="J479" s="229" t="str">
        <f t="shared" si="7"/>
        <v>13</v>
      </c>
    </row>
    <row r="480" spans="1:10" ht="15.75" hidden="1">
      <c r="A480" s="495">
        <v>13</v>
      </c>
      <c r="B480" s="495" t="s">
        <v>226</v>
      </c>
      <c r="C480" s="499" t="s">
        <v>227</v>
      </c>
      <c r="D480" s="500" t="s">
        <v>1447</v>
      </c>
      <c r="E480" s="498" t="s">
        <v>228</v>
      </c>
      <c r="F480" s="495" t="s">
        <v>207</v>
      </c>
      <c r="G480" s="498"/>
      <c r="H480" s="498" t="s">
        <v>1544</v>
      </c>
      <c r="I480" s="502"/>
      <c r="J480" s="229" t="str">
        <f t="shared" si="7"/>
        <v>13</v>
      </c>
    </row>
    <row r="481" spans="1:10" ht="15.75" hidden="1">
      <c r="A481" s="495">
        <v>14</v>
      </c>
      <c r="B481" s="495" t="s">
        <v>229</v>
      </c>
      <c r="C481" s="499" t="s">
        <v>1941</v>
      </c>
      <c r="D481" s="500" t="s">
        <v>230</v>
      </c>
      <c r="E481" s="498" t="s">
        <v>144</v>
      </c>
      <c r="F481" s="495" t="s">
        <v>207</v>
      </c>
      <c r="G481" s="498"/>
      <c r="H481" s="498" t="s">
        <v>1544</v>
      </c>
      <c r="I481" s="502"/>
      <c r="J481" s="229" t="str">
        <f t="shared" si="7"/>
        <v>13</v>
      </c>
    </row>
    <row r="482" spans="1:10" ht="15.75" hidden="1">
      <c r="A482" s="495">
        <v>15</v>
      </c>
      <c r="B482" s="495" t="s">
        <v>231</v>
      </c>
      <c r="C482" s="496" t="s">
        <v>1730</v>
      </c>
      <c r="D482" s="497" t="s">
        <v>1626</v>
      </c>
      <c r="E482" s="495" t="s">
        <v>232</v>
      </c>
      <c r="F482" s="495" t="s">
        <v>207</v>
      </c>
      <c r="G482" s="495"/>
      <c r="H482" s="495" t="s">
        <v>1544</v>
      </c>
      <c r="I482" s="502"/>
      <c r="J482" s="229" t="str">
        <f t="shared" si="7"/>
        <v>13</v>
      </c>
    </row>
    <row r="483" spans="1:10" ht="15.75" hidden="1">
      <c r="A483" s="495">
        <v>16</v>
      </c>
      <c r="B483" s="495" t="s">
        <v>234</v>
      </c>
      <c r="C483" s="499" t="s">
        <v>235</v>
      </c>
      <c r="D483" s="500" t="s">
        <v>1975</v>
      </c>
      <c r="E483" s="498" t="s">
        <v>236</v>
      </c>
      <c r="F483" s="495" t="s">
        <v>207</v>
      </c>
      <c r="G483" s="498"/>
      <c r="H483" s="498" t="s">
        <v>1544</v>
      </c>
      <c r="I483" s="502" t="s">
        <v>896</v>
      </c>
      <c r="J483" s="229" t="str">
        <f t="shared" si="7"/>
        <v>13</v>
      </c>
    </row>
    <row r="484" spans="1:10" ht="15.75" hidden="1">
      <c r="A484" s="495">
        <v>17</v>
      </c>
      <c r="B484" s="495" t="s">
        <v>237</v>
      </c>
      <c r="C484" s="499" t="s">
        <v>238</v>
      </c>
      <c r="D484" s="500" t="s">
        <v>1635</v>
      </c>
      <c r="E484" s="498" t="s">
        <v>239</v>
      </c>
      <c r="F484" s="495" t="s">
        <v>207</v>
      </c>
      <c r="G484" s="498"/>
      <c r="H484" s="498" t="s">
        <v>1544</v>
      </c>
      <c r="I484" s="502"/>
      <c r="J484" s="229" t="str">
        <f t="shared" si="7"/>
        <v>13</v>
      </c>
    </row>
    <row r="485" spans="1:10" ht="15.75" hidden="1">
      <c r="A485" s="495">
        <v>18</v>
      </c>
      <c r="B485" s="495" t="s">
        <v>240</v>
      </c>
      <c r="C485" s="499" t="s">
        <v>2018</v>
      </c>
      <c r="D485" s="500" t="s">
        <v>1454</v>
      </c>
      <c r="E485" s="498" t="s">
        <v>2303</v>
      </c>
      <c r="F485" s="495" t="s">
        <v>207</v>
      </c>
      <c r="G485" s="495" t="s">
        <v>1704</v>
      </c>
      <c r="H485" s="498" t="s">
        <v>851</v>
      </c>
      <c r="I485" s="502"/>
      <c r="J485" s="229" t="str">
        <f t="shared" si="7"/>
        <v>13</v>
      </c>
    </row>
    <row r="486" spans="1:10" ht="15.75" hidden="1">
      <c r="A486" s="495">
        <v>19</v>
      </c>
      <c r="B486" s="495" t="s">
        <v>241</v>
      </c>
      <c r="C486" s="499" t="s">
        <v>1806</v>
      </c>
      <c r="D486" s="500" t="s">
        <v>1640</v>
      </c>
      <c r="E486" s="498" t="s">
        <v>242</v>
      </c>
      <c r="F486" s="495" t="s">
        <v>207</v>
      </c>
      <c r="G486" s="498"/>
      <c r="H486" s="498" t="s">
        <v>1544</v>
      </c>
      <c r="I486" s="502"/>
      <c r="J486" s="229" t="str">
        <f t="shared" si="7"/>
        <v>13</v>
      </c>
    </row>
    <row r="487" spans="1:10" ht="15.75" hidden="1">
      <c r="A487" s="495">
        <v>20</v>
      </c>
      <c r="B487" s="495" t="s">
        <v>243</v>
      </c>
      <c r="C487" s="496" t="s">
        <v>244</v>
      </c>
      <c r="D487" s="497" t="s">
        <v>1640</v>
      </c>
      <c r="E487" s="495" t="s">
        <v>245</v>
      </c>
      <c r="F487" s="495" t="s">
        <v>207</v>
      </c>
      <c r="G487" s="495" t="s">
        <v>1630</v>
      </c>
      <c r="H487" s="495" t="s">
        <v>851</v>
      </c>
      <c r="I487" s="501" t="s">
        <v>892</v>
      </c>
      <c r="J487" s="229" t="str">
        <f t="shared" si="7"/>
        <v>13</v>
      </c>
    </row>
    <row r="488" spans="1:10" ht="15.75" hidden="1">
      <c r="A488" s="495">
        <v>21</v>
      </c>
      <c r="B488" s="495" t="s">
        <v>246</v>
      </c>
      <c r="C488" s="496" t="s">
        <v>247</v>
      </c>
      <c r="D488" s="497" t="s">
        <v>1649</v>
      </c>
      <c r="E488" s="495" t="s">
        <v>2148</v>
      </c>
      <c r="F488" s="495" t="s">
        <v>207</v>
      </c>
      <c r="G488" s="495"/>
      <c r="H488" s="495" t="s">
        <v>1544</v>
      </c>
      <c r="I488" s="501"/>
      <c r="J488" s="229" t="str">
        <f t="shared" si="7"/>
        <v>13</v>
      </c>
    </row>
    <row r="489" spans="1:10" ht="15.75" hidden="1">
      <c r="A489" s="495">
        <v>22</v>
      </c>
      <c r="B489" s="495" t="s">
        <v>248</v>
      </c>
      <c r="C489" s="499" t="s">
        <v>2436</v>
      </c>
      <c r="D489" s="500" t="s">
        <v>1458</v>
      </c>
      <c r="E489" s="498" t="s">
        <v>2182</v>
      </c>
      <c r="F489" s="495" t="s">
        <v>207</v>
      </c>
      <c r="G489" s="498"/>
      <c r="H489" s="498" t="s">
        <v>1544</v>
      </c>
      <c r="I489" s="502"/>
      <c r="J489" s="229" t="str">
        <f t="shared" si="7"/>
        <v>13</v>
      </c>
    </row>
    <row r="490" spans="1:10" ht="15.75" hidden="1">
      <c r="A490" s="495">
        <v>23</v>
      </c>
      <c r="B490" s="495" t="s">
        <v>249</v>
      </c>
      <c r="C490" s="499" t="s">
        <v>250</v>
      </c>
      <c r="D490" s="500" t="s">
        <v>1460</v>
      </c>
      <c r="E490" s="498" t="s">
        <v>251</v>
      </c>
      <c r="F490" s="495" t="s">
        <v>207</v>
      </c>
      <c r="G490" s="498"/>
      <c r="H490" s="498" t="s">
        <v>1544</v>
      </c>
      <c r="I490" s="502"/>
      <c r="J490" s="229" t="str">
        <f t="shared" si="7"/>
        <v>13</v>
      </c>
    </row>
    <row r="491" spans="1:10" ht="15.75" hidden="1">
      <c r="A491" s="495">
        <v>24</v>
      </c>
      <c r="B491" s="498" t="s">
        <v>428</v>
      </c>
      <c r="C491" s="496" t="s">
        <v>2585</v>
      </c>
      <c r="D491" s="497" t="s">
        <v>2300</v>
      </c>
      <c r="E491" s="495" t="s">
        <v>429</v>
      </c>
      <c r="F491" s="498" t="s">
        <v>207</v>
      </c>
      <c r="G491" s="495"/>
      <c r="H491" s="495" t="s">
        <v>1544</v>
      </c>
      <c r="I491" s="501" t="s">
        <v>886</v>
      </c>
      <c r="J491" s="229" t="str">
        <f t="shared" si="7"/>
        <v>13</v>
      </c>
    </row>
    <row r="492" spans="1:10" ht="15.75" hidden="1">
      <c r="A492" s="495">
        <v>25</v>
      </c>
      <c r="B492" s="495" t="s">
        <v>253</v>
      </c>
      <c r="C492" s="496" t="s">
        <v>254</v>
      </c>
      <c r="D492" s="497" t="s">
        <v>1672</v>
      </c>
      <c r="E492" s="495" t="s">
        <v>1678</v>
      </c>
      <c r="F492" s="495" t="s">
        <v>207</v>
      </c>
      <c r="G492" s="495"/>
      <c r="H492" s="495" t="s">
        <v>851</v>
      </c>
      <c r="I492" s="501"/>
      <c r="J492" s="229" t="str">
        <f t="shared" si="7"/>
        <v>13</v>
      </c>
    </row>
    <row r="493" spans="1:10" ht="15.75" hidden="1">
      <c r="A493" s="495">
        <v>26</v>
      </c>
      <c r="B493" s="495" t="s">
        <v>255</v>
      </c>
      <c r="C493" s="499" t="s">
        <v>1435</v>
      </c>
      <c r="D493" s="500" t="s">
        <v>1466</v>
      </c>
      <c r="E493" s="498" t="s">
        <v>256</v>
      </c>
      <c r="F493" s="495" t="s">
        <v>207</v>
      </c>
      <c r="G493" s="498"/>
      <c r="H493" s="498" t="s">
        <v>1544</v>
      </c>
      <c r="I493" s="502"/>
      <c r="J493" s="229" t="str">
        <f t="shared" si="7"/>
        <v>13</v>
      </c>
    </row>
    <row r="494" spans="1:10" ht="15.75" hidden="1">
      <c r="A494" s="495">
        <v>27</v>
      </c>
      <c r="B494" s="498" t="s">
        <v>430</v>
      </c>
      <c r="C494" s="496" t="s">
        <v>431</v>
      </c>
      <c r="D494" s="497" t="s">
        <v>1468</v>
      </c>
      <c r="E494" s="495" t="s">
        <v>2055</v>
      </c>
      <c r="F494" s="498" t="s">
        <v>207</v>
      </c>
      <c r="G494" s="495"/>
      <c r="H494" s="495" t="s">
        <v>1544</v>
      </c>
      <c r="I494" s="501" t="s">
        <v>886</v>
      </c>
      <c r="J494" s="229" t="str">
        <f t="shared" si="7"/>
        <v>13</v>
      </c>
    </row>
    <row r="495" spans="1:10" ht="15.75" hidden="1">
      <c r="A495" s="495">
        <v>28</v>
      </c>
      <c r="B495" s="498" t="s">
        <v>432</v>
      </c>
      <c r="C495" s="496" t="s">
        <v>1439</v>
      </c>
      <c r="D495" s="497" t="s">
        <v>433</v>
      </c>
      <c r="E495" s="495" t="s">
        <v>434</v>
      </c>
      <c r="F495" s="498" t="s">
        <v>207</v>
      </c>
      <c r="G495" s="495"/>
      <c r="H495" s="495" t="s">
        <v>1544</v>
      </c>
      <c r="I495" s="515" t="s">
        <v>614</v>
      </c>
      <c r="J495" s="229" t="str">
        <f t="shared" si="7"/>
        <v>13</v>
      </c>
    </row>
    <row r="496" spans="1:10" ht="15.75" hidden="1">
      <c r="A496" s="495">
        <v>29</v>
      </c>
      <c r="B496" s="495" t="s">
        <v>257</v>
      </c>
      <c r="C496" s="499" t="s">
        <v>1439</v>
      </c>
      <c r="D496" s="500" t="s">
        <v>2199</v>
      </c>
      <c r="E496" s="498" t="s">
        <v>1816</v>
      </c>
      <c r="F496" s="495" t="s">
        <v>207</v>
      </c>
      <c r="G496" s="498"/>
      <c r="H496" s="498" t="s">
        <v>1544</v>
      </c>
      <c r="I496" s="502"/>
      <c r="J496" s="229" t="str">
        <f t="shared" si="7"/>
        <v>13</v>
      </c>
    </row>
    <row r="497" spans="1:10" ht="15.75" hidden="1">
      <c r="A497" s="495">
        <v>30</v>
      </c>
      <c r="B497" s="495" t="s">
        <v>258</v>
      </c>
      <c r="C497" s="496" t="s">
        <v>259</v>
      </c>
      <c r="D497" s="497" t="s">
        <v>26</v>
      </c>
      <c r="E497" s="495" t="s">
        <v>260</v>
      </c>
      <c r="F497" s="495" t="s">
        <v>207</v>
      </c>
      <c r="G497" s="495"/>
      <c r="H497" s="495" t="s">
        <v>1544</v>
      </c>
      <c r="I497" s="502" t="s">
        <v>854</v>
      </c>
      <c r="J497" s="229" t="str">
        <f t="shared" si="7"/>
        <v>13</v>
      </c>
    </row>
    <row r="498" spans="1:10" ht="15.75" hidden="1">
      <c r="A498" s="495">
        <v>31</v>
      </c>
      <c r="B498" s="495" t="s">
        <v>261</v>
      </c>
      <c r="C498" s="499" t="s">
        <v>1623</v>
      </c>
      <c r="D498" s="500" t="s">
        <v>1681</v>
      </c>
      <c r="E498" s="498" t="s">
        <v>262</v>
      </c>
      <c r="F498" s="495" t="s">
        <v>207</v>
      </c>
      <c r="G498" s="498"/>
      <c r="H498" s="498" t="s">
        <v>1544</v>
      </c>
      <c r="I498" s="502"/>
      <c r="J498" s="229" t="str">
        <f t="shared" si="7"/>
        <v>13</v>
      </c>
    </row>
    <row r="499" spans="1:10" ht="15.75" hidden="1">
      <c r="A499" s="495">
        <v>32</v>
      </c>
      <c r="B499" s="495" t="s">
        <v>263</v>
      </c>
      <c r="C499" s="496" t="s">
        <v>264</v>
      </c>
      <c r="D499" s="497" t="s">
        <v>1990</v>
      </c>
      <c r="E499" s="495" t="s">
        <v>2221</v>
      </c>
      <c r="F499" s="495" t="s">
        <v>207</v>
      </c>
      <c r="G499" s="495"/>
      <c r="H499" s="495" t="s">
        <v>1544</v>
      </c>
      <c r="I499" s="502" t="s">
        <v>855</v>
      </c>
      <c r="J499" s="229" t="str">
        <f t="shared" si="7"/>
        <v>13</v>
      </c>
    </row>
    <row r="500" spans="1:10" ht="15.75" hidden="1">
      <c r="A500" s="495">
        <v>33</v>
      </c>
      <c r="B500" s="495" t="s">
        <v>265</v>
      </c>
      <c r="C500" s="499" t="s">
        <v>2156</v>
      </c>
      <c r="D500" s="500" t="s">
        <v>266</v>
      </c>
      <c r="E500" s="498" t="s">
        <v>267</v>
      </c>
      <c r="F500" s="495" t="s">
        <v>207</v>
      </c>
      <c r="G500" s="498"/>
      <c r="H500" s="498" t="s">
        <v>1544</v>
      </c>
      <c r="I500" s="502"/>
      <c r="J500" s="229" t="str">
        <f t="shared" si="7"/>
        <v>13</v>
      </c>
    </row>
    <row r="501" spans="1:10" ht="15.75" hidden="1">
      <c r="A501" s="495">
        <v>34</v>
      </c>
      <c r="B501" s="495" t="s">
        <v>268</v>
      </c>
      <c r="C501" s="496" t="s">
        <v>1742</v>
      </c>
      <c r="D501" s="497" t="s">
        <v>269</v>
      </c>
      <c r="E501" s="495" t="s">
        <v>211</v>
      </c>
      <c r="F501" s="495" t="s">
        <v>207</v>
      </c>
      <c r="G501" s="495"/>
      <c r="H501" s="495" t="s">
        <v>1544</v>
      </c>
      <c r="I501" s="501"/>
      <c r="J501" s="229" t="str">
        <f t="shared" si="7"/>
        <v>13</v>
      </c>
    </row>
    <row r="502" spans="1:10" ht="15.75" hidden="1">
      <c r="A502" s="495">
        <v>35</v>
      </c>
      <c r="B502" s="495" t="s">
        <v>270</v>
      </c>
      <c r="C502" s="499" t="s">
        <v>2040</v>
      </c>
      <c r="D502" s="500" t="s">
        <v>1476</v>
      </c>
      <c r="E502" s="498" t="s">
        <v>271</v>
      </c>
      <c r="F502" s="495" t="s">
        <v>207</v>
      </c>
      <c r="G502" s="498"/>
      <c r="H502" s="498" t="s">
        <v>1544</v>
      </c>
      <c r="I502" s="515" t="s">
        <v>613</v>
      </c>
      <c r="J502" s="229" t="str">
        <f t="shared" si="7"/>
        <v>13</v>
      </c>
    </row>
    <row r="503" spans="1:10" ht="15.75" hidden="1">
      <c r="A503" s="495">
        <v>36</v>
      </c>
      <c r="B503" s="495" t="s">
        <v>274</v>
      </c>
      <c r="C503" s="496" t="s">
        <v>1453</v>
      </c>
      <c r="D503" s="497" t="s">
        <v>1691</v>
      </c>
      <c r="E503" s="495" t="s">
        <v>275</v>
      </c>
      <c r="F503" s="495" t="s">
        <v>207</v>
      </c>
      <c r="G503" s="495"/>
      <c r="H503" s="495" t="s">
        <v>1544</v>
      </c>
      <c r="I503" s="501" t="s">
        <v>892</v>
      </c>
      <c r="J503" s="229" t="str">
        <f t="shared" si="7"/>
        <v>13</v>
      </c>
    </row>
    <row r="504" spans="1:10" ht="15.75" hidden="1">
      <c r="A504" s="495">
        <v>37</v>
      </c>
      <c r="B504" s="495" t="s">
        <v>276</v>
      </c>
      <c r="C504" s="499" t="s">
        <v>277</v>
      </c>
      <c r="D504" s="500" t="s">
        <v>1478</v>
      </c>
      <c r="E504" s="498" t="s">
        <v>1629</v>
      </c>
      <c r="F504" s="495" t="s">
        <v>207</v>
      </c>
      <c r="G504" s="498"/>
      <c r="H504" s="498" t="s">
        <v>1544</v>
      </c>
      <c r="I504" s="502"/>
      <c r="J504" s="229" t="str">
        <f t="shared" si="7"/>
        <v>13</v>
      </c>
    </row>
    <row r="505" spans="1:10" ht="15.75" hidden="1">
      <c r="A505" s="495">
        <v>38</v>
      </c>
      <c r="B505" s="495" t="s">
        <v>278</v>
      </c>
      <c r="C505" s="496" t="s">
        <v>2183</v>
      </c>
      <c r="D505" s="497" t="s">
        <v>1912</v>
      </c>
      <c r="E505" s="495" t="s">
        <v>279</v>
      </c>
      <c r="F505" s="495" t="s">
        <v>207</v>
      </c>
      <c r="G505" s="495"/>
      <c r="H505" s="495" t="s">
        <v>1544</v>
      </c>
      <c r="I505" s="502"/>
      <c r="J505" s="229" t="str">
        <f t="shared" si="7"/>
        <v>13</v>
      </c>
    </row>
    <row r="506" spans="1:10" ht="15.75" hidden="1">
      <c r="A506" s="495">
        <v>39</v>
      </c>
      <c r="B506" s="495" t="s">
        <v>281</v>
      </c>
      <c r="C506" s="496" t="s">
        <v>1996</v>
      </c>
      <c r="D506" s="497" t="s">
        <v>1483</v>
      </c>
      <c r="E506" s="495" t="s">
        <v>1857</v>
      </c>
      <c r="F506" s="495" t="s">
        <v>207</v>
      </c>
      <c r="G506" s="495"/>
      <c r="H506" s="495" t="s">
        <v>1544</v>
      </c>
      <c r="I506" s="501"/>
      <c r="J506" s="229" t="str">
        <f t="shared" si="7"/>
        <v>13</v>
      </c>
    </row>
    <row r="507" spans="1:10" ht="15.75" hidden="1">
      <c r="A507" s="495">
        <v>40</v>
      </c>
      <c r="B507" s="495" t="s">
        <v>282</v>
      </c>
      <c r="C507" s="496" t="s">
        <v>283</v>
      </c>
      <c r="D507" s="497" t="s">
        <v>2512</v>
      </c>
      <c r="E507" s="495" t="s">
        <v>2245</v>
      </c>
      <c r="F507" s="495" t="s">
        <v>207</v>
      </c>
      <c r="G507" s="495"/>
      <c r="H507" s="495" t="s">
        <v>1544</v>
      </c>
      <c r="I507" s="501"/>
      <c r="J507" s="229" t="str">
        <f t="shared" si="7"/>
        <v>13</v>
      </c>
    </row>
    <row r="508" spans="1:10" ht="15.75" hidden="1">
      <c r="A508" s="495">
        <v>41</v>
      </c>
      <c r="B508" s="495" t="s">
        <v>284</v>
      </c>
      <c r="C508" s="496" t="s">
        <v>1655</v>
      </c>
      <c r="D508" s="497" t="s">
        <v>1486</v>
      </c>
      <c r="E508" s="495" t="s">
        <v>1567</v>
      </c>
      <c r="F508" s="495" t="s">
        <v>207</v>
      </c>
      <c r="G508" s="495"/>
      <c r="H508" s="495" t="s">
        <v>1544</v>
      </c>
      <c r="I508" s="501"/>
      <c r="J508" s="229" t="str">
        <f t="shared" si="7"/>
        <v>13</v>
      </c>
    </row>
    <row r="509" spans="1:10" ht="15.75" hidden="1">
      <c r="A509" s="495">
        <v>1</v>
      </c>
      <c r="B509" s="495" t="s">
        <v>286</v>
      </c>
      <c r="C509" s="496" t="s">
        <v>287</v>
      </c>
      <c r="D509" s="497" t="s">
        <v>2024</v>
      </c>
      <c r="E509" s="495" t="s">
        <v>288</v>
      </c>
      <c r="F509" s="495" t="s">
        <v>285</v>
      </c>
      <c r="G509" s="495"/>
      <c r="H509" s="495" t="s">
        <v>1544</v>
      </c>
      <c r="I509" s="501"/>
      <c r="J509" s="229" t="str">
        <f t="shared" si="7"/>
        <v>13</v>
      </c>
    </row>
    <row r="510" spans="1:10" ht="15.75" hidden="1">
      <c r="A510" s="498">
        <v>2</v>
      </c>
      <c r="B510" s="495" t="s">
        <v>289</v>
      </c>
      <c r="C510" s="496" t="s">
        <v>2101</v>
      </c>
      <c r="D510" s="497" t="s">
        <v>1434</v>
      </c>
      <c r="E510" s="495" t="s">
        <v>2631</v>
      </c>
      <c r="F510" s="495" t="s">
        <v>285</v>
      </c>
      <c r="G510" s="495" t="s">
        <v>1704</v>
      </c>
      <c r="H510" s="495" t="s">
        <v>1544</v>
      </c>
      <c r="I510" s="501"/>
      <c r="J510" s="229" t="str">
        <f t="shared" si="7"/>
        <v>13</v>
      </c>
    </row>
    <row r="511" spans="1:10" ht="15.75" hidden="1">
      <c r="A511" s="495">
        <v>3</v>
      </c>
      <c r="B511" s="495" t="s">
        <v>290</v>
      </c>
      <c r="C511" s="496" t="s">
        <v>2210</v>
      </c>
      <c r="D511" s="497" t="s">
        <v>1717</v>
      </c>
      <c r="E511" s="495" t="s">
        <v>1746</v>
      </c>
      <c r="F511" s="495" t="s">
        <v>285</v>
      </c>
      <c r="G511" s="495"/>
      <c r="H511" s="495" t="s">
        <v>1544</v>
      </c>
      <c r="I511" s="501"/>
      <c r="J511" s="229" t="str">
        <f t="shared" si="7"/>
        <v>13</v>
      </c>
    </row>
    <row r="512" spans="1:10" ht="15.75" hidden="1">
      <c r="A512" s="498">
        <v>4</v>
      </c>
      <c r="B512" s="495" t="s">
        <v>291</v>
      </c>
      <c r="C512" s="496" t="s">
        <v>292</v>
      </c>
      <c r="D512" s="497" t="s">
        <v>1558</v>
      </c>
      <c r="E512" s="495" t="s">
        <v>1769</v>
      </c>
      <c r="F512" s="495" t="s">
        <v>285</v>
      </c>
      <c r="G512" s="495"/>
      <c r="H512" s="495" t="s">
        <v>1544</v>
      </c>
      <c r="I512" s="501"/>
      <c r="J512" s="229" t="str">
        <f t="shared" si="7"/>
        <v>13</v>
      </c>
    </row>
    <row r="513" spans="1:10" ht="15.75" hidden="1">
      <c r="A513" s="495">
        <v>5</v>
      </c>
      <c r="B513" s="495" t="s">
        <v>293</v>
      </c>
      <c r="C513" s="496" t="s">
        <v>294</v>
      </c>
      <c r="D513" s="497" t="s">
        <v>1720</v>
      </c>
      <c r="E513" s="495" t="s">
        <v>295</v>
      </c>
      <c r="F513" s="495" t="s">
        <v>285</v>
      </c>
      <c r="G513" s="495"/>
      <c r="H513" s="495" t="s">
        <v>1544</v>
      </c>
      <c r="I513" s="501"/>
      <c r="J513" s="229" t="str">
        <f t="shared" si="7"/>
        <v>13</v>
      </c>
    </row>
    <row r="514" spans="1:10" ht="15.75" hidden="1">
      <c r="A514" s="498">
        <v>6</v>
      </c>
      <c r="B514" s="495" t="s">
        <v>296</v>
      </c>
      <c r="C514" s="496" t="s">
        <v>297</v>
      </c>
      <c r="D514" s="497" t="s">
        <v>1566</v>
      </c>
      <c r="E514" s="495" t="s">
        <v>1790</v>
      </c>
      <c r="F514" s="495" t="s">
        <v>285</v>
      </c>
      <c r="G514" s="495"/>
      <c r="H514" s="495" t="s">
        <v>1544</v>
      </c>
      <c r="I514" s="501"/>
      <c r="J514" s="229" t="str">
        <f t="shared" si="7"/>
        <v>13</v>
      </c>
    </row>
    <row r="515" spans="1:10" ht="15.75" hidden="1">
      <c r="A515" s="495">
        <v>7</v>
      </c>
      <c r="B515" s="495" t="s">
        <v>298</v>
      </c>
      <c r="C515" s="496" t="s">
        <v>2110</v>
      </c>
      <c r="D515" s="497" t="s">
        <v>1440</v>
      </c>
      <c r="E515" s="495" t="s">
        <v>299</v>
      </c>
      <c r="F515" s="495" t="s">
        <v>285</v>
      </c>
      <c r="G515" s="495"/>
      <c r="H515" s="495" t="s">
        <v>1544</v>
      </c>
      <c r="I515" s="502"/>
      <c r="J515" s="229" t="str">
        <f t="shared" ref="J515:J578" si="8">LEFT(F515,2)</f>
        <v>13</v>
      </c>
    </row>
    <row r="516" spans="1:10" ht="15.75" hidden="1">
      <c r="A516" s="498">
        <v>8</v>
      </c>
      <c r="B516" s="495" t="s">
        <v>300</v>
      </c>
      <c r="C516" s="496" t="s">
        <v>301</v>
      </c>
      <c r="D516" s="497" t="s">
        <v>2384</v>
      </c>
      <c r="E516" s="495" t="s">
        <v>302</v>
      </c>
      <c r="F516" s="495" t="s">
        <v>285</v>
      </c>
      <c r="G516" s="495"/>
      <c r="H516" s="495" t="s">
        <v>1544</v>
      </c>
      <c r="I516" s="501"/>
      <c r="J516" s="229" t="str">
        <f t="shared" si="8"/>
        <v>13</v>
      </c>
    </row>
    <row r="517" spans="1:10" ht="15.75" hidden="1">
      <c r="A517" s="495">
        <v>9</v>
      </c>
      <c r="B517" s="495" t="s">
        <v>303</v>
      </c>
      <c r="C517" s="496" t="s">
        <v>1439</v>
      </c>
      <c r="D517" s="497" t="s">
        <v>1724</v>
      </c>
      <c r="E517" s="495" t="s">
        <v>1586</v>
      </c>
      <c r="F517" s="495" t="s">
        <v>285</v>
      </c>
      <c r="G517" s="495"/>
      <c r="H517" s="495" t="s">
        <v>851</v>
      </c>
      <c r="I517" s="501"/>
      <c r="J517" s="229" t="str">
        <f t="shared" si="8"/>
        <v>13</v>
      </c>
    </row>
    <row r="518" spans="1:10" ht="15.75" hidden="1">
      <c r="A518" s="498">
        <v>10</v>
      </c>
      <c r="B518" s="495" t="s">
        <v>304</v>
      </c>
      <c r="C518" s="496" t="s">
        <v>2590</v>
      </c>
      <c r="D518" s="497" t="s">
        <v>1844</v>
      </c>
      <c r="E518" s="495" t="s">
        <v>305</v>
      </c>
      <c r="F518" s="495" t="s">
        <v>285</v>
      </c>
      <c r="G518" s="495"/>
      <c r="H518" s="495" t="s">
        <v>1544</v>
      </c>
      <c r="I518" s="501"/>
      <c r="J518" s="229" t="str">
        <f t="shared" si="8"/>
        <v>13</v>
      </c>
    </row>
    <row r="519" spans="1:10" ht="15.75" hidden="1">
      <c r="A519" s="495">
        <v>11</v>
      </c>
      <c r="B519" s="495" t="s">
        <v>306</v>
      </c>
      <c r="C519" s="499" t="s">
        <v>1785</v>
      </c>
      <c r="D519" s="500" t="s">
        <v>1445</v>
      </c>
      <c r="E519" s="498" t="s">
        <v>307</v>
      </c>
      <c r="F519" s="495" t="s">
        <v>285</v>
      </c>
      <c r="G519" s="498"/>
      <c r="H519" s="498" t="s">
        <v>1544</v>
      </c>
      <c r="I519" s="502"/>
      <c r="J519" s="229" t="str">
        <f t="shared" si="8"/>
        <v>13</v>
      </c>
    </row>
    <row r="520" spans="1:10" ht="15.75" hidden="1">
      <c r="A520" s="498">
        <v>12</v>
      </c>
      <c r="B520" s="495" t="s">
        <v>308</v>
      </c>
      <c r="C520" s="499" t="s">
        <v>1916</v>
      </c>
      <c r="D520" s="500" t="s">
        <v>1587</v>
      </c>
      <c r="E520" s="498" t="s">
        <v>309</v>
      </c>
      <c r="F520" s="495" t="s">
        <v>285</v>
      </c>
      <c r="G520" s="498"/>
      <c r="H520" s="498" t="s">
        <v>1544</v>
      </c>
      <c r="I520" s="502"/>
      <c r="J520" s="229" t="str">
        <f t="shared" si="8"/>
        <v>13</v>
      </c>
    </row>
    <row r="521" spans="1:10" ht="15.75" hidden="1">
      <c r="A521" s="495">
        <v>13</v>
      </c>
      <c r="B521" s="495" t="s">
        <v>310</v>
      </c>
      <c r="C521" s="496" t="s">
        <v>311</v>
      </c>
      <c r="D521" s="497" t="s">
        <v>1626</v>
      </c>
      <c r="E521" s="495" t="s">
        <v>312</v>
      </c>
      <c r="F521" s="495" t="s">
        <v>285</v>
      </c>
      <c r="G521" s="495"/>
      <c r="H521" s="495" t="s">
        <v>1544</v>
      </c>
      <c r="I521" s="502"/>
      <c r="J521" s="229" t="str">
        <f t="shared" si="8"/>
        <v>13</v>
      </c>
    </row>
    <row r="522" spans="1:10" ht="15.75" hidden="1">
      <c r="A522" s="498">
        <v>14</v>
      </c>
      <c r="B522" s="495" t="s">
        <v>313</v>
      </c>
      <c r="C522" s="496" t="s">
        <v>314</v>
      </c>
      <c r="D522" s="497" t="s">
        <v>2288</v>
      </c>
      <c r="E522" s="495" t="s">
        <v>315</v>
      </c>
      <c r="F522" s="495" t="s">
        <v>285</v>
      </c>
      <c r="G522" s="495" t="s">
        <v>1630</v>
      </c>
      <c r="H522" s="495" t="s">
        <v>1544</v>
      </c>
      <c r="I522" s="501"/>
      <c r="J522" s="229" t="str">
        <f t="shared" si="8"/>
        <v>13</v>
      </c>
    </row>
    <row r="523" spans="1:10" ht="15.75" hidden="1">
      <c r="A523" s="495">
        <v>15</v>
      </c>
      <c r="B523" s="495" t="s">
        <v>316</v>
      </c>
      <c r="C523" s="499" t="s">
        <v>2083</v>
      </c>
      <c r="D523" s="500" t="s">
        <v>2616</v>
      </c>
      <c r="E523" s="498" t="s">
        <v>7</v>
      </c>
      <c r="F523" s="495" t="s">
        <v>285</v>
      </c>
      <c r="G523" s="498"/>
      <c r="H523" s="498" t="s">
        <v>1544</v>
      </c>
      <c r="I523" s="502"/>
      <c r="J523" s="229" t="str">
        <f t="shared" si="8"/>
        <v>13</v>
      </c>
    </row>
    <row r="524" spans="1:10" ht="15.75" hidden="1">
      <c r="A524" s="498">
        <v>16</v>
      </c>
      <c r="B524" s="495" t="s">
        <v>317</v>
      </c>
      <c r="C524" s="499" t="s">
        <v>318</v>
      </c>
      <c r="D524" s="500" t="s">
        <v>1631</v>
      </c>
      <c r="E524" s="498" t="s">
        <v>2115</v>
      </c>
      <c r="F524" s="495" t="s">
        <v>285</v>
      </c>
      <c r="G524" s="498"/>
      <c r="H524" s="498" t="s">
        <v>1544</v>
      </c>
      <c r="I524" s="502"/>
      <c r="J524" s="229" t="str">
        <f t="shared" si="8"/>
        <v>13</v>
      </c>
    </row>
    <row r="525" spans="1:10" ht="15.75" hidden="1">
      <c r="A525" s="495">
        <v>17</v>
      </c>
      <c r="B525" s="495" t="s">
        <v>319</v>
      </c>
      <c r="C525" s="499" t="s">
        <v>320</v>
      </c>
      <c r="D525" s="500" t="s">
        <v>1635</v>
      </c>
      <c r="E525" s="498" t="s">
        <v>2099</v>
      </c>
      <c r="F525" s="495" t="s">
        <v>285</v>
      </c>
      <c r="G525" s="498"/>
      <c r="H525" s="498" t="s">
        <v>1544</v>
      </c>
      <c r="I525" s="502"/>
      <c r="J525" s="229" t="str">
        <f t="shared" si="8"/>
        <v>13</v>
      </c>
    </row>
    <row r="526" spans="1:10" ht="15.75" hidden="1">
      <c r="A526" s="498">
        <v>18</v>
      </c>
      <c r="B526" s="495" t="s">
        <v>321</v>
      </c>
      <c r="C526" s="496" t="s">
        <v>2011</v>
      </c>
      <c r="D526" s="497" t="s">
        <v>1637</v>
      </c>
      <c r="E526" s="495" t="s">
        <v>2098</v>
      </c>
      <c r="F526" s="495" t="s">
        <v>285</v>
      </c>
      <c r="G526" s="495"/>
      <c r="H526" s="495" t="s">
        <v>1544</v>
      </c>
      <c r="I526" s="501"/>
      <c r="J526" s="229" t="str">
        <f t="shared" si="8"/>
        <v>13</v>
      </c>
    </row>
    <row r="527" spans="1:10" ht="15.75" hidden="1">
      <c r="A527" s="495">
        <v>19</v>
      </c>
      <c r="B527" s="495" t="s">
        <v>323</v>
      </c>
      <c r="C527" s="499" t="s">
        <v>324</v>
      </c>
      <c r="D527" s="500" t="s">
        <v>1457</v>
      </c>
      <c r="E527" s="498" t="s">
        <v>2001</v>
      </c>
      <c r="F527" s="495" t="s">
        <v>285</v>
      </c>
      <c r="G527" s="498"/>
      <c r="H527" s="498" t="s">
        <v>1544</v>
      </c>
      <c r="I527" s="515" t="s">
        <v>865</v>
      </c>
      <c r="J527" s="229" t="str">
        <f t="shared" si="8"/>
        <v>13</v>
      </c>
    </row>
    <row r="528" spans="1:10" ht="15.75" hidden="1">
      <c r="A528" s="498">
        <v>20</v>
      </c>
      <c r="B528" s="495" t="s">
        <v>325</v>
      </c>
      <c r="C528" s="499" t="s">
        <v>326</v>
      </c>
      <c r="D528" s="500" t="s">
        <v>1659</v>
      </c>
      <c r="E528" s="498" t="s">
        <v>327</v>
      </c>
      <c r="F528" s="495" t="s">
        <v>285</v>
      </c>
      <c r="G528" s="498" t="s">
        <v>1642</v>
      </c>
      <c r="H528" s="498" t="s">
        <v>1544</v>
      </c>
      <c r="I528" s="502"/>
      <c r="J528" s="229" t="str">
        <f t="shared" si="8"/>
        <v>13</v>
      </c>
    </row>
    <row r="529" spans="1:10" ht="15.75" hidden="1">
      <c r="A529" s="495">
        <v>21</v>
      </c>
      <c r="B529" s="495" t="s">
        <v>328</v>
      </c>
      <c r="C529" s="496" t="s">
        <v>329</v>
      </c>
      <c r="D529" s="497" t="s">
        <v>2565</v>
      </c>
      <c r="E529" s="495" t="s">
        <v>330</v>
      </c>
      <c r="F529" s="495" t="s">
        <v>285</v>
      </c>
      <c r="G529" s="495"/>
      <c r="H529" s="495" t="s">
        <v>1544</v>
      </c>
      <c r="I529" s="501"/>
      <c r="J529" s="229" t="str">
        <f t="shared" si="8"/>
        <v>13</v>
      </c>
    </row>
    <row r="530" spans="1:10" ht="15.75" hidden="1">
      <c r="A530" s="498">
        <v>22</v>
      </c>
      <c r="B530" s="495" t="s">
        <v>331</v>
      </c>
      <c r="C530" s="496" t="s">
        <v>332</v>
      </c>
      <c r="D530" s="497" t="s">
        <v>2565</v>
      </c>
      <c r="E530" s="495" t="s">
        <v>1622</v>
      </c>
      <c r="F530" s="495" t="s">
        <v>285</v>
      </c>
      <c r="G530" s="495"/>
      <c r="H530" s="495" t="s">
        <v>1544</v>
      </c>
      <c r="I530" s="502"/>
      <c r="J530" s="229" t="str">
        <f t="shared" si="8"/>
        <v>13</v>
      </c>
    </row>
    <row r="531" spans="1:10" ht="15.75" hidden="1">
      <c r="A531" s="495">
        <v>23</v>
      </c>
      <c r="B531" s="495" t="s">
        <v>333</v>
      </c>
      <c r="C531" s="496" t="s">
        <v>1546</v>
      </c>
      <c r="D531" s="497" t="s">
        <v>1782</v>
      </c>
      <c r="E531" s="495" t="s">
        <v>1577</v>
      </c>
      <c r="F531" s="495" t="s">
        <v>285</v>
      </c>
      <c r="G531" s="495"/>
      <c r="H531" s="495" t="s">
        <v>851</v>
      </c>
      <c r="I531" s="501"/>
      <c r="J531" s="229" t="str">
        <f t="shared" si="8"/>
        <v>13</v>
      </c>
    </row>
    <row r="532" spans="1:10" ht="15.75" hidden="1">
      <c r="A532" s="498">
        <v>24</v>
      </c>
      <c r="B532" s="495" t="s">
        <v>334</v>
      </c>
      <c r="C532" s="499" t="s">
        <v>2136</v>
      </c>
      <c r="D532" s="500" t="s">
        <v>1672</v>
      </c>
      <c r="E532" s="498" t="s">
        <v>218</v>
      </c>
      <c r="F532" s="495" t="s">
        <v>285</v>
      </c>
      <c r="G532" s="498"/>
      <c r="H532" s="498" t="s">
        <v>1544</v>
      </c>
      <c r="I532" s="502"/>
      <c r="J532" s="229" t="str">
        <f t="shared" si="8"/>
        <v>13</v>
      </c>
    </row>
    <row r="533" spans="1:10" ht="15.75" hidden="1">
      <c r="A533" s="495">
        <v>25</v>
      </c>
      <c r="B533" s="495" t="s">
        <v>335</v>
      </c>
      <c r="C533" s="499" t="s">
        <v>1812</v>
      </c>
      <c r="D533" s="500" t="s">
        <v>1466</v>
      </c>
      <c r="E533" s="498" t="s">
        <v>2279</v>
      </c>
      <c r="F533" s="495" t="s">
        <v>285</v>
      </c>
      <c r="G533" s="498"/>
      <c r="H533" s="498" t="s">
        <v>1544</v>
      </c>
      <c r="I533" s="502"/>
      <c r="J533" s="229" t="str">
        <f t="shared" si="8"/>
        <v>13</v>
      </c>
    </row>
    <row r="534" spans="1:10" ht="15.75" hidden="1">
      <c r="A534" s="498">
        <v>26</v>
      </c>
      <c r="B534" s="495" t="s">
        <v>336</v>
      </c>
      <c r="C534" s="496" t="s">
        <v>1480</v>
      </c>
      <c r="D534" s="497" t="s">
        <v>1470</v>
      </c>
      <c r="E534" s="495" t="s">
        <v>1624</v>
      </c>
      <c r="F534" s="495" t="s">
        <v>285</v>
      </c>
      <c r="G534" s="495"/>
      <c r="H534" s="495" t="s">
        <v>1544</v>
      </c>
      <c r="I534" s="501"/>
      <c r="J534" s="229" t="str">
        <f t="shared" si="8"/>
        <v>13</v>
      </c>
    </row>
    <row r="535" spans="1:10" ht="15.75" hidden="1">
      <c r="A535" s="495">
        <v>27</v>
      </c>
      <c r="B535" s="495" t="s">
        <v>338</v>
      </c>
      <c r="C535" s="499" t="s">
        <v>339</v>
      </c>
      <c r="D535" s="500" t="s">
        <v>1990</v>
      </c>
      <c r="E535" s="498" t="s">
        <v>2275</v>
      </c>
      <c r="F535" s="495" t="s">
        <v>285</v>
      </c>
      <c r="G535" s="498"/>
      <c r="H535" s="498" t="s">
        <v>1544</v>
      </c>
      <c r="I535" s="502"/>
      <c r="J535" s="229" t="str">
        <f t="shared" si="8"/>
        <v>13</v>
      </c>
    </row>
    <row r="536" spans="1:10" ht="15.75" hidden="1">
      <c r="A536" s="498">
        <v>28</v>
      </c>
      <c r="B536" s="498" t="s">
        <v>435</v>
      </c>
      <c r="C536" s="496" t="s">
        <v>2183</v>
      </c>
      <c r="D536" s="497" t="s">
        <v>2108</v>
      </c>
      <c r="E536" s="495" t="s">
        <v>436</v>
      </c>
      <c r="F536" s="498" t="s">
        <v>285</v>
      </c>
      <c r="G536" s="495"/>
      <c r="H536" s="495" t="s">
        <v>1544</v>
      </c>
      <c r="I536" s="501" t="s">
        <v>886</v>
      </c>
      <c r="J536" s="229" t="str">
        <f t="shared" si="8"/>
        <v>13</v>
      </c>
    </row>
    <row r="537" spans="1:10" ht="15.75" hidden="1">
      <c r="A537" s="495">
        <v>29</v>
      </c>
      <c r="B537" s="495" t="s">
        <v>340</v>
      </c>
      <c r="C537" s="499" t="s">
        <v>1459</v>
      </c>
      <c r="D537" s="500" t="s">
        <v>1802</v>
      </c>
      <c r="E537" s="498" t="s">
        <v>341</v>
      </c>
      <c r="F537" s="495" t="s">
        <v>285</v>
      </c>
      <c r="G537" s="498"/>
      <c r="H537" s="498" t="s">
        <v>1544</v>
      </c>
      <c r="I537" s="502"/>
      <c r="J537" s="229" t="str">
        <f t="shared" si="8"/>
        <v>13</v>
      </c>
    </row>
    <row r="538" spans="1:10" ht="15.75" hidden="1">
      <c r="A538" s="498">
        <v>30</v>
      </c>
      <c r="B538" s="495" t="s">
        <v>342</v>
      </c>
      <c r="C538" s="499" t="s">
        <v>343</v>
      </c>
      <c r="D538" s="500" t="s">
        <v>1471</v>
      </c>
      <c r="E538" s="498" t="s">
        <v>2421</v>
      </c>
      <c r="F538" s="495" t="s">
        <v>285</v>
      </c>
      <c r="G538" s="498"/>
      <c r="H538" s="498" t="s">
        <v>1544</v>
      </c>
      <c r="I538" s="502"/>
      <c r="J538" s="229" t="str">
        <f t="shared" si="8"/>
        <v>13</v>
      </c>
    </row>
    <row r="539" spans="1:10" ht="15.75" hidden="1">
      <c r="A539" s="495">
        <v>31</v>
      </c>
      <c r="B539" s="495" t="s">
        <v>437</v>
      </c>
      <c r="C539" s="496" t="s">
        <v>1876</v>
      </c>
      <c r="D539" s="497" t="s">
        <v>1474</v>
      </c>
      <c r="E539" s="495" t="s">
        <v>438</v>
      </c>
      <c r="F539" s="498" t="s">
        <v>285</v>
      </c>
      <c r="G539" s="495"/>
      <c r="H539" s="495" t="s">
        <v>1544</v>
      </c>
      <c r="I539" s="501" t="s">
        <v>886</v>
      </c>
      <c r="J539" s="229" t="str">
        <f t="shared" si="8"/>
        <v>13</v>
      </c>
    </row>
    <row r="540" spans="1:10" ht="15.75" hidden="1">
      <c r="A540" s="498">
        <v>32</v>
      </c>
      <c r="B540" s="495" t="s">
        <v>344</v>
      </c>
      <c r="C540" s="499" t="s">
        <v>345</v>
      </c>
      <c r="D540" s="500" t="s">
        <v>1688</v>
      </c>
      <c r="E540" s="498" t="s">
        <v>346</v>
      </c>
      <c r="F540" s="495" t="s">
        <v>285</v>
      </c>
      <c r="G540" s="495"/>
      <c r="H540" s="498" t="s">
        <v>1544</v>
      </c>
      <c r="I540" s="502"/>
      <c r="J540" s="229" t="str">
        <f t="shared" si="8"/>
        <v>13</v>
      </c>
    </row>
    <row r="541" spans="1:10" ht="15.75" hidden="1">
      <c r="A541" s="495">
        <v>33</v>
      </c>
      <c r="B541" s="495" t="s">
        <v>347</v>
      </c>
      <c r="C541" s="496" t="s">
        <v>1448</v>
      </c>
      <c r="D541" s="497" t="s">
        <v>348</v>
      </c>
      <c r="E541" s="495" t="s">
        <v>349</v>
      </c>
      <c r="F541" s="495" t="s">
        <v>285</v>
      </c>
      <c r="G541" s="495"/>
      <c r="H541" s="495" t="s">
        <v>1544</v>
      </c>
      <c r="I541" s="515" t="s">
        <v>615</v>
      </c>
      <c r="J541" s="229" t="str">
        <f t="shared" si="8"/>
        <v>13</v>
      </c>
    </row>
    <row r="542" spans="1:10" ht="15.75" hidden="1">
      <c r="A542" s="498">
        <v>34</v>
      </c>
      <c r="B542" s="498" t="s">
        <v>439</v>
      </c>
      <c r="C542" s="496" t="s">
        <v>440</v>
      </c>
      <c r="D542" s="497" t="s">
        <v>1691</v>
      </c>
      <c r="E542" s="495" t="s">
        <v>441</v>
      </c>
      <c r="F542" s="498" t="s">
        <v>285</v>
      </c>
      <c r="G542" s="495"/>
      <c r="H542" s="495" t="s">
        <v>1544</v>
      </c>
      <c r="I542" s="501" t="s">
        <v>886</v>
      </c>
      <c r="J542" s="229" t="str">
        <f t="shared" si="8"/>
        <v>13</v>
      </c>
    </row>
    <row r="543" spans="1:10" ht="15.75" hidden="1">
      <c r="A543" s="495">
        <v>35</v>
      </c>
      <c r="B543" s="498" t="s">
        <v>442</v>
      </c>
      <c r="C543" s="496" t="s">
        <v>443</v>
      </c>
      <c r="D543" s="497" t="s">
        <v>1691</v>
      </c>
      <c r="E543" s="495" t="s">
        <v>1836</v>
      </c>
      <c r="F543" s="498" t="s">
        <v>285</v>
      </c>
      <c r="G543" s="495"/>
      <c r="H543" s="495" t="s">
        <v>1544</v>
      </c>
      <c r="I543" s="515" t="s">
        <v>614</v>
      </c>
      <c r="J543" s="229" t="str">
        <f t="shared" si="8"/>
        <v>13</v>
      </c>
    </row>
    <row r="544" spans="1:10" ht="15.75" hidden="1">
      <c r="A544" s="498">
        <v>36</v>
      </c>
      <c r="B544" s="498" t="s">
        <v>444</v>
      </c>
      <c r="C544" s="496" t="s">
        <v>445</v>
      </c>
      <c r="D544" s="497" t="s">
        <v>446</v>
      </c>
      <c r="E544" s="495" t="s">
        <v>447</v>
      </c>
      <c r="F544" s="498" t="s">
        <v>285</v>
      </c>
      <c r="G544" s="495"/>
      <c r="H544" s="495" t="s">
        <v>1544</v>
      </c>
      <c r="I544" s="501" t="s">
        <v>886</v>
      </c>
      <c r="J544" s="229" t="str">
        <f t="shared" si="8"/>
        <v>13</v>
      </c>
    </row>
    <row r="545" spans="1:10" ht="15.75" hidden="1">
      <c r="A545" s="495">
        <v>37</v>
      </c>
      <c r="B545" s="495" t="s">
        <v>350</v>
      </c>
      <c r="C545" s="496" t="s">
        <v>1730</v>
      </c>
      <c r="D545" s="497" t="s">
        <v>1699</v>
      </c>
      <c r="E545" s="495" t="s">
        <v>2222</v>
      </c>
      <c r="F545" s="495" t="s">
        <v>285</v>
      </c>
      <c r="G545" s="495"/>
      <c r="H545" s="495" t="s">
        <v>1544</v>
      </c>
      <c r="I545" s="501"/>
      <c r="J545" s="229" t="str">
        <f t="shared" si="8"/>
        <v>13</v>
      </c>
    </row>
    <row r="546" spans="1:10" ht="15.75" hidden="1">
      <c r="A546" s="498">
        <v>38</v>
      </c>
      <c r="B546" s="495" t="s">
        <v>351</v>
      </c>
      <c r="C546" s="496" t="s">
        <v>1916</v>
      </c>
      <c r="D546" s="497" t="s">
        <v>1481</v>
      </c>
      <c r="E546" s="495" t="s">
        <v>352</v>
      </c>
      <c r="F546" s="495" t="s">
        <v>285</v>
      </c>
      <c r="G546" s="495"/>
      <c r="H546" s="495" t="s">
        <v>1544</v>
      </c>
      <c r="I546" s="501"/>
      <c r="J546" s="229" t="str">
        <f t="shared" si="8"/>
        <v>13</v>
      </c>
    </row>
    <row r="547" spans="1:10" ht="15.75" hidden="1">
      <c r="A547" s="495">
        <v>39</v>
      </c>
      <c r="B547" s="495" t="s">
        <v>448</v>
      </c>
      <c r="C547" s="496" t="s">
        <v>1680</v>
      </c>
      <c r="D547" s="497" t="s">
        <v>1483</v>
      </c>
      <c r="E547" s="495" t="s">
        <v>2165</v>
      </c>
      <c r="F547" s="498" t="s">
        <v>285</v>
      </c>
      <c r="G547" s="495"/>
      <c r="H547" s="495" t="s">
        <v>1544</v>
      </c>
      <c r="I547" s="501" t="s">
        <v>886</v>
      </c>
      <c r="J547" s="229" t="str">
        <f t="shared" si="8"/>
        <v>13</v>
      </c>
    </row>
    <row r="548" spans="1:10" ht="15.75" hidden="1">
      <c r="A548" s="498">
        <v>40</v>
      </c>
      <c r="B548" s="495" t="s">
        <v>353</v>
      </c>
      <c r="C548" s="499" t="s">
        <v>354</v>
      </c>
      <c r="D548" s="500" t="s">
        <v>1483</v>
      </c>
      <c r="E548" s="495" t="s">
        <v>2158</v>
      </c>
      <c r="F548" s="495" t="s">
        <v>285</v>
      </c>
      <c r="G548" s="495"/>
      <c r="H548" s="495" t="s">
        <v>851</v>
      </c>
      <c r="I548" s="515"/>
      <c r="J548" s="229" t="str">
        <f t="shared" si="8"/>
        <v>13</v>
      </c>
    </row>
    <row r="549" spans="1:10" ht="15.75" hidden="1">
      <c r="A549" s="495">
        <v>41</v>
      </c>
      <c r="B549" s="495" t="s">
        <v>449</v>
      </c>
      <c r="C549" s="496" t="s">
        <v>454</v>
      </c>
      <c r="D549" s="497" t="s">
        <v>1484</v>
      </c>
      <c r="E549" s="495" t="s">
        <v>455</v>
      </c>
      <c r="F549" s="498" t="s">
        <v>285</v>
      </c>
      <c r="G549" s="495"/>
      <c r="H549" s="495" t="s">
        <v>851</v>
      </c>
      <c r="I549" s="501" t="s">
        <v>886</v>
      </c>
      <c r="J549" s="229" t="str">
        <f t="shared" si="8"/>
        <v>13</v>
      </c>
    </row>
    <row r="550" spans="1:10" ht="15.75" hidden="1">
      <c r="A550" s="498">
        <v>42</v>
      </c>
      <c r="B550" s="495" t="s">
        <v>355</v>
      </c>
      <c r="C550" s="496" t="s">
        <v>356</v>
      </c>
      <c r="D550" s="497" t="s">
        <v>2126</v>
      </c>
      <c r="E550" s="495" t="s">
        <v>2299</v>
      </c>
      <c r="F550" s="495" t="s">
        <v>285</v>
      </c>
      <c r="G550" s="495"/>
      <c r="H550" s="495" t="s">
        <v>1544</v>
      </c>
      <c r="I550" s="502"/>
      <c r="J550" s="229" t="str">
        <f t="shared" si="8"/>
        <v>13</v>
      </c>
    </row>
    <row r="551" spans="1:10" ht="15.75" hidden="1">
      <c r="A551" s="495">
        <v>43</v>
      </c>
      <c r="B551" s="495" t="s">
        <v>357</v>
      </c>
      <c r="C551" s="496" t="s">
        <v>358</v>
      </c>
      <c r="D551" s="497" t="s">
        <v>1486</v>
      </c>
      <c r="E551" s="495" t="s">
        <v>2089</v>
      </c>
      <c r="F551" s="495" t="s">
        <v>285</v>
      </c>
      <c r="G551" s="495"/>
      <c r="H551" s="495" t="s">
        <v>1544</v>
      </c>
      <c r="I551" s="501"/>
      <c r="J551" s="229" t="str">
        <f t="shared" si="8"/>
        <v>13</v>
      </c>
    </row>
    <row r="552" spans="1:10" ht="15.75" hidden="1">
      <c r="A552" s="498">
        <v>44</v>
      </c>
      <c r="B552" s="498" t="s">
        <v>457</v>
      </c>
      <c r="C552" s="496" t="s">
        <v>458</v>
      </c>
      <c r="D552" s="497" t="s">
        <v>2348</v>
      </c>
      <c r="E552" s="495" t="s">
        <v>1818</v>
      </c>
      <c r="F552" s="498" t="s">
        <v>285</v>
      </c>
      <c r="G552" s="495"/>
      <c r="H552" s="495" t="s">
        <v>1544</v>
      </c>
      <c r="I552" s="501" t="s">
        <v>886</v>
      </c>
      <c r="J552" s="229" t="str">
        <f t="shared" si="8"/>
        <v>13</v>
      </c>
    </row>
    <row r="553" spans="1:10" ht="15.75" hidden="1">
      <c r="A553" s="495">
        <v>1</v>
      </c>
      <c r="B553" s="495" t="s">
        <v>463</v>
      </c>
      <c r="C553" s="496" t="s">
        <v>464</v>
      </c>
      <c r="D553" s="497" t="s">
        <v>1929</v>
      </c>
      <c r="E553" s="495" t="s">
        <v>2690</v>
      </c>
      <c r="F553" s="495" t="s">
        <v>462</v>
      </c>
      <c r="G553" s="495"/>
      <c r="H553" s="495" t="s">
        <v>1544</v>
      </c>
      <c r="I553" s="501"/>
      <c r="J553" s="229" t="str">
        <f t="shared" si="8"/>
        <v>13</v>
      </c>
    </row>
    <row r="554" spans="1:10" ht="15.75" hidden="1">
      <c r="A554" s="495">
        <v>2</v>
      </c>
      <c r="B554" s="495" t="s">
        <v>640</v>
      </c>
      <c r="C554" s="496" t="s">
        <v>641</v>
      </c>
      <c r="D554" s="497" t="s">
        <v>1712</v>
      </c>
      <c r="E554" s="495" t="s">
        <v>642</v>
      </c>
      <c r="F554" s="495" t="s">
        <v>462</v>
      </c>
      <c r="G554" s="495"/>
      <c r="H554" s="495" t="s">
        <v>1544</v>
      </c>
      <c r="I554" s="501" t="s">
        <v>897</v>
      </c>
      <c r="J554" s="229" t="str">
        <f t="shared" si="8"/>
        <v>13</v>
      </c>
    </row>
    <row r="555" spans="1:10" ht="15.75" hidden="1">
      <c r="A555" s="495">
        <v>3</v>
      </c>
      <c r="B555" s="495" t="s">
        <v>465</v>
      </c>
      <c r="C555" s="496" t="s">
        <v>1733</v>
      </c>
      <c r="D555" s="497" t="s">
        <v>466</v>
      </c>
      <c r="E555" s="495" t="s">
        <v>2165</v>
      </c>
      <c r="F555" s="495" t="s">
        <v>462</v>
      </c>
      <c r="G555" s="495"/>
      <c r="H555" s="495" t="s">
        <v>1544</v>
      </c>
      <c r="I555" s="501"/>
      <c r="J555" s="229" t="str">
        <f t="shared" si="8"/>
        <v>13</v>
      </c>
    </row>
    <row r="556" spans="1:10" ht="15.75" hidden="1">
      <c r="A556" s="495">
        <v>4</v>
      </c>
      <c r="B556" s="495" t="s">
        <v>643</v>
      </c>
      <c r="C556" s="496" t="s">
        <v>626</v>
      </c>
      <c r="D556" s="497" t="s">
        <v>1434</v>
      </c>
      <c r="E556" s="495" t="s">
        <v>644</v>
      </c>
      <c r="F556" s="495" t="s">
        <v>462</v>
      </c>
      <c r="G556" s="495"/>
      <c r="H556" s="495" t="s">
        <v>1544</v>
      </c>
      <c r="I556" s="501" t="s">
        <v>897</v>
      </c>
      <c r="J556" s="229" t="str">
        <f t="shared" si="8"/>
        <v>13</v>
      </c>
    </row>
    <row r="557" spans="1:10" ht="15.75" hidden="1">
      <c r="A557" s="495">
        <v>5</v>
      </c>
      <c r="B557" s="495" t="s">
        <v>645</v>
      </c>
      <c r="C557" s="496" t="s">
        <v>646</v>
      </c>
      <c r="D557" s="497" t="s">
        <v>2143</v>
      </c>
      <c r="E557" s="495" t="s">
        <v>1857</v>
      </c>
      <c r="F557" s="495" t="s">
        <v>462</v>
      </c>
      <c r="G557" s="495"/>
      <c r="H557" s="495" t="s">
        <v>1544</v>
      </c>
      <c r="I557" s="501" t="s">
        <v>897</v>
      </c>
      <c r="J557" s="229" t="str">
        <f t="shared" si="8"/>
        <v>13</v>
      </c>
    </row>
    <row r="558" spans="1:10" ht="15.75" hidden="1">
      <c r="A558" s="495">
        <v>6</v>
      </c>
      <c r="B558" s="495" t="s">
        <v>467</v>
      </c>
      <c r="C558" s="496" t="s">
        <v>468</v>
      </c>
      <c r="D558" s="497" t="s">
        <v>1720</v>
      </c>
      <c r="E558" s="495" t="s">
        <v>469</v>
      </c>
      <c r="F558" s="495" t="s">
        <v>462</v>
      </c>
      <c r="G558" s="495"/>
      <c r="H558" s="495" t="s">
        <v>1544</v>
      </c>
      <c r="I558" s="501"/>
      <c r="J558" s="229" t="str">
        <f t="shared" si="8"/>
        <v>13</v>
      </c>
    </row>
    <row r="559" spans="1:10" ht="15.75" hidden="1">
      <c r="A559" s="495">
        <v>7</v>
      </c>
      <c r="B559" s="495" t="s">
        <v>470</v>
      </c>
      <c r="C559" s="496" t="s">
        <v>2083</v>
      </c>
      <c r="D559" s="497" t="s">
        <v>1566</v>
      </c>
      <c r="E559" s="495" t="s">
        <v>471</v>
      </c>
      <c r="F559" s="495" t="s">
        <v>462</v>
      </c>
      <c r="G559" s="495"/>
      <c r="H559" s="495" t="s">
        <v>1544</v>
      </c>
      <c r="I559" s="501"/>
      <c r="J559" s="229" t="str">
        <f t="shared" si="8"/>
        <v>13</v>
      </c>
    </row>
    <row r="560" spans="1:10" ht="15.75" hidden="1">
      <c r="A560" s="495">
        <v>8</v>
      </c>
      <c r="B560" s="495" t="s">
        <v>472</v>
      </c>
      <c r="C560" s="496" t="s">
        <v>1467</v>
      </c>
      <c r="D560" s="497" t="s">
        <v>1440</v>
      </c>
      <c r="E560" s="495" t="s">
        <v>2019</v>
      </c>
      <c r="F560" s="495" t="s">
        <v>462</v>
      </c>
      <c r="G560" s="495"/>
      <c r="H560" s="495" t="s">
        <v>851</v>
      </c>
      <c r="I560" s="501"/>
      <c r="J560" s="229" t="str">
        <f t="shared" si="8"/>
        <v>13</v>
      </c>
    </row>
    <row r="561" spans="1:10" ht="15.75" hidden="1">
      <c r="A561" s="495">
        <v>9</v>
      </c>
      <c r="B561" s="495" t="s">
        <v>650</v>
      </c>
      <c r="C561" s="496" t="s">
        <v>1441</v>
      </c>
      <c r="D561" s="497" t="s">
        <v>1839</v>
      </c>
      <c r="E561" s="495" t="s">
        <v>1859</v>
      </c>
      <c r="F561" s="495" t="s">
        <v>462</v>
      </c>
      <c r="G561" s="495"/>
      <c r="H561" s="495" t="s">
        <v>1544</v>
      </c>
      <c r="I561" s="501" t="s">
        <v>897</v>
      </c>
      <c r="J561" s="229" t="str">
        <f t="shared" si="8"/>
        <v>13</v>
      </c>
    </row>
    <row r="562" spans="1:10" ht="15.75" hidden="1">
      <c r="A562" s="495">
        <v>10</v>
      </c>
      <c r="B562" s="498" t="s">
        <v>473</v>
      </c>
      <c r="C562" s="499" t="s">
        <v>1668</v>
      </c>
      <c r="D562" s="500" t="s">
        <v>1952</v>
      </c>
      <c r="E562" s="498" t="s">
        <v>474</v>
      </c>
      <c r="F562" s="498" t="s">
        <v>462</v>
      </c>
      <c r="G562" s="498"/>
      <c r="H562" s="498" t="s">
        <v>1544</v>
      </c>
      <c r="I562" s="516"/>
      <c r="J562" s="229" t="str">
        <f t="shared" si="8"/>
        <v>13</v>
      </c>
    </row>
    <row r="563" spans="1:10" ht="15.75" hidden="1">
      <c r="A563" s="495">
        <v>11</v>
      </c>
      <c r="B563" s="495" t="s">
        <v>651</v>
      </c>
      <c r="C563" s="496" t="s">
        <v>652</v>
      </c>
      <c r="D563" s="497" t="s">
        <v>1724</v>
      </c>
      <c r="E563" s="495" t="s">
        <v>653</v>
      </c>
      <c r="F563" s="495" t="s">
        <v>462</v>
      </c>
      <c r="G563" s="495"/>
      <c r="H563" s="495" t="s">
        <v>1544</v>
      </c>
      <c r="I563" s="501" t="s">
        <v>897</v>
      </c>
      <c r="J563" s="229" t="str">
        <f t="shared" si="8"/>
        <v>13</v>
      </c>
    </row>
    <row r="564" spans="1:10" ht="15.75" hidden="1">
      <c r="A564" s="495">
        <v>12</v>
      </c>
      <c r="B564" s="495" t="s">
        <v>475</v>
      </c>
      <c r="C564" s="496" t="s">
        <v>476</v>
      </c>
      <c r="D564" s="497" t="s">
        <v>2567</v>
      </c>
      <c r="E564" s="495" t="s">
        <v>477</v>
      </c>
      <c r="F564" s="495" t="s">
        <v>462</v>
      </c>
      <c r="G564" s="495"/>
      <c r="H564" s="495" t="s">
        <v>1544</v>
      </c>
      <c r="I564" s="501"/>
      <c r="J564" s="229" t="str">
        <f t="shared" si="8"/>
        <v>13</v>
      </c>
    </row>
    <row r="565" spans="1:10" ht="15.75" hidden="1">
      <c r="A565" s="495">
        <v>13</v>
      </c>
      <c r="B565" s="495" t="s">
        <v>478</v>
      </c>
      <c r="C565" s="496" t="s">
        <v>2578</v>
      </c>
      <c r="D565" s="497" t="s">
        <v>1443</v>
      </c>
      <c r="E565" s="495" t="s">
        <v>1848</v>
      </c>
      <c r="F565" s="495" t="s">
        <v>462</v>
      </c>
      <c r="G565" s="495"/>
      <c r="H565" s="495" t="s">
        <v>1544</v>
      </c>
      <c r="I565" s="501"/>
      <c r="J565" s="229" t="str">
        <f t="shared" si="8"/>
        <v>13</v>
      </c>
    </row>
    <row r="566" spans="1:10" ht="15.75" hidden="1">
      <c r="A566" s="495">
        <v>14</v>
      </c>
      <c r="B566" s="495" t="s">
        <v>654</v>
      </c>
      <c r="C566" s="496" t="s">
        <v>1430</v>
      </c>
      <c r="D566" s="497" t="s">
        <v>1841</v>
      </c>
      <c r="E566" s="495" t="s">
        <v>2312</v>
      </c>
      <c r="F566" s="495" t="s">
        <v>462</v>
      </c>
      <c r="G566" s="495"/>
      <c r="H566" s="495" t="s">
        <v>1544</v>
      </c>
      <c r="I566" s="501" t="s">
        <v>897</v>
      </c>
      <c r="J566" s="229" t="str">
        <f t="shared" si="8"/>
        <v>13</v>
      </c>
    </row>
    <row r="567" spans="1:10" ht="15.75" hidden="1">
      <c r="A567" s="495">
        <v>15</v>
      </c>
      <c r="B567" s="495" t="s">
        <v>657</v>
      </c>
      <c r="C567" s="496" t="s">
        <v>658</v>
      </c>
      <c r="D567" s="497" t="s">
        <v>1844</v>
      </c>
      <c r="E567" s="495" t="s">
        <v>2485</v>
      </c>
      <c r="F567" s="495" t="s">
        <v>462</v>
      </c>
      <c r="G567" s="495"/>
      <c r="H567" s="495" t="s">
        <v>1544</v>
      </c>
      <c r="I567" s="501" t="s">
        <v>897</v>
      </c>
      <c r="J567" s="229" t="str">
        <f t="shared" si="8"/>
        <v>13</v>
      </c>
    </row>
    <row r="568" spans="1:10" ht="15.75" hidden="1">
      <c r="A568" s="495">
        <v>16</v>
      </c>
      <c r="B568" s="495" t="s">
        <v>479</v>
      </c>
      <c r="C568" s="496" t="s">
        <v>480</v>
      </c>
      <c r="D568" s="497" t="s">
        <v>1580</v>
      </c>
      <c r="E568" s="495" t="s">
        <v>1877</v>
      </c>
      <c r="F568" s="495" t="s">
        <v>462</v>
      </c>
      <c r="G568" s="495"/>
      <c r="H568" s="495" t="s">
        <v>1544</v>
      </c>
      <c r="I568" s="501"/>
      <c r="J568" s="229" t="str">
        <f t="shared" si="8"/>
        <v>13</v>
      </c>
    </row>
    <row r="569" spans="1:10" ht="15.75" hidden="1">
      <c r="A569" s="495">
        <v>17</v>
      </c>
      <c r="B569" s="495" t="s">
        <v>481</v>
      </c>
      <c r="C569" s="496" t="s">
        <v>2188</v>
      </c>
      <c r="D569" s="497" t="s">
        <v>1580</v>
      </c>
      <c r="E569" s="495" t="s">
        <v>1624</v>
      </c>
      <c r="F569" s="495" t="s">
        <v>462</v>
      </c>
      <c r="G569" s="495"/>
      <c r="H569" s="495" t="s">
        <v>1544</v>
      </c>
      <c r="I569" s="501"/>
      <c r="J569" s="229" t="str">
        <f t="shared" si="8"/>
        <v>13</v>
      </c>
    </row>
    <row r="570" spans="1:10" ht="15.75" hidden="1">
      <c r="A570" s="495">
        <v>18</v>
      </c>
      <c r="B570" s="495" t="s">
        <v>482</v>
      </c>
      <c r="C570" s="496" t="s">
        <v>483</v>
      </c>
      <c r="D570" s="497" t="s">
        <v>1850</v>
      </c>
      <c r="E570" s="495" t="s">
        <v>484</v>
      </c>
      <c r="F570" s="495" t="s">
        <v>462</v>
      </c>
      <c r="G570" s="498"/>
      <c r="H570" s="495" t="s">
        <v>1544</v>
      </c>
      <c r="I570" s="501"/>
      <c r="J570" s="229" t="str">
        <f t="shared" si="8"/>
        <v>13</v>
      </c>
    </row>
    <row r="571" spans="1:10" ht="15.75" hidden="1">
      <c r="A571" s="495">
        <v>19</v>
      </c>
      <c r="B571" s="495" t="s">
        <v>486</v>
      </c>
      <c r="C571" s="496" t="s">
        <v>1668</v>
      </c>
      <c r="D571" s="497" t="s">
        <v>1449</v>
      </c>
      <c r="E571" s="495" t="s">
        <v>487</v>
      </c>
      <c r="F571" s="495" t="s">
        <v>462</v>
      </c>
      <c r="G571" s="495" t="s">
        <v>1704</v>
      </c>
      <c r="H571" s="495" t="s">
        <v>851</v>
      </c>
      <c r="I571" s="501"/>
      <c r="J571" s="229" t="str">
        <f t="shared" si="8"/>
        <v>13</v>
      </c>
    </row>
    <row r="572" spans="1:10" ht="15.75" hidden="1">
      <c r="A572" s="495">
        <v>20</v>
      </c>
      <c r="B572" s="495" t="s">
        <v>488</v>
      </c>
      <c r="C572" s="496" t="s">
        <v>1439</v>
      </c>
      <c r="D572" s="497" t="s">
        <v>2056</v>
      </c>
      <c r="E572" s="495" t="s">
        <v>2316</v>
      </c>
      <c r="F572" s="495" t="s">
        <v>462</v>
      </c>
      <c r="G572" s="495"/>
      <c r="H572" s="495" t="s">
        <v>1544</v>
      </c>
      <c r="I572" s="501"/>
      <c r="J572" s="229" t="str">
        <f t="shared" si="8"/>
        <v>13</v>
      </c>
    </row>
    <row r="573" spans="1:10" ht="15.75" hidden="1">
      <c r="A573" s="495">
        <v>21</v>
      </c>
      <c r="B573" s="495" t="s">
        <v>489</v>
      </c>
      <c r="C573" s="496" t="s">
        <v>490</v>
      </c>
      <c r="D573" s="497" t="s">
        <v>2288</v>
      </c>
      <c r="E573" s="495" t="s">
        <v>57</v>
      </c>
      <c r="F573" s="495" t="s">
        <v>462</v>
      </c>
      <c r="G573" s="495"/>
      <c r="H573" s="495" t="s">
        <v>1544</v>
      </c>
      <c r="I573" s="501"/>
      <c r="J573" s="229" t="str">
        <f t="shared" si="8"/>
        <v>13</v>
      </c>
    </row>
    <row r="574" spans="1:10" ht="15.75" hidden="1">
      <c r="A574" s="495">
        <v>22</v>
      </c>
      <c r="B574" s="495" t="s">
        <v>666</v>
      </c>
      <c r="C574" s="496" t="s">
        <v>1939</v>
      </c>
      <c r="D574" s="497" t="s">
        <v>2288</v>
      </c>
      <c r="E574" s="495" t="s">
        <v>667</v>
      </c>
      <c r="F574" s="495" t="s">
        <v>462</v>
      </c>
      <c r="G574" s="495"/>
      <c r="H574" s="495" t="s">
        <v>851</v>
      </c>
      <c r="I574" s="501" t="s">
        <v>897</v>
      </c>
      <c r="J574" s="229" t="str">
        <f t="shared" si="8"/>
        <v>13</v>
      </c>
    </row>
    <row r="575" spans="1:10" ht="15.75" hidden="1">
      <c r="A575" s="495">
        <v>23</v>
      </c>
      <c r="B575" s="495" t="s">
        <v>492</v>
      </c>
      <c r="C575" s="496" t="s">
        <v>1916</v>
      </c>
      <c r="D575" s="497" t="s">
        <v>2288</v>
      </c>
      <c r="E575" s="495" t="s">
        <v>493</v>
      </c>
      <c r="F575" s="495" t="s">
        <v>462</v>
      </c>
      <c r="G575" s="495"/>
      <c r="H575" s="495" t="s">
        <v>851</v>
      </c>
      <c r="I575" s="501"/>
      <c r="J575" s="229" t="str">
        <f t="shared" si="8"/>
        <v>13</v>
      </c>
    </row>
    <row r="576" spans="1:10" ht="15.75" hidden="1">
      <c r="A576" s="495">
        <v>24</v>
      </c>
      <c r="B576" s="495" t="s">
        <v>494</v>
      </c>
      <c r="C576" s="496" t="s">
        <v>495</v>
      </c>
      <c r="D576" s="497" t="s">
        <v>1451</v>
      </c>
      <c r="E576" s="495" t="s">
        <v>496</v>
      </c>
      <c r="F576" s="495" t="s">
        <v>462</v>
      </c>
      <c r="G576" s="495"/>
      <c r="H576" s="495" t="s">
        <v>1544</v>
      </c>
      <c r="I576" s="502" t="s">
        <v>856</v>
      </c>
      <c r="J576" s="229" t="str">
        <f t="shared" si="8"/>
        <v>13</v>
      </c>
    </row>
    <row r="577" spans="1:10" ht="15.75" hidden="1">
      <c r="A577" s="495">
        <v>25</v>
      </c>
      <c r="B577" s="495" t="s">
        <v>497</v>
      </c>
      <c r="C577" s="496" t="s">
        <v>1953</v>
      </c>
      <c r="D577" s="497" t="s">
        <v>1635</v>
      </c>
      <c r="E577" s="495" t="s">
        <v>498</v>
      </c>
      <c r="F577" s="495" t="s">
        <v>462</v>
      </c>
      <c r="G577" s="495"/>
      <c r="H577" s="495" t="s">
        <v>1544</v>
      </c>
      <c r="I577" s="510"/>
      <c r="J577" s="229" t="str">
        <f t="shared" si="8"/>
        <v>13</v>
      </c>
    </row>
    <row r="578" spans="1:10" ht="15.75" hidden="1">
      <c r="A578" s="495">
        <v>26</v>
      </c>
      <c r="B578" s="495" t="s">
        <v>499</v>
      </c>
      <c r="C578" s="496" t="s">
        <v>0</v>
      </c>
      <c r="D578" s="497" t="s">
        <v>500</v>
      </c>
      <c r="E578" s="495" t="s">
        <v>2657</v>
      </c>
      <c r="F578" s="495" t="s">
        <v>462</v>
      </c>
      <c r="G578" s="495"/>
      <c r="H578" s="495" t="s">
        <v>1544</v>
      </c>
      <c r="I578" s="501"/>
      <c r="J578" s="229" t="str">
        <f t="shared" si="8"/>
        <v>13</v>
      </c>
    </row>
    <row r="579" spans="1:10" ht="15.75" hidden="1">
      <c r="A579" s="495">
        <v>27</v>
      </c>
      <c r="B579" s="495" t="s">
        <v>501</v>
      </c>
      <c r="C579" s="496" t="s">
        <v>502</v>
      </c>
      <c r="D579" s="497" t="s">
        <v>1659</v>
      </c>
      <c r="E579" s="495" t="s">
        <v>2084</v>
      </c>
      <c r="F579" s="495" t="s">
        <v>462</v>
      </c>
      <c r="G579" s="495"/>
      <c r="H579" s="495" t="s">
        <v>851</v>
      </c>
      <c r="I579" s="501"/>
      <c r="J579" s="229" t="str">
        <f t="shared" ref="J579:J642" si="9">LEFT(F579,2)</f>
        <v>13</v>
      </c>
    </row>
    <row r="580" spans="1:10" ht="15.75" hidden="1">
      <c r="A580" s="495">
        <v>28</v>
      </c>
      <c r="B580" s="495" t="s">
        <v>503</v>
      </c>
      <c r="C580" s="496" t="s">
        <v>1973</v>
      </c>
      <c r="D580" s="497" t="s">
        <v>2565</v>
      </c>
      <c r="E580" s="495" t="s">
        <v>2420</v>
      </c>
      <c r="F580" s="495" t="s">
        <v>462</v>
      </c>
      <c r="G580" s="495"/>
      <c r="H580" s="495" t="s">
        <v>1544</v>
      </c>
      <c r="I580" s="501"/>
      <c r="J580" s="229" t="str">
        <f t="shared" si="9"/>
        <v>13</v>
      </c>
    </row>
    <row r="581" spans="1:10" ht="15.75" hidden="1">
      <c r="A581" s="495">
        <v>29</v>
      </c>
      <c r="B581" s="495" t="s">
        <v>504</v>
      </c>
      <c r="C581" s="496" t="s">
        <v>332</v>
      </c>
      <c r="D581" s="497" t="s">
        <v>1782</v>
      </c>
      <c r="E581" s="495" t="s">
        <v>505</v>
      </c>
      <c r="F581" s="495" t="s">
        <v>462</v>
      </c>
      <c r="G581" s="495"/>
      <c r="H581" s="495" t="s">
        <v>1544</v>
      </c>
      <c r="I581" s="501"/>
      <c r="J581" s="229" t="str">
        <f t="shared" si="9"/>
        <v>13</v>
      </c>
    </row>
    <row r="582" spans="1:10" ht="15.75" hidden="1">
      <c r="A582" s="495">
        <v>30</v>
      </c>
      <c r="B582" s="495" t="s">
        <v>506</v>
      </c>
      <c r="C582" s="496" t="s">
        <v>1806</v>
      </c>
      <c r="D582" s="497" t="s">
        <v>507</v>
      </c>
      <c r="E582" s="495" t="s">
        <v>2127</v>
      </c>
      <c r="F582" s="495" t="s">
        <v>462</v>
      </c>
      <c r="G582" s="495"/>
      <c r="H582" s="495" t="s">
        <v>1544</v>
      </c>
      <c r="I582" s="501"/>
      <c r="J582" s="229" t="str">
        <f t="shared" si="9"/>
        <v>13</v>
      </c>
    </row>
    <row r="583" spans="1:10" ht="15.75" hidden="1">
      <c r="A583" s="495">
        <v>31</v>
      </c>
      <c r="B583" s="495" t="s">
        <v>508</v>
      </c>
      <c r="C583" s="496" t="s">
        <v>1430</v>
      </c>
      <c r="D583" s="497" t="s">
        <v>1466</v>
      </c>
      <c r="E583" s="495" t="s">
        <v>422</v>
      </c>
      <c r="F583" s="495" t="s">
        <v>462</v>
      </c>
      <c r="G583" s="495"/>
      <c r="H583" s="495" t="s">
        <v>851</v>
      </c>
      <c r="I583" s="501"/>
      <c r="J583" s="229" t="str">
        <f t="shared" si="9"/>
        <v>13</v>
      </c>
    </row>
    <row r="584" spans="1:10" ht="15.75" hidden="1">
      <c r="A584" s="495">
        <v>32</v>
      </c>
      <c r="B584" s="495" t="s">
        <v>509</v>
      </c>
      <c r="C584" s="496" t="s">
        <v>510</v>
      </c>
      <c r="D584" s="497" t="s">
        <v>1677</v>
      </c>
      <c r="E584" s="495" t="s">
        <v>2225</v>
      </c>
      <c r="F584" s="495" t="s">
        <v>462</v>
      </c>
      <c r="G584" s="495" t="s">
        <v>1642</v>
      </c>
      <c r="H584" s="495" t="s">
        <v>1544</v>
      </c>
      <c r="I584" s="501"/>
      <c r="J584" s="229" t="str">
        <f t="shared" si="9"/>
        <v>13</v>
      </c>
    </row>
    <row r="585" spans="1:10" ht="15.75" hidden="1">
      <c r="A585" s="495">
        <v>33</v>
      </c>
      <c r="B585" s="495" t="s">
        <v>513</v>
      </c>
      <c r="C585" s="496" t="s">
        <v>514</v>
      </c>
      <c r="D585" s="497" t="s">
        <v>1471</v>
      </c>
      <c r="E585" s="495" t="s">
        <v>498</v>
      </c>
      <c r="F585" s="495" t="s">
        <v>462</v>
      </c>
      <c r="G585" s="495"/>
      <c r="H585" s="495" t="s">
        <v>851</v>
      </c>
      <c r="I585" s="501"/>
      <c r="J585" s="229" t="str">
        <f t="shared" si="9"/>
        <v>13</v>
      </c>
    </row>
    <row r="586" spans="1:10" ht="15.75" hidden="1">
      <c r="A586" s="495">
        <v>34</v>
      </c>
      <c r="B586" s="495" t="s">
        <v>515</v>
      </c>
      <c r="C586" s="496" t="s">
        <v>516</v>
      </c>
      <c r="D586" s="497" t="s">
        <v>517</v>
      </c>
      <c r="E586" s="495" t="s">
        <v>1829</v>
      </c>
      <c r="F586" s="495" t="s">
        <v>462</v>
      </c>
      <c r="G586" s="495" t="s">
        <v>1551</v>
      </c>
      <c r="H586" s="495" t="s">
        <v>1544</v>
      </c>
      <c r="I586" s="502" t="s">
        <v>1630</v>
      </c>
      <c r="J586" s="229" t="str">
        <f t="shared" si="9"/>
        <v>13</v>
      </c>
    </row>
    <row r="587" spans="1:10" ht="15.75" hidden="1">
      <c r="A587" s="495">
        <v>35</v>
      </c>
      <c r="B587" s="495" t="s">
        <v>518</v>
      </c>
      <c r="C587" s="496" t="s">
        <v>1812</v>
      </c>
      <c r="D587" s="497" t="s">
        <v>1476</v>
      </c>
      <c r="E587" s="495" t="s">
        <v>2093</v>
      </c>
      <c r="F587" s="495" t="s">
        <v>462</v>
      </c>
      <c r="G587" s="495"/>
      <c r="H587" s="495" t="s">
        <v>1544</v>
      </c>
      <c r="I587" s="501"/>
      <c r="J587" s="229" t="str">
        <f t="shared" si="9"/>
        <v>13</v>
      </c>
    </row>
    <row r="588" spans="1:10" ht="15.75" hidden="1">
      <c r="A588" s="495">
        <v>36</v>
      </c>
      <c r="B588" s="495" t="s">
        <v>519</v>
      </c>
      <c r="C588" s="496" t="s">
        <v>520</v>
      </c>
      <c r="D588" s="497" t="s">
        <v>2217</v>
      </c>
      <c r="E588" s="495" t="s">
        <v>2093</v>
      </c>
      <c r="F588" s="495" t="s">
        <v>462</v>
      </c>
      <c r="G588" s="495"/>
      <c r="H588" s="495" t="s">
        <v>1544</v>
      </c>
      <c r="I588" s="501"/>
      <c r="J588" s="229" t="str">
        <f t="shared" si="9"/>
        <v>13</v>
      </c>
    </row>
    <row r="589" spans="1:10" ht="15.75" hidden="1">
      <c r="A589" s="495">
        <v>37</v>
      </c>
      <c r="B589" s="495" t="s">
        <v>521</v>
      </c>
      <c r="C589" s="496" t="s">
        <v>522</v>
      </c>
      <c r="D589" s="497" t="s">
        <v>1478</v>
      </c>
      <c r="E589" s="495" t="s">
        <v>2334</v>
      </c>
      <c r="F589" s="495" t="s">
        <v>462</v>
      </c>
      <c r="G589" s="495"/>
      <c r="H589" s="495" t="s">
        <v>851</v>
      </c>
      <c r="I589" s="501"/>
      <c r="J589" s="229" t="str">
        <f t="shared" si="9"/>
        <v>13</v>
      </c>
    </row>
    <row r="590" spans="1:10" ht="15.75" hidden="1">
      <c r="A590" s="495">
        <v>38</v>
      </c>
      <c r="B590" s="495" t="s">
        <v>898</v>
      </c>
      <c r="C590" s="499" t="s">
        <v>1430</v>
      </c>
      <c r="D590" s="500" t="s">
        <v>1478</v>
      </c>
      <c r="E590" s="495" t="s">
        <v>899</v>
      </c>
      <c r="F590" s="495" t="s">
        <v>462</v>
      </c>
      <c r="G590" s="501"/>
      <c r="H590" s="495" t="s">
        <v>851</v>
      </c>
      <c r="I590" s="502" t="s">
        <v>900</v>
      </c>
      <c r="J590" s="229" t="str">
        <f t="shared" si="9"/>
        <v>13</v>
      </c>
    </row>
    <row r="591" spans="1:10" ht="15.75" hidden="1">
      <c r="A591" s="495">
        <v>39</v>
      </c>
      <c r="B591" s="495" t="s">
        <v>523</v>
      </c>
      <c r="C591" s="496" t="s">
        <v>2129</v>
      </c>
      <c r="D591" s="497" t="s">
        <v>2117</v>
      </c>
      <c r="E591" s="495" t="s">
        <v>2138</v>
      </c>
      <c r="F591" s="495" t="s">
        <v>462</v>
      </c>
      <c r="G591" s="495"/>
      <c r="H591" s="495" t="s">
        <v>1544</v>
      </c>
      <c r="I591" s="501"/>
      <c r="J591" s="229" t="str">
        <f t="shared" si="9"/>
        <v>13</v>
      </c>
    </row>
    <row r="592" spans="1:10" ht="15.75" hidden="1">
      <c r="A592" s="495">
        <v>40</v>
      </c>
      <c r="B592" s="495" t="s">
        <v>524</v>
      </c>
      <c r="C592" s="496" t="s">
        <v>1668</v>
      </c>
      <c r="D592" s="497" t="s">
        <v>2117</v>
      </c>
      <c r="E592" s="495" t="s">
        <v>525</v>
      </c>
      <c r="F592" s="495" t="s">
        <v>462</v>
      </c>
      <c r="G592" s="495"/>
      <c r="H592" s="495" t="s">
        <v>1544</v>
      </c>
      <c r="I592" s="501"/>
      <c r="J592" s="229" t="str">
        <f t="shared" si="9"/>
        <v>13</v>
      </c>
    </row>
    <row r="593" spans="1:10" ht="15.75" hidden="1">
      <c r="A593" s="495">
        <v>41</v>
      </c>
      <c r="B593" s="495" t="s">
        <v>526</v>
      </c>
      <c r="C593" s="496" t="s">
        <v>527</v>
      </c>
      <c r="D593" s="497" t="s">
        <v>1481</v>
      </c>
      <c r="E593" s="495" t="s">
        <v>528</v>
      </c>
      <c r="F593" s="495" t="s">
        <v>462</v>
      </c>
      <c r="G593" s="495"/>
      <c r="H593" s="495" t="s">
        <v>851</v>
      </c>
      <c r="I593" s="501"/>
      <c r="J593" s="229" t="str">
        <f t="shared" si="9"/>
        <v>13</v>
      </c>
    </row>
    <row r="594" spans="1:10" ht="15.75" hidden="1">
      <c r="A594" s="495">
        <v>42</v>
      </c>
      <c r="B594" s="495" t="s">
        <v>529</v>
      </c>
      <c r="C594" s="496" t="s">
        <v>1430</v>
      </c>
      <c r="D594" s="497" t="s">
        <v>1483</v>
      </c>
      <c r="E594" s="495" t="s">
        <v>530</v>
      </c>
      <c r="F594" s="495" t="s">
        <v>462</v>
      </c>
      <c r="G594" s="495"/>
      <c r="H594" s="495" t="s">
        <v>1544</v>
      </c>
      <c r="I594" s="501"/>
      <c r="J594" s="229" t="str">
        <f t="shared" si="9"/>
        <v>13</v>
      </c>
    </row>
    <row r="595" spans="1:10" ht="15.75" hidden="1">
      <c r="A595" s="495">
        <v>43</v>
      </c>
      <c r="B595" s="495" t="s">
        <v>531</v>
      </c>
      <c r="C595" s="496" t="s">
        <v>532</v>
      </c>
      <c r="D595" s="497" t="s">
        <v>1483</v>
      </c>
      <c r="E595" s="495" t="s">
        <v>533</v>
      </c>
      <c r="F595" s="495" t="s">
        <v>462</v>
      </c>
      <c r="G595" s="495"/>
      <c r="H595" s="495" t="s">
        <v>1544</v>
      </c>
      <c r="I595" s="501"/>
      <c r="J595" s="229" t="str">
        <f t="shared" si="9"/>
        <v>13</v>
      </c>
    </row>
    <row r="596" spans="1:10" ht="15.75" hidden="1">
      <c r="A596" s="495">
        <v>44</v>
      </c>
      <c r="B596" s="495" t="s">
        <v>534</v>
      </c>
      <c r="C596" s="499" t="s">
        <v>2281</v>
      </c>
      <c r="D596" s="500" t="s">
        <v>2586</v>
      </c>
      <c r="E596" s="498" t="s">
        <v>1713</v>
      </c>
      <c r="F596" s="495" t="s">
        <v>462</v>
      </c>
      <c r="G596" s="498"/>
      <c r="H596" s="498" t="s">
        <v>1544</v>
      </c>
      <c r="I596" s="515"/>
      <c r="J596" s="229" t="str">
        <f t="shared" si="9"/>
        <v>13</v>
      </c>
    </row>
    <row r="597" spans="1:10" ht="15.75" hidden="1">
      <c r="A597" s="495">
        <v>45</v>
      </c>
      <c r="B597" s="495" t="s">
        <v>535</v>
      </c>
      <c r="C597" s="496" t="s">
        <v>1973</v>
      </c>
      <c r="D597" s="497" t="s">
        <v>2512</v>
      </c>
      <c r="E597" s="495" t="s">
        <v>1877</v>
      </c>
      <c r="F597" s="495" t="s">
        <v>462</v>
      </c>
      <c r="G597" s="495"/>
      <c r="H597" s="495" t="s">
        <v>851</v>
      </c>
      <c r="I597" s="501"/>
      <c r="J597" s="229" t="str">
        <f t="shared" si="9"/>
        <v>13</v>
      </c>
    </row>
    <row r="598" spans="1:10" ht="15.75" hidden="1">
      <c r="A598" s="495">
        <v>1</v>
      </c>
      <c r="B598" s="495" t="s">
        <v>536</v>
      </c>
      <c r="C598" s="496" t="s">
        <v>1485</v>
      </c>
      <c r="D598" s="497" t="s">
        <v>2249</v>
      </c>
      <c r="E598" s="495" t="s">
        <v>537</v>
      </c>
      <c r="F598" s="495" t="s">
        <v>538</v>
      </c>
      <c r="G598" s="495"/>
      <c r="H598" s="495" t="s">
        <v>1544</v>
      </c>
      <c r="I598" s="501"/>
      <c r="J598" s="229" t="str">
        <f t="shared" si="9"/>
        <v>13</v>
      </c>
    </row>
    <row r="599" spans="1:10" ht="15.75" hidden="1">
      <c r="A599" s="495">
        <v>2</v>
      </c>
      <c r="B599" s="495" t="s">
        <v>539</v>
      </c>
      <c r="C599" s="496" t="s">
        <v>540</v>
      </c>
      <c r="D599" s="497" t="s">
        <v>56</v>
      </c>
      <c r="E599" s="495" t="s">
        <v>307</v>
      </c>
      <c r="F599" s="495" t="s">
        <v>538</v>
      </c>
      <c r="G599" s="495"/>
      <c r="H599" s="495" t="s">
        <v>1544</v>
      </c>
      <c r="I599" s="501"/>
      <c r="J599" s="229" t="str">
        <f t="shared" si="9"/>
        <v>13</v>
      </c>
    </row>
    <row r="600" spans="1:10" ht="15.75" hidden="1">
      <c r="A600" s="495">
        <v>3</v>
      </c>
      <c r="B600" s="495" t="s">
        <v>541</v>
      </c>
      <c r="C600" s="496" t="s">
        <v>1768</v>
      </c>
      <c r="D600" s="497" t="s">
        <v>1712</v>
      </c>
      <c r="E600" s="495" t="s">
        <v>542</v>
      </c>
      <c r="F600" s="495" t="s">
        <v>538</v>
      </c>
      <c r="G600" s="495"/>
      <c r="H600" s="495" t="s">
        <v>1544</v>
      </c>
      <c r="I600" s="502"/>
      <c r="J600" s="229" t="str">
        <f t="shared" si="9"/>
        <v>13</v>
      </c>
    </row>
    <row r="601" spans="1:10" ht="15.75" hidden="1">
      <c r="A601" s="495">
        <v>4</v>
      </c>
      <c r="B601" s="495" t="s">
        <v>543</v>
      </c>
      <c r="C601" s="496" t="s">
        <v>544</v>
      </c>
      <c r="D601" s="497" t="s">
        <v>1434</v>
      </c>
      <c r="E601" s="495" t="s">
        <v>545</v>
      </c>
      <c r="F601" s="495" t="s">
        <v>538</v>
      </c>
      <c r="G601" s="495"/>
      <c r="H601" s="495" t="s">
        <v>1544</v>
      </c>
      <c r="I601" s="502" t="s">
        <v>855</v>
      </c>
      <c r="J601" s="229" t="str">
        <f t="shared" si="9"/>
        <v>13</v>
      </c>
    </row>
    <row r="602" spans="1:10" ht="15.75" hidden="1">
      <c r="A602" s="495">
        <v>5</v>
      </c>
      <c r="B602" s="495" t="s">
        <v>546</v>
      </c>
      <c r="C602" s="496" t="s">
        <v>1696</v>
      </c>
      <c r="D602" s="497" t="s">
        <v>547</v>
      </c>
      <c r="E602" s="495" t="s">
        <v>548</v>
      </c>
      <c r="F602" s="495" t="s">
        <v>538</v>
      </c>
      <c r="G602" s="495"/>
      <c r="H602" s="495" t="s">
        <v>1544</v>
      </c>
      <c r="I602" s="501"/>
      <c r="J602" s="229" t="str">
        <f t="shared" si="9"/>
        <v>13</v>
      </c>
    </row>
    <row r="603" spans="1:10" ht="15.75" hidden="1">
      <c r="A603" s="495">
        <v>6</v>
      </c>
      <c r="B603" s="495" t="s">
        <v>549</v>
      </c>
      <c r="C603" s="496" t="s">
        <v>550</v>
      </c>
      <c r="D603" s="497" t="s">
        <v>2143</v>
      </c>
      <c r="E603" s="495" t="s">
        <v>2467</v>
      </c>
      <c r="F603" s="495" t="s">
        <v>538</v>
      </c>
      <c r="G603" s="495"/>
      <c r="H603" s="495" t="s">
        <v>1544</v>
      </c>
      <c r="I603" s="501"/>
      <c r="J603" s="229" t="str">
        <f t="shared" si="9"/>
        <v>13</v>
      </c>
    </row>
    <row r="604" spans="1:10" ht="15.75" hidden="1">
      <c r="A604" s="495">
        <v>7</v>
      </c>
      <c r="B604" s="495" t="s">
        <v>551</v>
      </c>
      <c r="C604" s="496" t="s">
        <v>552</v>
      </c>
      <c r="D604" s="497" t="s">
        <v>1558</v>
      </c>
      <c r="E604" s="495" t="s">
        <v>2312</v>
      </c>
      <c r="F604" s="495" t="s">
        <v>538</v>
      </c>
      <c r="G604" s="495"/>
      <c r="H604" s="495" t="s">
        <v>1544</v>
      </c>
      <c r="I604" s="502"/>
      <c r="J604" s="229" t="str">
        <f t="shared" si="9"/>
        <v>13</v>
      </c>
    </row>
    <row r="605" spans="1:10" ht="15.75" hidden="1">
      <c r="A605" s="495">
        <v>8</v>
      </c>
      <c r="B605" s="495" t="s">
        <v>553</v>
      </c>
      <c r="C605" s="496" t="s">
        <v>1448</v>
      </c>
      <c r="D605" s="497" t="s">
        <v>1720</v>
      </c>
      <c r="E605" s="495" t="s">
        <v>2029</v>
      </c>
      <c r="F605" s="495" t="s">
        <v>538</v>
      </c>
      <c r="G605" s="495"/>
      <c r="H605" s="495" t="s">
        <v>1544</v>
      </c>
      <c r="I605" s="501"/>
      <c r="J605" s="229" t="str">
        <f t="shared" si="9"/>
        <v>13</v>
      </c>
    </row>
    <row r="606" spans="1:10" ht="15.75" hidden="1">
      <c r="A606" s="495">
        <v>9</v>
      </c>
      <c r="B606" s="495" t="s">
        <v>554</v>
      </c>
      <c r="C606" s="496" t="s">
        <v>1439</v>
      </c>
      <c r="D606" s="497" t="s">
        <v>1566</v>
      </c>
      <c r="E606" s="495" t="s">
        <v>2029</v>
      </c>
      <c r="F606" s="495" t="s">
        <v>538</v>
      </c>
      <c r="G606" s="495"/>
      <c r="H606" s="495" t="s">
        <v>1544</v>
      </c>
      <c r="I606" s="501"/>
      <c r="J606" s="229" t="str">
        <f t="shared" si="9"/>
        <v>13</v>
      </c>
    </row>
    <row r="607" spans="1:10" ht="15.75" hidden="1">
      <c r="A607" s="495">
        <v>10</v>
      </c>
      <c r="B607" s="495" t="s">
        <v>556</v>
      </c>
      <c r="C607" s="496" t="s">
        <v>1446</v>
      </c>
      <c r="D607" s="497" t="s">
        <v>557</v>
      </c>
      <c r="E607" s="495" t="s">
        <v>1984</v>
      </c>
      <c r="F607" s="495" t="s">
        <v>538</v>
      </c>
      <c r="G607" s="495"/>
      <c r="H607" s="495" t="s">
        <v>1544</v>
      </c>
      <c r="I607" s="502"/>
      <c r="J607" s="229" t="str">
        <f t="shared" si="9"/>
        <v>13</v>
      </c>
    </row>
    <row r="608" spans="1:10" ht="15.75" hidden="1">
      <c r="A608" s="495">
        <v>11</v>
      </c>
      <c r="B608" s="495" t="s">
        <v>558</v>
      </c>
      <c r="C608" s="496" t="s">
        <v>559</v>
      </c>
      <c r="D608" s="497" t="s">
        <v>1952</v>
      </c>
      <c r="E608" s="495" t="s">
        <v>2196</v>
      </c>
      <c r="F608" s="495" t="s">
        <v>538</v>
      </c>
      <c r="G608" s="495"/>
      <c r="H608" s="495" t="s">
        <v>1544</v>
      </c>
      <c r="I608" s="502"/>
      <c r="J608" s="229" t="str">
        <f t="shared" si="9"/>
        <v>13</v>
      </c>
    </row>
    <row r="609" spans="1:10" ht="15.75" hidden="1">
      <c r="A609" s="495">
        <v>12</v>
      </c>
      <c r="B609" s="495" t="s">
        <v>560</v>
      </c>
      <c r="C609" s="496" t="s">
        <v>1430</v>
      </c>
      <c r="D609" s="497" t="s">
        <v>220</v>
      </c>
      <c r="E609" s="495" t="s">
        <v>1883</v>
      </c>
      <c r="F609" s="495" t="s">
        <v>538</v>
      </c>
      <c r="G609" s="495"/>
      <c r="H609" s="495" t="s">
        <v>1544</v>
      </c>
      <c r="I609" s="502"/>
      <c r="J609" s="229" t="str">
        <f t="shared" si="9"/>
        <v>13</v>
      </c>
    </row>
    <row r="610" spans="1:10" ht="15.75" hidden="1">
      <c r="A610" s="495">
        <v>13</v>
      </c>
      <c r="B610" s="495" t="s">
        <v>561</v>
      </c>
      <c r="C610" s="496" t="s">
        <v>562</v>
      </c>
      <c r="D610" s="497" t="s">
        <v>2384</v>
      </c>
      <c r="E610" s="495" t="s">
        <v>563</v>
      </c>
      <c r="F610" s="495" t="s">
        <v>538</v>
      </c>
      <c r="G610" s="495"/>
      <c r="H610" s="495" t="s">
        <v>1544</v>
      </c>
      <c r="I610" s="501"/>
      <c r="J610" s="229" t="str">
        <f t="shared" si="9"/>
        <v>13</v>
      </c>
    </row>
    <row r="611" spans="1:10" ht="15.75" hidden="1">
      <c r="A611" s="495">
        <v>14</v>
      </c>
      <c r="B611" s="495" t="s">
        <v>564</v>
      </c>
      <c r="C611" s="496" t="s">
        <v>1456</v>
      </c>
      <c r="D611" s="497" t="s">
        <v>2385</v>
      </c>
      <c r="E611" s="495" t="s">
        <v>2420</v>
      </c>
      <c r="F611" s="495" t="s">
        <v>538</v>
      </c>
      <c r="G611" s="495"/>
      <c r="H611" s="495" t="s">
        <v>1544</v>
      </c>
      <c r="I611" s="502"/>
      <c r="J611" s="229" t="str">
        <f t="shared" si="9"/>
        <v>13</v>
      </c>
    </row>
    <row r="612" spans="1:10" ht="15.75" hidden="1">
      <c r="A612" s="495">
        <v>15</v>
      </c>
      <c r="B612" s="495" t="s">
        <v>565</v>
      </c>
      <c r="C612" s="496" t="s">
        <v>322</v>
      </c>
      <c r="D612" s="497" t="s">
        <v>1970</v>
      </c>
      <c r="E612" s="495" t="s">
        <v>2093</v>
      </c>
      <c r="F612" s="495" t="s">
        <v>538</v>
      </c>
      <c r="G612" s="495"/>
      <c r="H612" s="495" t="s">
        <v>1544</v>
      </c>
      <c r="I612" s="502"/>
      <c r="J612" s="229" t="str">
        <f t="shared" si="9"/>
        <v>13</v>
      </c>
    </row>
    <row r="613" spans="1:10" ht="15.75" hidden="1">
      <c r="A613" s="495">
        <v>16</v>
      </c>
      <c r="B613" s="495" t="s">
        <v>659</v>
      </c>
      <c r="C613" s="499" t="s">
        <v>660</v>
      </c>
      <c r="D613" s="500" t="s">
        <v>1580</v>
      </c>
      <c r="E613" s="495" t="s">
        <v>661</v>
      </c>
      <c r="F613" s="495" t="s">
        <v>538</v>
      </c>
      <c r="G613" s="495"/>
      <c r="H613" s="495" t="s">
        <v>851</v>
      </c>
      <c r="I613" s="501" t="s">
        <v>897</v>
      </c>
      <c r="J613" s="229" t="str">
        <f t="shared" si="9"/>
        <v>13</v>
      </c>
    </row>
    <row r="614" spans="1:10" ht="15.75" hidden="1">
      <c r="A614" s="495">
        <v>17</v>
      </c>
      <c r="B614" s="495" t="s">
        <v>566</v>
      </c>
      <c r="C614" s="496" t="s">
        <v>567</v>
      </c>
      <c r="D614" s="497" t="s">
        <v>1580</v>
      </c>
      <c r="E614" s="495" t="s">
        <v>142</v>
      </c>
      <c r="F614" s="495" t="s">
        <v>538</v>
      </c>
      <c r="G614" s="495" t="s">
        <v>1630</v>
      </c>
      <c r="H614" s="495" t="s">
        <v>851</v>
      </c>
      <c r="I614" s="501"/>
      <c r="J614" s="229" t="str">
        <f t="shared" si="9"/>
        <v>13</v>
      </c>
    </row>
    <row r="615" spans="1:10" ht="15.75" hidden="1">
      <c r="A615" s="495">
        <v>18</v>
      </c>
      <c r="B615" s="495" t="s">
        <v>662</v>
      </c>
      <c r="C615" s="496" t="s">
        <v>663</v>
      </c>
      <c r="D615" s="497" t="s">
        <v>1580</v>
      </c>
      <c r="E615" s="495" t="s">
        <v>2434</v>
      </c>
      <c r="F615" s="495" t="s">
        <v>538</v>
      </c>
      <c r="G615" s="495"/>
      <c r="H615" s="495" t="s">
        <v>1544</v>
      </c>
      <c r="I615" s="501" t="s">
        <v>897</v>
      </c>
      <c r="J615" s="229" t="str">
        <f t="shared" si="9"/>
        <v>13</v>
      </c>
    </row>
    <row r="616" spans="1:10" ht="15.75" hidden="1">
      <c r="A616" s="495">
        <v>19</v>
      </c>
      <c r="B616" s="495" t="s">
        <v>568</v>
      </c>
      <c r="C616" s="496" t="s">
        <v>569</v>
      </c>
      <c r="D616" s="497" t="s">
        <v>570</v>
      </c>
      <c r="E616" s="495" t="s">
        <v>571</v>
      </c>
      <c r="F616" s="495" t="s">
        <v>538</v>
      </c>
      <c r="G616" s="495"/>
      <c r="H616" s="495" t="s">
        <v>1544</v>
      </c>
      <c r="I616" s="502" t="s">
        <v>856</v>
      </c>
      <c r="J616" s="229" t="str">
        <f t="shared" si="9"/>
        <v>13</v>
      </c>
    </row>
    <row r="617" spans="1:10" ht="15.75" hidden="1">
      <c r="A617" s="495">
        <v>20</v>
      </c>
      <c r="B617" s="495" t="s">
        <v>664</v>
      </c>
      <c r="C617" s="496" t="s">
        <v>1655</v>
      </c>
      <c r="D617" s="497" t="s">
        <v>1587</v>
      </c>
      <c r="E617" s="495" t="s">
        <v>665</v>
      </c>
      <c r="F617" s="495" t="s">
        <v>538</v>
      </c>
      <c r="G617" s="495"/>
      <c r="H617" s="495" t="s">
        <v>851</v>
      </c>
      <c r="I617" s="501" t="s">
        <v>897</v>
      </c>
      <c r="J617" s="229" t="str">
        <f t="shared" si="9"/>
        <v>13</v>
      </c>
    </row>
    <row r="618" spans="1:10" ht="15.75" hidden="1">
      <c r="A618" s="495">
        <v>21</v>
      </c>
      <c r="B618" s="495" t="s">
        <v>574</v>
      </c>
      <c r="C618" s="496" t="s">
        <v>1575</v>
      </c>
      <c r="D618" s="497" t="s">
        <v>2058</v>
      </c>
      <c r="E618" s="495" t="s">
        <v>575</v>
      </c>
      <c r="F618" s="495" t="s">
        <v>538</v>
      </c>
      <c r="G618" s="495"/>
      <c r="H618" s="495" t="s">
        <v>1544</v>
      </c>
      <c r="I618" s="501"/>
      <c r="J618" s="229" t="str">
        <f t="shared" si="9"/>
        <v>13</v>
      </c>
    </row>
    <row r="619" spans="1:10" ht="15.75" hidden="1">
      <c r="A619" s="495">
        <v>22</v>
      </c>
      <c r="B619" s="495" t="s">
        <v>809</v>
      </c>
      <c r="C619" s="499" t="s">
        <v>810</v>
      </c>
      <c r="D619" s="500" t="s">
        <v>811</v>
      </c>
      <c r="E619" s="495" t="s">
        <v>2434</v>
      </c>
      <c r="F619" s="495" t="s">
        <v>538</v>
      </c>
      <c r="G619" s="495"/>
      <c r="H619" s="495" t="s">
        <v>1544</v>
      </c>
      <c r="I619" s="501" t="s">
        <v>901</v>
      </c>
      <c r="J619" s="229" t="str">
        <f t="shared" si="9"/>
        <v>13</v>
      </c>
    </row>
    <row r="620" spans="1:10" ht="15.75" hidden="1">
      <c r="A620" s="495">
        <v>23</v>
      </c>
      <c r="B620" s="495" t="s">
        <v>576</v>
      </c>
      <c r="C620" s="496" t="s">
        <v>577</v>
      </c>
      <c r="D620" s="497" t="s">
        <v>578</v>
      </c>
      <c r="E620" s="495" t="s">
        <v>579</v>
      </c>
      <c r="F620" s="495" t="s">
        <v>538</v>
      </c>
      <c r="G620" s="495"/>
      <c r="H620" s="495" t="s">
        <v>1544</v>
      </c>
      <c r="I620" s="501"/>
      <c r="J620" s="229" t="str">
        <f t="shared" si="9"/>
        <v>13</v>
      </c>
    </row>
    <row r="621" spans="1:10" ht="15.75" hidden="1">
      <c r="A621" s="495">
        <v>24</v>
      </c>
      <c r="B621" s="495" t="s">
        <v>581</v>
      </c>
      <c r="C621" s="496" t="s">
        <v>582</v>
      </c>
      <c r="D621" s="497" t="s">
        <v>1653</v>
      </c>
      <c r="E621" s="495" t="s">
        <v>493</v>
      </c>
      <c r="F621" s="495" t="s">
        <v>538</v>
      </c>
      <c r="G621" s="495"/>
      <c r="H621" s="495" t="s">
        <v>851</v>
      </c>
      <c r="I621" s="501"/>
      <c r="J621" s="229" t="str">
        <f t="shared" si="9"/>
        <v>13</v>
      </c>
    </row>
    <row r="622" spans="1:10" ht="15.75" hidden="1">
      <c r="A622" s="495">
        <v>25</v>
      </c>
      <c r="B622" s="495" t="s">
        <v>583</v>
      </c>
      <c r="C622" s="496" t="s">
        <v>1444</v>
      </c>
      <c r="D622" s="497" t="s">
        <v>1659</v>
      </c>
      <c r="E622" s="495" t="s">
        <v>2392</v>
      </c>
      <c r="F622" s="495" t="s">
        <v>538</v>
      </c>
      <c r="G622" s="495"/>
      <c r="H622" s="495" t="s">
        <v>1544</v>
      </c>
      <c r="I622" s="501"/>
      <c r="J622" s="229" t="str">
        <f t="shared" si="9"/>
        <v>13</v>
      </c>
    </row>
    <row r="623" spans="1:10" ht="15.75" hidden="1">
      <c r="A623" s="495">
        <v>26</v>
      </c>
      <c r="B623" s="495" t="s">
        <v>584</v>
      </c>
      <c r="C623" s="496" t="s">
        <v>585</v>
      </c>
      <c r="D623" s="497" t="s">
        <v>2300</v>
      </c>
      <c r="E623" s="495" t="s">
        <v>1924</v>
      </c>
      <c r="F623" s="495" t="s">
        <v>538</v>
      </c>
      <c r="G623" s="495"/>
      <c r="H623" s="495" t="s">
        <v>1544</v>
      </c>
      <c r="I623" s="501"/>
      <c r="J623" s="229" t="str">
        <f t="shared" si="9"/>
        <v>13</v>
      </c>
    </row>
    <row r="624" spans="1:10" ht="15.75" hidden="1">
      <c r="A624" s="495">
        <v>27</v>
      </c>
      <c r="B624" s="495" t="s">
        <v>587</v>
      </c>
      <c r="C624" s="496" t="s">
        <v>588</v>
      </c>
      <c r="D624" s="497" t="s">
        <v>1672</v>
      </c>
      <c r="E624" s="495" t="s">
        <v>589</v>
      </c>
      <c r="F624" s="495" t="s">
        <v>538</v>
      </c>
      <c r="G624" s="495"/>
      <c r="H624" s="495" t="s">
        <v>1544</v>
      </c>
      <c r="I624" s="501"/>
      <c r="J624" s="229" t="str">
        <f t="shared" si="9"/>
        <v>13</v>
      </c>
    </row>
    <row r="625" spans="1:10" ht="15.75" hidden="1">
      <c r="A625" s="495">
        <v>28</v>
      </c>
      <c r="B625" s="495" t="s">
        <v>590</v>
      </c>
      <c r="C625" s="496" t="s">
        <v>2481</v>
      </c>
      <c r="D625" s="497" t="s">
        <v>1672</v>
      </c>
      <c r="E625" s="495" t="s">
        <v>591</v>
      </c>
      <c r="F625" s="495" t="s">
        <v>538</v>
      </c>
      <c r="G625" s="495"/>
      <c r="H625" s="495" t="s">
        <v>1544</v>
      </c>
      <c r="I625" s="501"/>
      <c r="J625" s="229" t="str">
        <f t="shared" si="9"/>
        <v>13</v>
      </c>
    </row>
    <row r="626" spans="1:10" ht="15.75" hidden="1">
      <c r="A626" s="495">
        <v>29</v>
      </c>
      <c r="B626" s="495" t="s">
        <v>592</v>
      </c>
      <c r="C626" s="496" t="s">
        <v>593</v>
      </c>
      <c r="D626" s="497" t="s">
        <v>1466</v>
      </c>
      <c r="E626" s="495" t="s">
        <v>1622</v>
      </c>
      <c r="F626" s="495" t="s">
        <v>538</v>
      </c>
      <c r="G626" s="495" t="s">
        <v>1642</v>
      </c>
      <c r="H626" s="495" t="s">
        <v>851</v>
      </c>
      <c r="I626" s="501"/>
      <c r="J626" s="229" t="str">
        <f t="shared" si="9"/>
        <v>13</v>
      </c>
    </row>
    <row r="627" spans="1:10" ht="15.75" hidden="1">
      <c r="A627" s="495">
        <v>30</v>
      </c>
      <c r="B627" s="495" t="s">
        <v>594</v>
      </c>
      <c r="C627" s="496" t="s">
        <v>1437</v>
      </c>
      <c r="D627" s="497" t="s">
        <v>1677</v>
      </c>
      <c r="E627" s="495" t="s">
        <v>2033</v>
      </c>
      <c r="F627" s="495" t="s">
        <v>538</v>
      </c>
      <c r="G627" s="495"/>
      <c r="H627" s="495" t="s">
        <v>1544</v>
      </c>
      <c r="I627" s="501"/>
      <c r="J627" s="229" t="str">
        <f t="shared" si="9"/>
        <v>13</v>
      </c>
    </row>
    <row r="628" spans="1:10" ht="15.75" hidden="1">
      <c r="A628" s="495">
        <v>31</v>
      </c>
      <c r="B628" s="495" t="s">
        <v>595</v>
      </c>
      <c r="C628" s="496" t="s">
        <v>1668</v>
      </c>
      <c r="D628" s="497" t="s">
        <v>1681</v>
      </c>
      <c r="E628" s="495" t="s">
        <v>436</v>
      </c>
      <c r="F628" s="495" t="s">
        <v>538</v>
      </c>
      <c r="G628" s="495"/>
      <c r="H628" s="495" t="s">
        <v>851</v>
      </c>
      <c r="I628" s="501"/>
      <c r="J628" s="229" t="str">
        <f t="shared" si="9"/>
        <v>13</v>
      </c>
    </row>
    <row r="629" spans="1:10" ht="15.75" hidden="1">
      <c r="A629" s="495">
        <v>32</v>
      </c>
      <c r="B629" s="495" t="s">
        <v>596</v>
      </c>
      <c r="C629" s="496" t="s">
        <v>250</v>
      </c>
      <c r="D629" s="497" t="s">
        <v>1990</v>
      </c>
      <c r="E629" s="495" t="s">
        <v>2201</v>
      </c>
      <c r="F629" s="495" t="s">
        <v>538</v>
      </c>
      <c r="G629" s="495"/>
      <c r="H629" s="495" t="s">
        <v>1544</v>
      </c>
      <c r="I629" s="501"/>
      <c r="J629" s="229" t="str">
        <f t="shared" si="9"/>
        <v>13</v>
      </c>
    </row>
    <row r="630" spans="1:10" ht="15.75" hidden="1">
      <c r="A630" s="495">
        <v>33</v>
      </c>
      <c r="B630" s="495" t="s">
        <v>597</v>
      </c>
      <c r="C630" s="496" t="s">
        <v>1432</v>
      </c>
      <c r="D630" s="497" t="s">
        <v>512</v>
      </c>
      <c r="E630" s="495" t="s">
        <v>2029</v>
      </c>
      <c r="F630" s="495" t="s">
        <v>538</v>
      </c>
      <c r="G630" s="495"/>
      <c r="H630" s="495" t="s">
        <v>1544</v>
      </c>
      <c r="I630" s="501"/>
      <c r="J630" s="229" t="str">
        <f t="shared" si="9"/>
        <v>13</v>
      </c>
    </row>
    <row r="631" spans="1:10" ht="15.75" hidden="1">
      <c r="A631" s="495">
        <v>34</v>
      </c>
      <c r="B631" s="495" t="s">
        <v>598</v>
      </c>
      <c r="C631" s="496" t="s">
        <v>1546</v>
      </c>
      <c r="D631" s="497" t="s">
        <v>599</v>
      </c>
      <c r="E631" s="495" t="s">
        <v>530</v>
      </c>
      <c r="F631" s="495" t="s">
        <v>538</v>
      </c>
      <c r="G631" s="495"/>
      <c r="H631" s="495" t="s">
        <v>851</v>
      </c>
      <c r="I631" s="501"/>
      <c r="J631" s="229" t="str">
        <f t="shared" si="9"/>
        <v>13</v>
      </c>
    </row>
    <row r="632" spans="1:10" ht="15.75" hidden="1">
      <c r="A632" s="495">
        <v>35</v>
      </c>
      <c r="B632" s="495" t="s">
        <v>600</v>
      </c>
      <c r="C632" s="496" t="s">
        <v>601</v>
      </c>
      <c r="D632" s="497" t="s">
        <v>599</v>
      </c>
      <c r="E632" s="495" t="s">
        <v>2093</v>
      </c>
      <c r="F632" s="495" t="s">
        <v>538</v>
      </c>
      <c r="G632" s="495"/>
      <c r="H632" s="495" t="s">
        <v>1544</v>
      </c>
      <c r="I632" s="501"/>
      <c r="J632" s="229" t="str">
        <f t="shared" si="9"/>
        <v>13</v>
      </c>
    </row>
    <row r="633" spans="1:10" ht="15.75" hidden="1">
      <c r="A633" s="495">
        <v>36</v>
      </c>
      <c r="B633" s="495" t="s">
        <v>602</v>
      </c>
      <c r="C633" s="496" t="s">
        <v>1812</v>
      </c>
      <c r="D633" s="497" t="s">
        <v>1476</v>
      </c>
      <c r="E633" s="495" t="s">
        <v>572</v>
      </c>
      <c r="F633" s="495" t="s">
        <v>538</v>
      </c>
      <c r="G633" s="495"/>
      <c r="H633" s="495" t="s">
        <v>1544</v>
      </c>
      <c r="I633" s="501"/>
      <c r="J633" s="229" t="str">
        <f t="shared" si="9"/>
        <v>13</v>
      </c>
    </row>
    <row r="634" spans="1:10" ht="15.75" hidden="1">
      <c r="A634" s="495">
        <v>37</v>
      </c>
      <c r="B634" s="495" t="s">
        <v>622</v>
      </c>
      <c r="C634" s="496" t="s">
        <v>623</v>
      </c>
      <c r="D634" s="497" t="s">
        <v>624</v>
      </c>
      <c r="E634" s="495" t="s">
        <v>2211</v>
      </c>
      <c r="F634" s="495" t="s">
        <v>538</v>
      </c>
      <c r="G634" s="495"/>
      <c r="H634" s="495" t="s">
        <v>1544</v>
      </c>
      <c r="I634" s="501"/>
      <c r="J634" s="229" t="str">
        <f t="shared" si="9"/>
        <v>13</v>
      </c>
    </row>
    <row r="635" spans="1:10" ht="15.75" hidden="1">
      <c r="A635" s="495">
        <v>38</v>
      </c>
      <c r="B635" s="495" t="s">
        <v>625</v>
      </c>
      <c r="C635" s="496" t="s">
        <v>626</v>
      </c>
      <c r="D635" s="497" t="s">
        <v>1691</v>
      </c>
      <c r="E635" s="495" t="s">
        <v>2551</v>
      </c>
      <c r="F635" s="495" t="s">
        <v>538</v>
      </c>
      <c r="G635" s="495"/>
      <c r="H635" s="495" t="s">
        <v>1544</v>
      </c>
      <c r="I635" s="501"/>
      <c r="J635" s="229" t="str">
        <f t="shared" si="9"/>
        <v>13</v>
      </c>
    </row>
    <row r="636" spans="1:10" ht="15.75" hidden="1">
      <c r="A636" s="495">
        <v>39</v>
      </c>
      <c r="B636" s="495" t="s">
        <v>627</v>
      </c>
      <c r="C636" s="496" t="s">
        <v>1546</v>
      </c>
      <c r="D636" s="497" t="s">
        <v>1478</v>
      </c>
      <c r="E636" s="495" t="s">
        <v>530</v>
      </c>
      <c r="F636" s="495" t="s">
        <v>538</v>
      </c>
      <c r="G636" s="495" t="s">
        <v>1704</v>
      </c>
      <c r="H636" s="495" t="s">
        <v>851</v>
      </c>
      <c r="I636" s="501"/>
      <c r="J636" s="229" t="str">
        <f t="shared" si="9"/>
        <v>13</v>
      </c>
    </row>
    <row r="637" spans="1:10" ht="15.75" hidden="1">
      <c r="A637" s="495">
        <v>40</v>
      </c>
      <c r="B637" s="495" t="s">
        <v>628</v>
      </c>
      <c r="C637" s="496" t="s">
        <v>629</v>
      </c>
      <c r="D637" s="497" t="s">
        <v>1912</v>
      </c>
      <c r="E637" s="495" t="s">
        <v>630</v>
      </c>
      <c r="F637" s="495" t="s">
        <v>538</v>
      </c>
      <c r="G637" s="495"/>
      <c r="H637" s="495" t="s">
        <v>1544</v>
      </c>
      <c r="I637" s="501"/>
      <c r="J637" s="229" t="str">
        <f t="shared" si="9"/>
        <v>13</v>
      </c>
    </row>
    <row r="638" spans="1:10" ht="15.75" hidden="1">
      <c r="A638" s="495">
        <v>41</v>
      </c>
      <c r="B638" s="495" t="s">
        <v>631</v>
      </c>
      <c r="C638" s="496" t="s">
        <v>632</v>
      </c>
      <c r="D638" s="497" t="s">
        <v>1481</v>
      </c>
      <c r="E638" s="495" t="s">
        <v>2509</v>
      </c>
      <c r="F638" s="495" t="s">
        <v>538</v>
      </c>
      <c r="G638" s="495"/>
      <c r="H638" s="495" t="s">
        <v>1544</v>
      </c>
      <c r="I638" s="501"/>
      <c r="J638" s="229" t="str">
        <f t="shared" si="9"/>
        <v>13</v>
      </c>
    </row>
    <row r="639" spans="1:10" ht="15.75" hidden="1">
      <c r="A639" s="495">
        <v>42</v>
      </c>
      <c r="B639" s="495" t="s">
        <v>633</v>
      </c>
      <c r="C639" s="496" t="s">
        <v>634</v>
      </c>
      <c r="D639" s="497" t="s">
        <v>1483</v>
      </c>
      <c r="E639" s="495" t="s">
        <v>635</v>
      </c>
      <c r="F639" s="495" t="s">
        <v>538</v>
      </c>
      <c r="G639" s="495"/>
      <c r="H639" s="495" t="s">
        <v>1544</v>
      </c>
      <c r="I639" s="501"/>
      <c r="J639" s="229" t="str">
        <f t="shared" si="9"/>
        <v>13</v>
      </c>
    </row>
    <row r="640" spans="1:10" ht="15.75" hidden="1">
      <c r="A640" s="495">
        <v>43</v>
      </c>
      <c r="B640" s="495" t="s">
        <v>636</v>
      </c>
      <c r="C640" s="496" t="s">
        <v>2358</v>
      </c>
      <c r="D640" s="497" t="s">
        <v>637</v>
      </c>
      <c r="E640" s="495" t="s">
        <v>330</v>
      </c>
      <c r="F640" s="495" t="s">
        <v>538</v>
      </c>
      <c r="G640" s="495"/>
      <c r="H640" s="495" t="s">
        <v>1544</v>
      </c>
      <c r="I640" s="501"/>
      <c r="J640" s="229" t="str">
        <f t="shared" si="9"/>
        <v>13</v>
      </c>
    </row>
    <row r="641" spans="1:10" ht="15.75" hidden="1">
      <c r="A641" s="495">
        <v>44</v>
      </c>
      <c r="B641" s="495" t="s">
        <v>638</v>
      </c>
      <c r="C641" s="496" t="s">
        <v>1835</v>
      </c>
      <c r="D641" s="497" t="s">
        <v>1923</v>
      </c>
      <c r="E641" s="495" t="s">
        <v>2213</v>
      </c>
      <c r="F641" s="495" t="s">
        <v>538</v>
      </c>
      <c r="G641" s="495"/>
      <c r="H641" s="495" t="s">
        <v>1544</v>
      </c>
      <c r="I641" s="501"/>
      <c r="J641" s="229" t="str">
        <f t="shared" si="9"/>
        <v>13</v>
      </c>
    </row>
    <row r="642" spans="1:10" ht="15.75" hidden="1">
      <c r="A642" s="495">
        <v>1</v>
      </c>
      <c r="B642" s="495" t="s">
        <v>717</v>
      </c>
      <c r="C642" s="496" t="s">
        <v>718</v>
      </c>
      <c r="D642" s="497" t="s">
        <v>2249</v>
      </c>
      <c r="E642" s="495" t="s">
        <v>2604</v>
      </c>
      <c r="F642" s="495" t="s">
        <v>639</v>
      </c>
      <c r="G642" s="495"/>
      <c r="H642" s="495" t="s">
        <v>1544</v>
      </c>
      <c r="I642" s="501" t="s">
        <v>902</v>
      </c>
      <c r="J642" s="229" t="str">
        <f t="shared" si="9"/>
        <v>13</v>
      </c>
    </row>
    <row r="643" spans="1:10" ht="15.75" hidden="1">
      <c r="A643" s="495">
        <v>2</v>
      </c>
      <c r="B643" s="495" t="s">
        <v>720</v>
      </c>
      <c r="C643" s="496" t="s">
        <v>721</v>
      </c>
      <c r="D643" s="497" t="s">
        <v>1717</v>
      </c>
      <c r="E643" s="495" t="s">
        <v>1842</v>
      </c>
      <c r="F643" s="495" t="s">
        <v>639</v>
      </c>
      <c r="G643" s="495" t="s">
        <v>1642</v>
      </c>
      <c r="H643" s="495" t="s">
        <v>1544</v>
      </c>
      <c r="I643" s="501" t="s">
        <v>903</v>
      </c>
      <c r="J643" s="229" t="str">
        <f t="shared" ref="J643:J706" si="10">LEFT(F643,2)</f>
        <v>13</v>
      </c>
    </row>
    <row r="644" spans="1:10" ht="15.75" hidden="1">
      <c r="A644" s="495">
        <v>3</v>
      </c>
      <c r="B644" s="495" t="s">
        <v>722</v>
      </c>
      <c r="C644" s="496" t="s">
        <v>139</v>
      </c>
      <c r="D644" s="497" t="s">
        <v>1558</v>
      </c>
      <c r="E644" s="495" t="s">
        <v>723</v>
      </c>
      <c r="F644" s="495" t="s">
        <v>639</v>
      </c>
      <c r="G644" s="495"/>
      <c r="H644" s="495" t="s">
        <v>1544</v>
      </c>
      <c r="I644" s="501" t="s">
        <v>902</v>
      </c>
      <c r="J644" s="229" t="str">
        <f t="shared" si="10"/>
        <v>13</v>
      </c>
    </row>
    <row r="645" spans="1:10" ht="15.75" hidden="1">
      <c r="A645" s="495">
        <v>4</v>
      </c>
      <c r="B645" s="498" t="s">
        <v>724</v>
      </c>
      <c r="C645" s="499" t="s">
        <v>725</v>
      </c>
      <c r="D645" s="500" t="s">
        <v>1558</v>
      </c>
      <c r="E645" s="498" t="s">
        <v>2366</v>
      </c>
      <c r="F645" s="495" t="s">
        <v>639</v>
      </c>
      <c r="G645" s="498"/>
      <c r="H645" s="498" t="s">
        <v>1544</v>
      </c>
      <c r="I645" s="501" t="s">
        <v>902</v>
      </c>
      <c r="J645" s="229" t="str">
        <f t="shared" si="10"/>
        <v>13</v>
      </c>
    </row>
    <row r="646" spans="1:10" ht="15.75" hidden="1">
      <c r="A646" s="495">
        <v>5</v>
      </c>
      <c r="B646" s="495" t="s">
        <v>726</v>
      </c>
      <c r="C646" s="496" t="s">
        <v>727</v>
      </c>
      <c r="D646" s="497" t="s">
        <v>1562</v>
      </c>
      <c r="E646" s="495" t="s">
        <v>525</v>
      </c>
      <c r="F646" s="495" t="s">
        <v>639</v>
      </c>
      <c r="G646" s="495"/>
      <c r="H646" s="495" t="s">
        <v>851</v>
      </c>
      <c r="I646" s="501" t="s">
        <v>902</v>
      </c>
      <c r="J646" s="229" t="str">
        <f t="shared" si="10"/>
        <v>13</v>
      </c>
    </row>
    <row r="647" spans="1:10" ht="15.75" hidden="1">
      <c r="A647" s="495">
        <v>6</v>
      </c>
      <c r="B647" s="495" t="s">
        <v>647</v>
      </c>
      <c r="C647" s="499" t="s">
        <v>1696</v>
      </c>
      <c r="D647" s="500" t="s">
        <v>1720</v>
      </c>
      <c r="E647" s="495" t="s">
        <v>2392</v>
      </c>
      <c r="F647" s="495" t="s">
        <v>639</v>
      </c>
      <c r="G647" s="495"/>
      <c r="H647" s="495" t="s">
        <v>1544</v>
      </c>
      <c r="I647" s="501"/>
      <c r="J647" s="229" t="str">
        <f t="shared" si="10"/>
        <v>13</v>
      </c>
    </row>
    <row r="648" spans="1:10" ht="15.75" hidden="1">
      <c r="A648" s="495">
        <v>7</v>
      </c>
      <c r="B648" s="495" t="s">
        <v>728</v>
      </c>
      <c r="C648" s="496" t="s">
        <v>1996</v>
      </c>
      <c r="D648" s="497" t="s">
        <v>1720</v>
      </c>
      <c r="E648" s="495" t="s">
        <v>2021</v>
      </c>
      <c r="F648" s="495" t="s">
        <v>639</v>
      </c>
      <c r="G648" s="495"/>
      <c r="H648" s="495" t="s">
        <v>1544</v>
      </c>
      <c r="I648" s="501" t="s">
        <v>902</v>
      </c>
      <c r="J648" s="229" t="str">
        <f t="shared" si="10"/>
        <v>13</v>
      </c>
    </row>
    <row r="649" spans="1:10" ht="15.75" hidden="1">
      <c r="A649" s="495">
        <v>8</v>
      </c>
      <c r="B649" s="495" t="s">
        <v>729</v>
      </c>
      <c r="C649" s="496" t="s">
        <v>1779</v>
      </c>
      <c r="D649" s="497" t="s">
        <v>1566</v>
      </c>
      <c r="E649" s="495" t="s">
        <v>2275</v>
      </c>
      <c r="F649" s="495" t="s">
        <v>639</v>
      </c>
      <c r="G649" s="495"/>
      <c r="H649" s="495" t="s">
        <v>851</v>
      </c>
      <c r="I649" s="501" t="s">
        <v>902</v>
      </c>
      <c r="J649" s="229" t="str">
        <f t="shared" si="10"/>
        <v>13</v>
      </c>
    </row>
    <row r="650" spans="1:10" ht="15.75" hidden="1">
      <c r="A650" s="495">
        <v>9</v>
      </c>
      <c r="B650" s="495" t="s">
        <v>730</v>
      </c>
      <c r="C650" s="496" t="s">
        <v>731</v>
      </c>
      <c r="D650" s="497" t="s">
        <v>1440</v>
      </c>
      <c r="E650" s="495" t="s">
        <v>1932</v>
      </c>
      <c r="F650" s="495" t="s">
        <v>639</v>
      </c>
      <c r="G650" s="495"/>
      <c r="H650" s="495" t="s">
        <v>1544</v>
      </c>
      <c r="I650" s="501" t="s">
        <v>902</v>
      </c>
      <c r="J650" s="229" t="str">
        <f t="shared" si="10"/>
        <v>13</v>
      </c>
    </row>
    <row r="651" spans="1:10" ht="15.75" hidden="1">
      <c r="A651" s="495">
        <v>10</v>
      </c>
      <c r="B651" s="495" t="s">
        <v>732</v>
      </c>
      <c r="C651" s="496" t="s">
        <v>1944</v>
      </c>
      <c r="D651" s="497" t="s">
        <v>1572</v>
      </c>
      <c r="E651" s="495" t="s">
        <v>1555</v>
      </c>
      <c r="F651" s="495" t="s">
        <v>639</v>
      </c>
      <c r="G651" s="495"/>
      <c r="H651" s="495" t="s">
        <v>1544</v>
      </c>
      <c r="I651" s="501" t="s">
        <v>902</v>
      </c>
      <c r="J651" s="229" t="str">
        <f t="shared" si="10"/>
        <v>13</v>
      </c>
    </row>
    <row r="652" spans="1:10" ht="15.75" hidden="1">
      <c r="A652" s="495">
        <v>11</v>
      </c>
      <c r="B652" s="495" t="s">
        <v>744</v>
      </c>
      <c r="C652" s="496" t="s">
        <v>745</v>
      </c>
      <c r="D652" s="497" t="s">
        <v>1952</v>
      </c>
      <c r="E652" s="495" t="s">
        <v>1960</v>
      </c>
      <c r="F652" s="495" t="s">
        <v>639</v>
      </c>
      <c r="G652" s="495"/>
      <c r="H652" s="495" t="s">
        <v>1544</v>
      </c>
      <c r="I652" s="501" t="s">
        <v>902</v>
      </c>
      <c r="J652" s="229" t="str">
        <f t="shared" si="10"/>
        <v>13</v>
      </c>
    </row>
    <row r="653" spans="1:10" ht="15.75" hidden="1">
      <c r="A653" s="495">
        <v>12</v>
      </c>
      <c r="B653" s="495" t="s">
        <v>746</v>
      </c>
      <c r="C653" s="496" t="s">
        <v>747</v>
      </c>
      <c r="D653" s="497" t="s">
        <v>1724</v>
      </c>
      <c r="E653" s="495" t="s">
        <v>1666</v>
      </c>
      <c r="F653" s="495" t="s">
        <v>639</v>
      </c>
      <c r="G653" s="495"/>
      <c r="H653" s="495" t="s">
        <v>851</v>
      </c>
      <c r="I653" s="501" t="s">
        <v>902</v>
      </c>
      <c r="J653" s="229" t="str">
        <f t="shared" si="10"/>
        <v>13</v>
      </c>
    </row>
    <row r="654" spans="1:10" ht="15.75" hidden="1">
      <c r="A654" s="495">
        <v>13</v>
      </c>
      <c r="B654" s="495" t="s">
        <v>748</v>
      </c>
      <c r="C654" s="496" t="s">
        <v>749</v>
      </c>
      <c r="D654" s="497" t="s">
        <v>1443</v>
      </c>
      <c r="E654" s="495" t="s">
        <v>1636</v>
      </c>
      <c r="F654" s="495" t="s">
        <v>639</v>
      </c>
      <c r="G654" s="495"/>
      <c r="H654" s="495" t="s">
        <v>1544</v>
      </c>
      <c r="I654" s="501" t="s">
        <v>902</v>
      </c>
      <c r="J654" s="229" t="str">
        <f t="shared" si="10"/>
        <v>13</v>
      </c>
    </row>
    <row r="655" spans="1:10" ht="15.75" hidden="1">
      <c r="A655" s="495">
        <v>14</v>
      </c>
      <c r="B655" s="495" t="s">
        <v>750</v>
      </c>
      <c r="C655" s="496" t="s">
        <v>1439</v>
      </c>
      <c r="D655" s="497" t="s">
        <v>1841</v>
      </c>
      <c r="E655" s="495" t="s">
        <v>751</v>
      </c>
      <c r="F655" s="495" t="s">
        <v>639</v>
      </c>
      <c r="G655" s="495"/>
      <c r="H655" s="495" t="s">
        <v>1544</v>
      </c>
      <c r="I655" s="501" t="s">
        <v>902</v>
      </c>
      <c r="J655" s="229" t="str">
        <f t="shared" si="10"/>
        <v>13</v>
      </c>
    </row>
    <row r="656" spans="1:10" ht="15.75" hidden="1">
      <c r="A656" s="495">
        <v>15</v>
      </c>
      <c r="B656" s="495" t="s">
        <v>752</v>
      </c>
      <c r="C656" s="496" t="s">
        <v>1668</v>
      </c>
      <c r="D656" s="497" t="s">
        <v>1580</v>
      </c>
      <c r="E656" s="495" t="s">
        <v>2614</v>
      </c>
      <c r="F656" s="495" t="s">
        <v>639</v>
      </c>
      <c r="G656" s="495"/>
      <c r="H656" s="495" t="s">
        <v>1544</v>
      </c>
      <c r="I656" s="501" t="s">
        <v>902</v>
      </c>
      <c r="J656" s="229" t="str">
        <f t="shared" si="10"/>
        <v>13</v>
      </c>
    </row>
    <row r="657" spans="1:10" ht="15.75" hidden="1">
      <c r="A657" s="495">
        <v>16</v>
      </c>
      <c r="B657" s="495" t="s">
        <v>753</v>
      </c>
      <c r="C657" s="496" t="s">
        <v>754</v>
      </c>
      <c r="D657" s="497" t="s">
        <v>1580</v>
      </c>
      <c r="E657" s="495" t="s">
        <v>755</v>
      </c>
      <c r="F657" s="495" t="s">
        <v>639</v>
      </c>
      <c r="G657" s="495"/>
      <c r="H657" s="495" t="s">
        <v>1544</v>
      </c>
      <c r="I657" s="501" t="s">
        <v>902</v>
      </c>
      <c r="J657" s="229" t="str">
        <f t="shared" si="10"/>
        <v>13</v>
      </c>
    </row>
    <row r="658" spans="1:10" ht="15.75" hidden="1">
      <c r="A658" s="495">
        <v>17</v>
      </c>
      <c r="B658" s="495" t="s">
        <v>417</v>
      </c>
      <c r="C658" s="499" t="s">
        <v>416</v>
      </c>
      <c r="D658" s="500" t="s">
        <v>1580</v>
      </c>
      <c r="E658" s="495" t="s">
        <v>1978</v>
      </c>
      <c r="F658" s="495" t="s">
        <v>639</v>
      </c>
      <c r="G658" s="501"/>
      <c r="H658" s="495" t="s">
        <v>851</v>
      </c>
      <c r="I658" s="502" t="s">
        <v>904</v>
      </c>
      <c r="J658" s="229" t="str">
        <f t="shared" si="10"/>
        <v>13</v>
      </c>
    </row>
    <row r="659" spans="1:10" ht="15.75" hidden="1">
      <c r="A659" s="495">
        <v>18</v>
      </c>
      <c r="B659" s="495" t="s">
        <v>668</v>
      </c>
      <c r="C659" s="496" t="s">
        <v>669</v>
      </c>
      <c r="D659" s="497" t="s">
        <v>2288</v>
      </c>
      <c r="E659" s="495" t="s">
        <v>670</v>
      </c>
      <c r="F659" s="495" t="s">
        <v>639</v>
      </c>
      <c r="G659" s="495" t="s">
        <v>1704</v>
      </c>
      <c r="H659" s="495" t="s">
        <v>1544</v>
      </c>
      <c r="I659" s="502" t="s">
        <v>905</v>
      </c>
      <c r="J659" s="229" t="str">
        <f t="shared" si="10"/>
        <v>13</v>
      </c>
    </row>
    <row r="660" spans="1:10" ht="15.75" hidden="1">
      <c r="A660" s="495">
        <v>19</v>
      </c>
      <c r="B660" s="495" t="s">
        <v>671</v>
      </c>
      <c r="C660" s="496" t="s">
        <v>2018</v>
      </c>
      <c r="D660" s="497" t="s">
        <v>672</v>
      </c>
      <c r="E660" s="495" t="s">
        <v>2266</v>
      </c>
      <c r="F660" s="495" t="s">
        <v>639</v>
      </c>
      <c r="G660" s="495"/>
      <c r="H660" s="495" t="s">
        <v>1544</v>
      </c>
      <c r="I660" s="501"/>
      <c r="J660" s="229" t="str">
        <f t="shared" si="10"/>
        <v>13</v>
      </c>
    </row>
    <row r="661" spans="1:10" ht="15.75" hidden="1">
      <c r="A661" s="495">
        <v>20</v>
      </c>
      <c r="B661" s="495" t="s">
        <v>673</v>
      </c>
      <c r="C661" s="496" t="s">
        <v>1486</v>
      </c>
      <c r="D661" s="497" t="s">
        <v>1631</v>
      </c>
      <c r="E661" s="495" t="s">
        <v>2053</v>
      </c>
      <c r="F661" s="495" t="s">
        <v>639</v>
      </c>
      <c r="G661" s="495"/>
      <c r="H661" s="495" t="s">
        <v>851</v>
      </c>
      <c r="I661" s="501"/>
      <c r="J661" s="229" t="str">
        <f t="shared" si="10"/>
        <v>13</v>
      </c>
    </row>
    <row r="662" spans="1:10" ht="15.75" hidden="1">
      <c r="A662" s="495">
        <v>21</v>
      </c>
      <c r="B662" s="495" t="s">
        <v>756</v>
      </c>
      <c r="C662" s="496" t="s">
        <v>757</v>
      </c>
      <c r="D662" s="497" t="s">
        <v>1635</v>
      </c>
      <c r="E662" s="495" t="s">
        <v>758</v>
      </c>
      <c r="F662" s="495" t="s">
        <v>639</v>
      </c>
      <c r="G662" s="495"/>
      <c r="H662" s="495" t="s">
        <v>1544</v>
      </c>
      <c r="I662" s="502" t="s">
        <v>906</v>
      </c>
      <c r="J662" s="229" t="str">
        <f t="shared" si="10"/>
        <v>13</v>
      </c>
    </row>
    <row r="663" spans="1:10" ht="15.75" hidden="1">
      <c r="A663" s="495">
        <v>22</v>
      </c>
      <c r="B663" s="495" t="s">
        <v>759</v>
      </c>
      <c r="C663" s="496" t="s">
        <v>393</v>
      </c>
      <c r="D663" s="497" t="s">
        <v>1454</v>
      </c>
      <c r="E663" s="495" t="s">
        <v>2245</v>
      </c>
      <c r="F663" s="495" t="s">
        <v>639</v>
      </c>
      <c r="G663" s="495"/>
      <c r="H663" s="495" t="s">
        <v>1544</v>
      </c>
      <c r="I663" s="501" t="s">
        <v>902</v>
      </c>
      <c r="J663" s="229" t="str">
        <f t="shared" si="10"/>
        <v>13</v>
      </c>
    </row>
    <row r="664" spans="1:10" ht="15.75" hidden="1">
      <c r="A664" s="495">
        <v>23</v>
      </c>
      <c r="B664" s="495" t="s">
        <v>676</v>
      </c>
      <c r="C664" s="496" t="s">
        <v>1446</v>
      </c>
      <c r="D664" s="497" t="s">
        <v>1454</v>
      </c>
      <c r="E664" s="495" t="s">
        <v>2208</v>
      </c>
      <c r="F664" s="495" t="s">
        <v>639</v>
      </c>
      <c r="G664" s="495"/>
      <c r="H664" s="495" t="s">
        <v>1544</v>
      </c>
      <c r="I664" s="501"/>
      <c r="J664" s="229" t="str">
        <f t="shared" si="10"/>
        <v>13</v>
      </c>
    </row>
    <row r="665" spans="1:10" ht="15.75" hidden="1">
      <c r="A665" s="495">
        <v>24</v>
      </c>
      <c r="B665" s="495" t="s">
        <v>677</v>
      </c>
      <c r="C665" s="496" t="s">
        <v>678</v>
      </c>
      <c r="D665" s="497" t="s">
        <v>580</v>
      </c>
      <c r="E665" s="495" t="s">
        <v>1588</v>
      </c>
      <c r="F665" s="495" t="s">
        <v>639</v>
      </c>
      <c r="G665" s="495"/>
      <c r="H665" s="495" t="s">
        <v>1544</v>
      </c>
      <c r="I665" s="501"/>
      <c r="J665" s="229" t="str">
        <f t="shared" si="10"/>
        <v>13</v>
      </c>
    </row>
    <row r="666" spans="1:10" ht="15.75" hidden="1">
      <c r="A666" s="495">
        <v>25</v>
      </c>
      <c r="B666" s="495" t="s">
        <v>760</v>
      </c>
      <c r="C666" s="496" t="s">
        <v>761</v>
      </c>
      <c r="D666" s="497" t="s">
        <v>1645</v>
      </c>
      <c r="E666" s="495" t="s">
        <v>573</v>
      </c>
      <c r="F666" s="495" t="s">
        <v>639</v>
      </c>
      <c r="G666" s="495"/>
      <c r="H666" s="495" t="s">
        <v>851</v>
      </c>
      <c r="I666" s="501" t="s">
        <v>902</v>
      </c>
      <c r="J666" s="229" t="str">
        <f t="shared" si="10"/>
        <v>13</v>
      </c>
    </row>
    <row r="667" spans="1:10" ht="15.75" hidden="1">
      <c r="A667" s="495">
        <v>26</v>
      </c>
      <c r="B667" s="495" t="s">
        <v>762</v>
      </c>
      <c r="C667" s="496" t="s">
        <v>1480</v>
      </c>
      <c r="D667" s="497" t="s">
        <v>2482</v>
      </c>
      <c r="E667" s="495" t="s">
        <v>2213</v>
      </c>
      <c r="F667" s="495" t="s">
        <v>639</v>
      </c>
      <c r="G667" s="495"/>
      <c r="H667" s="495" t="s">
        <v>1544</v>
      </c>
      <c r="I667" s="501" t="s">
        <v>902</v>
      </c>
      <c r="J667" s="229" t="str">
        <f t="shared" si="10"/>
        <v>13</v>
      </c>
    </row>
    <row r="668" spans="1:10" ht="15.75" hidden="1">
      <c r="A668" s="495">
        <v>27</v>
      </c>
      <c r="B668" s="495" t="s">
        <v>681</v>
      </c>
      <c r="C668" s="496" t="s">
        <v>626</v>
      </c>
      <c r="D668" s="497" t="s">
        <v>1460</v>
      </c>
      <c r="E668" s="495" t="s">
        <v>211</v>
      </c>
      <c r="F668" s="495" t="s">
        <v>639</v>
      </c>
      <c r="G668" s="495"/>
      <c r="H668" s="495" t="s">
        <v>1544</v>
      </c>
      <c r="I668" s="501"/>
      <c r="J668" s="229" t="str">
        <f t="shared" si="10"/>
        <v>13</v>
      </c>
    </row>
    <row r="669" spans="1:10" ht="15.75" hidden="1">
      <c r="A669" s="495">
        <v>28</v>
      </c>
      <c r="B669" s="495" t="s">
        <v>763</v>
      </c>
      <c r="C669" s="496" t="s">
        <v>1439</v>
      </c>
      <c r="D669" s="497" t="s">
        <v>764</v>
      </c>
      <c r="E669" s="495" t="s">
        <v>765</v>
      </c>
      <c r="F669" s="495" t="s">
        <v>639</v>
      </c>
      <c r="G669" s="495"/>
      <c r="H669" s="495" t="s">
        <v>1544</v>
      </c>
      <c r="I669" s="501" t="s">
        <v>902</v>
      </c>
      <c r="J669" s="229" t="str">
        <f t="shared" si="10"/>
        <v>13</v>
      </c>
    </row>
    <row r="670" spans="1:10" ht="15.75" hidden="1">
      <c r="A670" s="495">
        <v>29</v>
      </c>
      <c r="B670" s="495" t="s">
        <v>766</v>
      </c>
      <c r="C670" s="496" t="s">
        <v>1668</v>
      </c>
      <c r="D670" s="497" t="s">
        <v>19</v>
      </c>
      <c r="E670" s="495" t="s">
        <v>2363</v>
      </c>
      <c r="F670" s="495" t="s">
        <v>639</v>
      </c>
      <c r="G670" s="495"/>
      <c r="H670" s="495" t="s">
        <v>1544</v>
      </c>
      <c r="I670" s="501" t="s">
        <v>902</v>
      </c>
      <c r="J670" s="229" t="str">
        <f t="shared" si="10"/>
        <v>13</v>
      </c>
    </row>
    <row r="671" spans="1:10" ht="15.75" hidden="1">
      <c r="A671" s="495">
        <v>30</v>
      </c>
      <c r="B671" s="495" t="s">
        <v>767</v>
      </c>
      <c r="C671" s="496" t="s">
        <v>2116</v>
      </c>
      <c r="D671" s="497" t="s">
        <v>1463</v>
      </c>
      <c r="E671" s="495" t="s">
        <v>2508</v>
      </c>
      <c r="F671" s="495" t="s">
        <v>639</v>
      </c>
      <c r="G671" s="495"/>
      <c r="H671" s="495" t="s">
        <v>851</v>
      </c>
      <c r="I671" s="501" t="s">
        <v>902</v>
      </c>
      <c r="J671" s="229" t="str">
        <f t="shared" si="10"/>
        <v>13</v>
      </c>
    </row>
    <row r="672" spans="1:10" ht="15.75" hidden="1">
      <c r="A672" s="495">
        <v>31</v>
      </c>
      <c r="B672" s="495" t="s">
        <v>768</v>
      </c>
      <c r="C672" s="496" t="s">
        <v>1730</v>
      </c>
      <c r="D672" s="497" t="s">
        <v>1465</v>
      </c>
      <c r="E672" s="495" t="s">
        <v>2312</v>
      </c>
      <c r="F672" s="495" t="s">
        <v>639</v>
      </c>
      <c r="G672" s="495"/>
      <c r="H672" s="495" t="s">
        <v>1544</v>
      </c>
      <c r="I672" s="501" t="s">
        <v>902</v>
      </c>
      <c r="J672" s="229" t="str">
        <f t="shared" si="10"/>
        <v>13</v>
      </c>
    </row>
    <row r="673" spans="1:10" ht="15.75" hidden="1">
      <c r="A673" s="495">
        <v>32</v>
      </c>
      <c r="B673" s="495" t="s">
        <v>689</v>
      </c>
      <c r="C673" s="496" t="s">
        <v>690</v>
      </c>
      <c r="D673" s="497" t="s">
        <v>1468</v>
      </c>
      <c r="E673" s="495" t="s">
        <v>2491</v>
      </c>
      <c r="F673" s="495" t="s">
        <v>639</v>
      </c>
      <c r="G673" s="495"/>
      <c r="H673" s="495" t="s">
        <v>1544</v>
      </c>
      <c r="I673" s="501"/>
      <c r="J673" s="229" t="str">
        <f t="shared" si="10"/>
        <v>13</v>
      </c>
    </row>
    <row r="674" spans="1:10" ht="15.75" hidden="1">
      <c r="A674" s="495">
        <v>33</v>
      </c>
      <c r="B674" s="495" t="s">
        <v>691</v>
      </c>
      <c r="C674" s="496" t="s">
        <v>692</v>
      </c>
      <c r="D674" s="497" t="s">
        <v>1677</v>
      </c>
      <c r="E674" s="495" t="s">
        <v>2140</v>
      </c>
      <c r="F674" s="495" t="s">
        <v>639</v>
      </c>
      <c r="G674" s="495"/>
      <c r="H674" s="495" t="s">
        <v>1544</v>
      </c>
      <c r="I674" s="501"/>
      <c r="J674" s="229" t="str">
        <f t="shared" si="10"/>
        <v>13</v>
      </c>
    </row>
    <row r="675" spans="1:10" ht="15.75" hidden="1">
      <c r="A675" s="495">
        <v>34</v>
      </c>
      <c r="B675" s="495" t="s">
        <v>695</v>
      </c>
      <c r="C675" s="496" t="s">
        <v>696</v>
      </c>
      <c r="D675" s="497" t="s">
        <v>1990</v>
      </c>
      <c r="E675" s="495" t="s">
        <v>697</v>
      </c>
      <c r="F675" s="495" t="s">
        <v>639</v>
      </c>
      <c r="G675" s="495"/>
      <c r="H675" s="495" t="s">
        <v>851</v>
      </c>
      <c r="I675" s="501"/>
      <c r="J675" s="229" t="str">
        <f t="shared" si="10"/>
        <v>13</v>
      </c>
    </row>
    <row r="676" spans="1:10" ht="15.75" hidden="1">
      <c r="A676" s="495">
        <v>35</v>
      </c>
      <c r="B676" s="495" t="s">
        <v>769</v>
      </c>
      <c r="C676" s="496" t="s">
        <v>2083</v>
      </c>
      <c r="D676" s="497" t="s">
        <v>1681</v>
      </c>
      <c r="E676" s="495" t="s">
        <v>1678</v>
      </c>
      <c r="F676" s="495" t="s">
        <v>639</v>
      </c>
      <c r="G676" s="495"/>
      <c r="H676" s="495" t="s">
        <v>1544</v>
      </c>
      <c r="I676" s="501" t="s">
        <v>907</v>
      </c>
      <c r="J676" s="229" t="str">
        <f t="shared" si="10"/>
        <v>13</v>
      </c>
    </row>
    <row r="677" spans="1:10" ht="15.75" hidden="1">
      <c r="A677" s="495">
        <v>36</v>
      </c>
      <c r="B677" s="495" t="s">
        <v>698</v>
      </c>
      <c r="C677" s="499" t="s">
        <v>2011</v>
      </c>
      <c r="D677" s="500" t="s">
        <v>137</v>
      </c>
      <c r="E677" s="495" t="s">
        <v>461</v>
      </c>
      <c r="F677" s="495" t="s">
        <v>639</v>
      </c>
      <c r="G677" s="495"/>
      <c r="H677" s="495" t="s">
        <v>1544</v>
      </c>
      <c r="I677" s="501"/>
      <c r="J677" s="229" t="str">
        <f t="shared" si="10"/>
        <v>13</v>
      </c>
    </row>
    <row r="678" spans="1:10" ht="15.75" hidden="1">
      <c r="A678" s="495">
        <v>37</v>
      </c>
      <c r="B678" s="495" t="s">
        <v>770</v>
      </c>
      <c r="C678" s="496" t="s">
        <v>1730</v>
      </c>
      <c r="D678" s="497" t="s">
        <v>771</v>
      </c>
      <c r="E678" s="495" t="s">
        <v>1813</v>
      </c>
      <c r="F678" s="495" t="s">
        <v>639</v>
      </c>
      <c r="G678" s="495"/>
      <c r="H678" s="495" t="s">
        <v>851</v>
      </c>
      <c r="I678" s="501" t="s">
        <v>902</v>
      </c>
      <c r="J678" s="229" t="str">
        <f t="shared" si="10"/>
        <v>13</v>
      </c>
    </row>
    <row r="679" spans="1:10" ht="15.75" hidden="1">
      <c r="A679" s="495">
        <v>38</v>
      </c>
      <c r="B679" s="495" t="s">
        <v>772</v>
      </c>
      <c r="C679" s="496" t="s">
        <v>1444</v>
      </c>
      <c r="D679" s="497" t="s">
        <v>2503</v>
      </c>
      <c r="E679" s="495" t="s">
        <v>2144</v>
      </c>
      <c r="F679" s="495" t="s">
        <v>639</v>
      </c>
      <c r="G679" s="495"/>
      <c r="H679" s="495" t="s">
        <v>1544</v>
      </c>
      <c r="I679" s="501" t="s">
        <v>902</v>
      </c>
      <c r="J679" s="229" t="str">
        <f t="shared" si="10"/>
        <v>13</v>
      </c>
    </row>
    <row r="680" spans="1:10" ht="15.75" hidden="1">
      <c r="A680" s="495">
        <v>39</v>
      </c>
      <c r="B680" s="495" t="s">
        <v>773</v>
      </c>
      <c r="C680" s="496" t="s">
        <v>1439</v>
      </c>
      <c r="D680" s="497" t="s">
        <v>1691</v>
      </c>
      <c r="E680" s="495" t="s">
        <v>1652</v>
      </c>
      <c r="F680" s="495" t="s">
        <v>639</v>
      </c>
      <c r="G680" s="495" t="s">
        <v>1630</v>
      </c>
      <c r="H680" s="495" t="s">
        <v>1544</v>
      </c>
      <c r="I680" s="501" t="s">
        <v>902</v>
      </c>
      <c r="J680" s="229" t="str">
        <f t="shared" si="10"/>
        <v>13</v>
      </c>
    </row>
    <row r="681" spans="1:10" ht="15.75" hidden="1">
      <c r="A681" s="495">
        <v>40</v>
      </c>
      <c r="B681" s="495" t="s">
        <v>774</v>
      </c>
      <c r="C681" s="496" t="s">
        <v>1469</v>
      </c>
      <c r="D681" s="497" t="s">
        <v>1699</v>
      </c>
      <c r="E681" s="495" t="s">
        <v>341</v>
      </c>
      <c r="F681" s="495" t="s">
        <v>639</v>
      </c>
      <c r="G681" s="495"/>
      <c r="H681" s="495" t="s">
        <v>1544</v>
      </c>
      <c r="I681" s="501" t="s">
        <v>902</v>
      </c>
      <c r="J681" s="229" t="str">
        <f t="shared" si="10"/>
        <v>13</v>
      </c>
    </row>
    <row r="682" spans="1:10" ht="15.75" hidden="1">
      <c r="A682" s="495">
        <v>41</v>
      </c>
      <c r="B682" s="495" t="s">
        <v>775</v>
      </c>
      <c r="C682" s="496" t="s">
        <v>1546</v>
      </c>
      <c r="D682" s="497" t="s">
        <v>1912</v>
      </c>
      <c r="E682" s="495" t="s">
        <v>1764</v>
      </c>
      <c r="F682" s="495" t="s">
        <v>639</v>
      </c>
      <c r="G682" s="495"/>
      <c r="H682" s="495" t="s">
        <v>1544</v>
      </c>
      <c r="I682" s="501" t="s">
        <v>907</v>
      </c>
      <c r="J682" s="229" t="str">
        <f t="shared" si="10"/>
        <v>13</v>
      </c>
    </row>
    <row r="683" spans="1:10" ht="15.75" hidden="1">
      <c r="A683" s="495">
        <v>42</v>
      </c>
      <c r="B683" s="495" t="s">
        <v>776</v>
      </c>
      <c r="C683" s="496" t="s">
        <v>777</v>
      </c>
      <c r="D683" s="497" t="s">
        <v>1481</v>
      </c>
      <c r="E683" s="495" t="s">
        <v>2547</v>
      </c>
      <c r="F683" s="495" t="s">
        <v>639</v>
      </c>
      <c r="G683" s="495"/>
      <c r="H683" s="495" t="s">
        <v>1544</v>
      </c>
      <c r="I683" s="501" t="s">
        <v>902</v>
      </c>
      <c r="J683" s="229" t="str">
        <f t="shared" si="10"/>
        <v>13</v>
      </c>
    </row>
    <row r="684" spans="1:10" ht="15.75" hidden="1">
      <c r="A684" s="495">
        <v>43</v>
      </c>
      <c r="B684" s="495" t="s">
        <v>779</v>
      </c>
      <c r="C684" s="496" t="s">
        <v>1428</v>
      </c>
      <c r="D684" s="497" t="s">
        <v>1825</v>
      </c>
      <c r="E684" s="495" t="s">
        <v>2273</v>
      </c>
      <c r="F684" s="495" t="s">
        <v>639</v>
      </c>
      <c r="G684" s="495"/>
      <c r="H684" s="495" t="s">
        <v>1544</v>
      </c>
      <c r="I684" s="501" t="s">
        <v>902</v>
      </c>
      <c r="J684" s="229" t="str">
        <f t="shared" si="10"/>
        <v>13</v>
      </c>
    </row>
    <row r="685" spans="1:10" ht="15.75" hidden="1">
      <c r="A685" s="495">
        <v>44</v>
      </c>
      <c r="B685" s="495" t="s">
        <v>780</v>
      </c>
      <c r="C685" s="496" t="s">
        <v>781</v>
      </c>
      <c r="D685" s="497" t="s">
        <v>2126</v>
      </c>
      <c r="E685" s="495" t="s">
        <v>1924</v>
      </c>
      <c r="F685" s="495" t="s">
        <v>639</v>
      </c>
      <c r="G685" s="495"/>
      <c r="H685" s="495" t="s">
        <v>851</v>
      </c>
      <c r="I685" s="501" t="s">
        <v>902</v>
      </c>
      <c r="J685" s="229" t="str">
        <f t="shared" si="10"/>
        <v>13</v>
      </c>
    </row>
    <row r="686" spans="1:10" ht="15.75" hidden="1">
      <c r="A686" s="495">
        <v>45</v>
      </c>
      <c r="B686" s="495" t="s">
        <v>782</v>
      </c>
      <c r="C686" s="496" t="s">
        <v>700</v>
      </c>
      <c r="D686" s="497" t="s">
        <v>2126</v>
      </c>
      <c r="E686" s="495" t="s">
        <v>1632</v>
      </c>
      <c r="F686" s="495" t="s">
        <v>639</v>
      </c>
      <c r="G686" s="495"/>
      <c r="H686" s="495" t="s">
        <v>1544</v>
      </c>
      <c r="I686" s="501" t="s">
        <v>902</v>
      </c>
      <c r="J686" s="229" t="str">
        <f t="shared" si="10"/>
        <v>13</v>
      </c>
    </row>
    <row r="687" spans="1:10" ht="15.75" hidden="1">
      <c r="A687" s="495">
        <v>1</v>
      </c>
      <c r="B687" s="495" t="s">
        <v>785</v>
      </c>
      <c r="C687" s="499" t="s">
        <v>2040</v>
      </c>
      <c r="D687" s="500" t="s">
        <v>1429</v>
      </c>
      <c r="E687" s="495" t="s">
        <v>2382</v>
      </c>
      <c r="F687" s="495" t="s">
        <v>719</v>
      </c>
      <c r="G687" s="495"/>
      <c r="H687" s="495" t="s">
        <v>851</v>
      </c>
      <c r="I687" s="501" t="s">
        <v>901</v>
      </c>
      <c r="J687" s="229" t="str">
        <f t="shared" si="10"/>
        <v>13</v>
      </c>
    </row>
    <row r="688" spans="1:10" ht="15.75" hidden="1">
      <c r="A688" s="495">
        <v>2</v>
      </c>
      <c r="B688" s="495" t="s">
        <v>786</v>
      </c>
      <c r="C688" s="496" t="s">
        <v>2302</v>
      </c>
      <c r="D688" s="497" t="s">
        <v>1431</v>
      </c>
      <c r="E688" s="495" t="s">
        <v>142</v>
      </c>
      <c r="F688" s="495" t="s">
        <v>719</v>
      </c>
      <c r="G688" s="495"/>
      <c r="H688" s="495" t="s">
        <v>1544</v>
      </c>
      <c r="I688" s="501" t="s">
        <v>901</v>
      </c>
      <c r="J688" s="229" t="str">
        <f t="shared" si="10"/>
        <v>13</v>
      </c>
    </row>
    <row r="689" spans="1:10" ht="15.75" hidden="1">
      <c r="A689" s="495">
        <v>3</v>
      </c>
      <c r="B689" s="495" t="s">
        <v>787</v>
      </c>
      <c r="C689" s="496" t="s">
        <v>2450</v>
      </c>
      <c r="D689" s="497" t="s">
        <v>1434</v>
      </c>
      <c r="E689" s="495" t="s">
        <v>2263</v>
      </c>
      <c r="F689" s="495" t="s">
        <v>719</v>
      </c>
      <c r="G689" s="495"/>
      <c r="H689" s="495" t="s">
        <v>1544</v>
      </c>
      <c r="I689" s="501" t="s">
        <v>901</v>
      </c>
      <c r="J689" s="229" t="str">
        <f t="shared" si="10"/>
        <v>13</v>
      </c>
    </row>
    <row r="690" spans="1:10" ht="15.75" hidden="1">
      <c r="A690" s="495">
        <v>4</v>
      </c>
      <c r="B690" s="495" t="s">
        <v>788</v>
      </c>
      <c r="C690" s="496" t="s">
        <v>1482</v>
      </c>
      <c r="D690" s="497" t="s">
        <v>1717</v>
      </c>
      <c r="E690" s="495" t="s">
        <v>789</v>
      </c>
      <c r="F690" s="495" t="s">
        <v>719</v>
      </c>
      <c r="G690" s="495"/>
      <c r="H690" s="495" t="s">
        <v>1544</v>
      </c>
      <c r="I690" s="501" t="s">
        <v>901</v>
      </c>
      <c r="J690" s="229" t="str">
        <f t="shared" si="10"/>
        <v>13</v>
      </c>
    </row>
    <row r="691" spans="1:10" ht="15.75" hidden="1">
      <c r="A691" s="495">
        <v>5</v>
      </c>
      <c r="B691" s="495" t="s">
        <v>790</v>
      </c>
      <c r="C691" s="496" t="s">
        <v>510</v>
      </c>
      <c r="D691" s="497" t="s">
        <v>1717</v>
      </c>
      <c r="E691" s="495" t="s">
        <v>791</v>
      </c>
      <c r="F691" s="495" t="s">
        <v>719</v>
      </c>
      <c r="G691" s="495"/>
      <c r="H691" s="495" t="s">
        <v>1544</v>
      </c>
      <c r="I691" s="501" t="s">
        <v>901</v>
      </c>
      <c r="J691" s="229" t="str">
        <f t="shared" si="10"/>
        <v>13</v>
      </c>
    </row>
    <row r="692" spans="1:10" ht="15.75" hidden="1">
      <c r="A692" s="495">
        <v>6</v>
      </c>
      <c r="B692" s="495" t="s">
        <v>792</v>
      </c>
      <c r="C692" s="496" t="s">
        <v>1448</v>
      </c>
      <c r="D692" s="497" t="s">
        <v>1558</v>
      </c>
      <c r="E692" s="495" t="s">
        <v>279</v>
      </c>
      <c r="F692" s="495" t="s">
        <v>719</v>
      </c>
      <c r="G692" s="495"/>
      <c r="H692" s="495" t="s">
        <v>1544</v>
      </c>
      <c r="I692" s="501" t="s">
        <v>901</v>
      </c>
      <c r="J692" s="229" t="str">
        <f t="shared" si="10"/>
        <v>13</v>
      </c>
    </row>
    <row r="693" spans="1:10" ht="15.75" hidden="1">
      <c r="A693" s="495">
        <v>7</v>
      </c>
      <c r="B693" s="495" t="s">
        <v>793</v>
      </c>
      <c r="C693" s="496" t="s">
        <v>794</v>
      </c>
      <c r="D693" s="497" t="s">
        <v>1720</v>
      </c>
      <c r="E693" s="495" t="s">
        <v>2371</v>
      </c>
      <c r="F693" s="495" t="s">
        <v>719</v>
      </c>
      <c r="G693" s="495"/>
      <c r="H693" s="495" t="s">
        <v>1544</v>
      </c>
      <c r="I693" s="501" t="s">
        <v>901</v>
      </c>
      <c r="J693" s="229" t="str">
        <f t="shared" si="10"/>
        <v>13</v>
      </c>
    </row>
    <row r="694" spans="1:10" ht="15.75" hidden="1">
      <c r="A694" s="495">
        <v>8</v>
      </c>
      <c r="B694" s="495" t="s">
        <v>795</v>
      </c>
      <c r="C694" s="496" t="s">
        <v>796</v>
      </c>
      <c r="D694" s="497" t="s">
        <v>1440</v>
      </c>
      <c r="E694" s="495" t="s">
        <v>2021</v>
      </c>
      <c r="F694" s="495" t="s">
        <v>719</v>
      </c>
      <c r="G694" s="495"/>
      <c r="H694" s="495" t="s">
        <v>851</v>
      </c>
      <c r="I694" s="501" t="s">
        <v>901</v>
      </c>
      <c r="J694" s="229" t="str">
        <f t="shared" si="10"/>
        <v>13</v>
      </c>
    </row>
    <row r="695" spans="1:10" ht="15.75" hidden="1">
      <c r="A695" s="495">
        <v>9</v>
      </c>
      <c r="B695" s="495" t="s">
        <v>798</v>
      </c>
      <c r="C695" s="499" t="s">
        <v>1980</v>
      </c>
      <c r="D695" s="500" t="s">
        <v>2157</v>
      </c>
      <c r="E695" s="495" t="s">
        <v>799</v>
      </c>
      <c r="F695" s="495" t="s">
        <v>719</v>
      </c>
      <c r="G695" s="495"/>
      <c r="H695" s="495" t="s">
        <v>1544</v>
      </c>
      <c r="I695" s="501" t="s">
        <v>901</v>
      </c>
      <c r="J695" s="229" t="str">
        <f t="shared" si="10"/>
        <v>13</v>
      </c>
    </row>
    <row r="696" spans="1:10" ht="15.75" hidden="1">
      <c r="A696" s="495">
        <v>10</v>
      </c>
      <c r="B696" s="495" t="s">
        <v>800</v>
      </c>
      <c r="C696" s="496" t="s">
        <v>2430</v>
      </c>
      <c r="D696" s="497" t="s">
        <v>801</v>
      </c>
      <c r="E696" s="495" t="s">
        <v>2192</v>
      </c>
      <c r="F696" s="495" t="s">
        <v>719</v>
      </c>
      <c r="G696" s="495"/>
      <c r="H696" s="495" t="s">
        <v>1544</v>
      </c>
      <c r="I696" s="501" t="s">
        <v>901</v>
      </c>
      <c r="J696" s="229" t="str">
        <f t="shared" si="10"/>
        <v>13</v>
      </c>
    </row>
    <row r="697" spans="1:10" ht="15.75" hidden="1">
      <c r="A697" s="495">
        <v>11</v>
      </c>
      <c r="B697" s="495" t="s">
        <v>802</v>
      </c>
      <c r="C697" s="496" t="s">
        <v>803</v>
      </c>
      <c r="D697" s="497" t="s">
        <v>1445</v>
      </c>
      <c r="E697" s="495" t="s">
        <v>2448</v>
      </c>
      <c r="F697" s="495" t="s">
        <v>719</v>
      </c>
      <c r="G697" s="495"/>
      <c r="H697" s="495" t="s">
        <v>1544</v>
      </c>
      <c r="I697" s="501" t="s">
        <v>901</v>
      </c>
      <c r="J697" s="229" t="str">
        <f t="shared" si="10"/>
        <v>13</v>
      </c>
    </row>
    <row r="698" spans="1:10" ht="15.75" hidden="1">
      <c r="A698" s="495">
        <v>12</v>
      </c>
      <c r="B698" s="495" t="s">
        <v>804</v>
      </c>
      <c r="C698" s="496" t="s">
        <v>805</v>
      </c>
      <c r="D698" s="497" t="s">
        <v>806</v>
      </c>
      <c r="E698" s="495" t="s">
        <v>2386</v>
      </c>
      <c r="F698" s="495" t="s">
        <v>719</v>
      </c>
      <c r="G698" s="495"/>
      <c r="H698" s="495" t="s">
        <v>1544</v>
      </c>
      <c r="I698" s="501" t="s">
        <v>901</v>
      </c>
      <c r="J698" s="229" t="str">
        <f t="shared" si="10"/>
        <v>13</v>
      </c>
    </row>
    <row r="699" spans="1:10" ht="15.75" hidden="1">
      <c r="A699" s="495">
        <v>13</v>
      </c>
      <c r="B699" s="495" t="s">
        <v>807</v>
      </c>
      <c r="C699" s="496" t="s">
        <v>1435</v>
      </c>
      <c r="D699" s="497" t="s">
        <v>1626</v>
      </c>
      <c r="E699" s="495" t="s">
        <v>491</v>
      </c>
      <c r="F699" s="495" t="s">
        <v>719</v>
      </c>
      <c r="G699" s="495"/>
      <c r="H699" s="495" t="s">
        <v>1544</v>
      </c>
      <c r="I699" s="501" t="s">
        <v>901</v>
      </c>
      <c r="J699" s="229" t="str">
        <f t="shared" si="10"/>
        <v>13</v>
      </c>
    </row>
    <row r="700" spans="1:10" ht="15.75" hidden="1">
      <c r="A700" s="495">
        <v>14</v>
      </c>
      <c r="B700" s="495" t="s">
        <v>674</v>
      </c>
      <c r="C700" s="499" t="s">
        <v>1869</v>
      </c>
      <c r="D700" s="500" t="s">
        <v>1454</v>
      </c>
      <c r="E700" s="495" t="s">
        <v>675</v>
      </c>
      <c r="F700" s="495" t="s">
        <v>719</v>
      </c>
      <c r="G700" s="495"/>
      <c r="H700" s="495" t="s">
        <v>851</v>
      </c>
      <c r="I700" s="501" t="s">
        <v>897</v>
      </c>
      <c r="J700" s="229" t="str">
        <f t="shared" si="10"/>
        <v>13</v>
      </c>
    </row>
    <row r="701" spans="1:10" ht="15.75" hidden="1">
      <c r="A701" s="495">
        <v>15</v>
      </c>
      <c r="B701" s="495" t="s">
        <v>812</v>
      </c>
      <c r="C701" s="499" t="s">
        <v>287</v>
      </c>
      <c r="D701" s="500" t="s">
        <v>1454</v>
      </c>
      <c r="E701" s="498" t="s">
        <v>2326</v>
      </c>
      <c r="F701" s="495" t="s">
        <v>719</v>
      </c>
      <c r="G701" s="498"/>
      <c r="H701" s="498" t="s">
        <v>1544</v>
      </c>
      <c r="I701" s="501" t="s">
        <v>901</v>
      </c>
      <c r="J701" s="229" t="str">
        <f t="shared" si="10"/>
        <v>13</v>
      </c>
    </row>
    <row r="702" spans="1:10" ht="15.75" hidden="1">
      <c r="A702" s="495">
        <v>16</v>
      </c>
      <c r="B702" s="495" t="s">
        <v>813</v>
      </c>
      <c r="C702" s="496" t="s">
        <v>1806</v>
      </c>
      <c r="D702" s="497" t="s">
        <v>1637</v>
      </c>
      <c r="E702" s="495" t="s">
        <v>2376</v>
      </c>
      <c r="F702" s="495" t="s">
        <v>719</v>
      </c>
      <c r="G702" s="495"/>
      <c r="H702" s="495" t="s">
        <v>1544</v>
      </c>
      <c r="I702" s="501" t="s">
        <v>901</v>
      </c>
      <c r="J702" s="229" t="str">
        <f t="shared" si="10"/>
        <v>13</v>
      </c>
    </row>
    <row r="703" spans="1:10" ht="15.75" hidden="1">
      <c r="A703" s="495">
        <v>17</v>
      </c>
      <c r="B703" s="495" t="s">
        <v>814</v>
      </c>
      <c r="C703" s="499" t="s">
        <v>1435</v>
      </c>
      <c r="D703" s="500" t="s">
        <v>1640</v>
      </c>
      <c r="E703" s="495" t="s">
        <v>815</v>
      </c>
      <c r="F703" s="495" t="s">
        <v>719</v>
      </c>
      <c r="G703" s="495"/>
      <c r="H703" s="495" t="s">
        <v>1544</v>
      </c>
      <c r="I703" s="501" t="s">
        <v>901</v>
      </c>
      <c r="J703" s="229" t="str">
        <f t="shared" si="10"/>
        <v>13</v>
      </c>
    </row>
    <row r="704" spans="1:10" ht="15.75" hidden="1">
      <c r="A704" s="495">
        <v>18</v>
      </c>
      <c r="B704" s="495" t="s">
        <v>679</v>
      </c>
      <c r="C704" s="499" t="s">
        <v>2083</v>
      </c>
      <c r="D704" s="500" t="s">
        <v>1645</v>
      </c>
      <c r="E704" s="495" t="s">
        <v>680</v>
      </c>
      <c r="F704" s="495" t="s">
        <v>719</v>
      </c>
      <c r="G704" s="495"/>
      <c r="H704" s="495" t="s">
        <v>851</v>
      </c>
      <c r="I704" s="501" t="s">
        <v>897</v>
      </c>
      <c r="J704" s="229" t="str">
        <f t="shared" si="10"/>
        <v>13</v>
      </c>
    </row>
    <row r="705" spans="1:10" ht="15.75" hidden="1">
      <c r="A705" s="495">
        <v>19</v>
      </c>
      <c r="B705" s="495" t="s">
        <v>816</v>
      </c>
      <c r="C705" s="496" t="s">
        <v>2018</v>
      </c>
      <c r="D705" s="497" t="s">
        <v>1645</v>
      </c>
      <c r="E705" s="495" t="s">
        <v>2221</v>
      </c>
      <c r="F705" s="495" t="s">
        <v>719</v>
      </c>
      <c r="G705" s="495"/>
      <c r="H705" s="495" t="s">
        <v>1544</v>
      </c>
      <c r="I705" s="501" t="s">
        <v>901</v>
      </c>
      <c r="J705" s="229" t="str">
        <f t="shared" si="10"/>
        <v>13</v>
      </c>
    </row>
    <row r="706" spans="1:10" ht="15.75" hidden="1">
      <c r="A706" s="495">
        <v>20</v>
      </c>
      <c r="B706" s="495" t="s">
        <v>817</v>
      </c>
      <c r="C706" s="496" t="s">
        <v>2129</v>
      </c>
      <c r="D706" s="497" t="s">
        <v>818</v>
      </c>
      <c r="E706" s="495" t="s">
        <v>2595</v>
      </c>
      <c r="F706" s="495" t="s">
        <v>719</v>
      </c>
      <c r="G706" s="495"/>
      <c r="H706" s="495" t="s">
        <v>1544</v>
      </c>
      <c r="I706" s="501" t="s">
        <v>901</v>
      </c>
      <c r="J706" s="229" t="str">
        <f t="shared" si="10"/>
        <v>13</v>
      </c>
    </row>
    <row r="707" spans="1:10" ht="15.75" hidden="1">
      <c r="A707" s="495">
        <v>21</v>
      </c>
      <c r="B707" s="495" t="s">
        <v>819</v>
      </c>
      <c r="C707" s="499" t="s">
        <v>2597</v>
      </c>
      <c r="D707" s="500" t="s">
        <v>1649</v>
      </c>
      <c r="E707" s="495" t="s">
        <v>2407</v>
      </c>
      <c r="F707" s="495" t="s">
        <v>719</v>
      </c>
      <c r="G707" s="495"/>
      <c r="H707" s="495" t="s">
        <v>1544</v>
      </c>
      <c r="I707" s="501" t="s">
        <v>901</v>
      </c>
      <c r="J707" s="229" t="str">
        <f t="shared" ref="J707:J770" si="11">LEFT(F707,2)</f>
        <v>13</v>
      </c>
    </row>
    <row r="708" spans="1:10" ht="15.75" hidden="1">
      <c r="A708" s="495">
        <v>22</v>
      </c>
      <c r="B708" s="495" t="s">
        <v>682</v>
      </c>
      <c r="C708" s="499" t="s">
        <v>683</v>
      </c>
      <c r="D708" s="500" t="s">
        <v>1460</v>
      </c>
      <c r="E708" s="498" t="s">
        <v>242</v>
      </c>
      <c r="F708" s="495" t="s">
        <v>719</v>
      </c>
      <c r="G708" s="498"/>
      <c r="H708" s="498" t="s">
        <v>1544</v>
      </c>
      <c r="I708" s="501" t="s">
        <v>897</v>
      </c>
      <c r="J708" s="229" t="str">
        <f t="shared" si="11"/>
        <v>13</v>
      </c>
    </row>
    <row r="709" spans="1:10" ht="15.75" hidden="1">
      <c r="A709" s="495">
        <v>23</v>
      </c>
      <c r="B709" s="495" t="s">
        <v>820</v>
      </c>
      <c r="C709" s="496" t="s">
        <v>2129</v>
      </c>
      <c r="D709" s="497" t="s">
        <v>2565</v>
      </c>
      <c r="E709" s="495" t="s">
        <v>1935</v>
      </c>
      <c r="F709" s="495" t="s">
        <v>719</v>
      </c>
      <c r="G709" s="495"/>
      <c r="H709" s="495" t="s">
        <v>1544</v>
      </c>
      <c r="I709" s="501" t="s">
        <v>901</v>
      </c>
      <c r="J709" s="229" t="str">
        <f t="shared" si="11"/>
        <v>13</v>
      </c>
    </row>
    <row r="710" spans="1:10" ht="15.75" hidden="1">
      <c r="A710" s="495">
        <v>24</v>
      </c>
      <c r="B710" s="495" t="s">
        <v>684</v>
      </c>
      <c r="C710" s="499" t="s">
        <v>685</v>
      </c>
      <c r="D710" s="500" t="s">
        <v>686</v>
      </c>
      <c r="E710" s="495" t="s">
        <v>687</v>
      </c>
      <c r="F710" s="495" t="s">
        <v>719</v>
      </c>
      <c r="G710" s="495" t="s">
        <v>1704</v>
      </c>
      <c r="H710" s="495" t="s">
        <v>1544</v>
      </c>
      <c r="I710" s="501" t="s">
        <v>897</v>
      </c>
      <c r="J710" s="229" t="str">
        <f t="shared" si="11"/>
        <v>13</v>
      </c>
    </row>
    <row r="711" spans="1:10" ht="15.75" hidden="1">
      <c r="A711" s="495">
        <v>25</v>
      </c>
      <c r="B711" s="495" t="s">
        <v>688</v>
      </c>
      <c r="C711" s="499" t="s">
        <v>1948</v>
      </c>
      <c r="D711" s="500" t="s">
        <v>1463</v>
      </c>
      <c r="E711" s="495" t="s">
        <v>2140</v>
      </c>
      <c r="F711" s="495" t="s">
        <v>719</v>
      </c>
      <c r="G711" s="495"/>
      <c r="H711" s="495" t="s">
        <v>1544</v>
      </c>
      <c r="I711" s="501" t="s">
        <v>897</v>
      </c>
      <c r="J711" s="229" t="str">
        <f t="shared" si="11"/>
        <v>13</v>
      </c>
    </row>
    <row r="712" spans="1:10" ht="15.75" hidden="1">
      <c r="A712" s="495">
        <v>26</v>
      </c>
      <c r="B712" s="495" t="s">
        <v>822</v>
      </c>
      <c r="C712" s="496" t="s">
        <v>1916</v>
      </c>
      <c r="D712" s="497" t="s">
        <v>1465</v>
      </c>
      <c r="E712" s="495" t="s">
        <v>823</v>
      </c>
      <c r="F712" s="495" t="s">
        <v>719</v>
      </c>
      <c r="G712" s="495"/>
      <c r="H712" s="495" t="s">
        <v>1544</v>
      </c>
      <c r="I712" s="501" t="s">
        <v>901</v>
      </c>
      <c r="J712" s="229" t="str">
        <f t="shared" si="11"/>
        <v>13</v>
      </c>
    </row>
    <row r="713" spans="1:10" ht="15.75" hidden="1">
      <c r="A713" s="495">
        <v>27</v>
      </c>
      <c r="B713" s="495" t="s">
        <v>693</v>
      </c>
      <c r="C713" s="499" t="s">
        <v>694</v>
      </c>
      <c r="D713" s="500" t="s">
        <v>1677</v>
      </c>
      <c r="E713" s="495" t="s">
        <v>1792</v>
      </c>
      <c r="F713" s="495" t="s">
        <v>719</v>
      </c>
      <c r="G713" s="495"/>
      <c r="H713" s="495" t="s">
        <v>1544</v>
      </c>
      <c r="I713" s="501" t="s">
        <v>897</v>
      </c>
      <c r="J713" s="229" t="str">
        <f t="shared" si="11"/>
        <v>13</v>
      </c>
    </row>
    <row r="714" spans="1:10" ht="15.75" hidden="1">
      <c r="A714" s="495">
        <v>28</v>
      </c>
      <c r="B714" s="495" t="s">
        <v>824</v>
      </c>
      <c r="C714" s="496" t="s">
        <v>1444</v>
      </c>
      <c r="D714" s="497" t="s">
        <v>1677</v>
      </c>
      <c r="E714" s="495" t="s">
        <v>825</v>
      </c>
      <c r="F714" s="495" t="s">
        <v>719</v>
      </c>
      <c r="G714" s="495" t="s">
        <v>1642</v>
      </c>
      <c r="H714" s="495" t="s">
        <v>1544</v>
      </c>
      <c r="I714" s="501" t="s">
        <v>901</v>
      </c>
      <c r="J714" s="229" t="str">
        <f t="shared" si="11"/>
        <v>13</v>
      </c>
    </row>
    <row r="715" spans="1:10" ht="15.75" hidden="1">
      <c r="A715" s="495">
        <v>29</v>
      </c>
      <c r="B715" s="495" t="s">
        <v>826</v>
      </c>
      <c r="C715" s="496" t="s">
        <v>827</v>
      </c>
      <c r="D715" s="497" t="s">
        <v>1990</v>
      </c>
      <c r="E715" s="495" t="s">
        <v>828</v>
      </c>
      <c r="F715" s="495" t="s">
        <v>719</v>
      </c>
      <c r="G715" s="495"/>
      <c r="H715" s="495" t="s">
        <v>1544</v>
      </c>
      <c r="I715" s="501" t="s">
        <v>901</v>
      </c>
      <c r="J715" s="229" t="str">
        <f t="shared" si="11"/>
        <v>13</v>
      </c>
    </row>
    <row r="716" spans="1:10" ht="15.75" hidden="1">
      <c r="A716" s="495">
        <v>30</v>
      </c>
      <c r="B716" s="495" t="s">
        <v>829</v>
      </c>
      <c r="C716" s="496" t="s">
        <v>1448</v>
      </c>
      <c r="D716" s="497" t="s">
        <v>1681</v>
      </c>
      <c r="E716" s="495" t="s">
        <v>1648</v>
      </c>
      <c r="F716" s="495" t="s">
        <v>719</v>
      </c>
      <c r="G716" s="495"/>
      <c r="H716" s="495" t="s">
        <v>1544</v>
      </c>
      <c r="I716" s="501" t="s">
        <v>901</v>
      </c>
      <c r="J716" s="229" t="str">
        <f t="shared" si="11"/>
        <v>13</v>
      </c>
    </row>
    <row r="717" spans="1:10" ht="15.75" hidden="1">
      <c r="A717" s="495">
        <v>31</v>
      </c>
      <c r="B717" s="495" t="s">
        <v>830</v>
      </c>
      <c r="C717" s="496" t="s">
        <v>13</v>
      </c>
      <c r="D717" s="497" t="s">
        <v>1896</v>
      </c>
      <c r="E717" s="495" t="s">
        <v>778</v>
      </c>
      <c r="F717" s="495" t="s">
        <v>719</v>
      </c>
      <c r="G717" s="495" t="s">
        <v>1630</v>
      </c>
      <c r="H717" s="495" t="s">
        <v>851</v>
      </c>
      <c r="I717" s="501" t="s">
        <v>901</v>
      </c>
      <c r="J717" s="229" t="str">
        <f t="shared" si="11"/>
        <v>13</v>
      </c>
    </row>
    <row r="718" spans="1:10" ht="15.75" hidden="1">
      <c r="A718" s="495">
        <v>32</v>
      </c>
      <c r="B718" s="495" t="s">
        <v>831</v>
      </c>
      <c r="C718" s="496" t="s">
        <v>2129</v>
      </c>
      <c r="D718" s="497" t="s">
        <v>832</v>
      </c>
      <c r="E718" s="495" t="s">
        <v>1905</v>
      </c>
      <c r="F718" s="495" t="s">
        <v>719</v>
      </c>
      <c r="G718" s="495"/>
      <c r="H718" s="495" t="s">
        <v>1544</v>
      </c>
      <c r="I718" s="501" t="s">
        <v>901</v>
      </c>
      <c r="J718" s="229" t="str">
        <f t="shared" si="11"/>
        <v>13</v>
      </c>
    </row>
    <row r="719" spans="1:10" ht="15.75" hidden="1">
      <c r="A719" s="495">
        <v>33</v>
      </c>
      <c r="B719" s="495" t="s">
        <v>699</v>
      </c>
      <c r="C719" s="496" t="s">
        <v>700</v>
      </c>
      <c r="D719" s="497" t="s">
        <v>1476</v>
      </c>
      <c r="E719" s="495" t="s">
        <v>256</v>
      </c>
      <c r="F719" s="495" t="s">
        <v>719</v>
      </c>
      <c r="G719" s="495"/>
      <c r="H719" s="495" t="s">
        <v>1544</v>
      </c>
      <c r="I719" s="501" t="s">
        <v>897</v>
      </c>
      <c r="J719" s="229" t="str">
        <f t="shared" si="11"/>
        <v>13</v>
      </c>
    </row>
    <row r="720" spans="1:10" ht="15.75" hidden="1">
      <c r="A720" s="495">
        <v>34</v>
      </c>
      <c r="B720" s="495" t="s">
        <v>701</v>
      </c>
      <c r="C720" s="496" t="s">
        <v>702</v>
      </c>
      <c r="D720" s="497" t="s">
        <v>1691</v>
      </c>
      <c r="E720" s="495" t="s">
        <v>233</v>
      </c>
      <c r="F720" s="495" t="s">
        <v>719</v>
      </c>
      <c r="G720" s="495"/>
      <c r="H720" s="495" t="s">
        <v>851</v>
      </c>
      <c r="I720" s="501" t="s">
        <v>897</v>
      </c>
      <c r="J720" s="229" t="str">
        <f t="shared" si="11"/>
        <v>13</v>
      </c>
    </row>
    <row r="721" spans="1:10" ht="15.75" hidden="1">
      <c r="A721" s="495">
        <v>35</v>
      </c>
      <c r="B721" s="495" t="s">
        <v>833</v>
      </c>
      <c r="C721" s="496" t="s">
        <v>834</v>
      </c>
      <c r="D721" s="497" t="s">
        <v>1691</v>
      </c>
      <c r="E721" s="495" t="s">
        <v>391</v>
      </c>
      <c r="F721" s="495" t="s">
        <v>719</v>
      </c>
      <c r="G721" s="495"/>
      <c r="H721" s="495" t="s">
        <v>1544</v>
      </c>
      <c r="I721" s="501" t="s">
        <v>901</v>
      </c>
      <c r="J721" s="229" t="str">
        <f t="shared" si="11"/>
        <v>13</v>
      </c>
    </row>
    <row r="722" spans="1:10" ht="15.75" hidden="1">
      <c r="A722" s="495">
        <v>36</v>
      </c>
      <c r="B722" s="495" t="s">
        <v>835</v>
      </c>
      <c r="C722" s="499" t="s">
        <v>836</v>
      </c>
      <c r="D722" s="500" t="s">
        <v>446</v>
      </c>
      <c r="E722" s="495" t="s">
        <v>837</v>
      </c>
      <c r="F722" s="495" t="s">
        <v>719</v>
      </c>
      <c r="G722" s="495"/>
      <c r="H722" s="495" t="s">
        <v>1544</v>
      </c>
      <c r="I722" s="501" t="s">
        <v>908</v>
      </c>
      <c r="J722" s="229" t="str">
        <f t="shared" si="11"/>
        <v>13</v>
      </c>
    </row>
    <row r="723" spans="1:10" ht="15.75" hidden="1">
      <c r="A723" s="495">
        <v>37</v>
      </c>
      <c r="B723" s="495" t="s">
        <v>838</v>
      </c>
      <c r="C723" s="496" t="s">
        <v>28</v>
      </c>
      <c r="D723" s="497" t="s">
        <v>2117</v>
      </c>
      <c r="E723" s="495" t="s">
        <v>839</v>
      </c>
      <c r="F723" s="495" t="s">
        <v>719</v>
      </c>
      <c r="G723" s="495"/>
      <c r="H723" s="495" t="s">
        <v>1544</v>
      </c>
      <c r="I723" s="501" t="s">
        <v>901</v>
      </c>
      <c r="J723" s="229" t="str">
        <f t="shared" si="11"/>
        <v>13</v>
      </c>
    </row>
    <row r="724" spans="1:10" ht="15.75" hidden="1">
      <c r="A724" s="495">
        <v>38</v>
      </c>
      <c r="B724" s="495" t="s">
        <v>703</v>
      </c>
      <c r="C724" s="496" t="s">
        <v>1430</v>
      </c>
      <c r="D724" s="497" t="s">
        <v>1912</v>
      </c>
      <c r="E724" s="495" t="s">
        <v>337</v>
      </c>
      <c r="F724" s="495" t="s">
        <v>719</v>
      </c>
      <c r="G724" s="495"/>
      <c r="H724" s="495" t="s">
        <v>1544</v>
      </c>
      <c r="I724" s="501" t="s">
        <v>897</v>
      </c>
      <c r="J724" s="229" t="str">
        <f t="shared" si="11"/>
        <v>13</v>
      </c>
    </row>
    <row r="725" spans="1:10" ht="15.75" hidden="1">
      <c r="A725" s="495">
        <v>39</v>
      </c>
      <c r="B725" s="495" t="s">
        <v>841</v>
      </c>
      <c r="C725" s="496" t="s">
        <v>2427</v>
      </c>
      <c r="D725" s="497" t="s">
        <v>1912</v>
      </c>
      <c r="E725" s="495" t="s">
        <v>842</v>
      </c>
      <c r="F725" s="495" t="s">
        <v>719</v>
      </c>
      <c r="G725" s="495"/>
      <c r="H725" s="495" t="s">
        <v>1544</v>
      </c>
      <c r="I725" s="501" t="s">
        <v>901</v>
      </c>
      <c r="J725" s="229" t="str">
        <f t="shared" si="11"/>
        <v>13</v>
      </c>
    </row>
    <row r="726" spans="1:10" ht="15.75" hidden="1">
      <c r="A726" s="495">
        <v>40</v>
      </c>
      <c r="B726" s="495" t="s">
        <v>704</v>
      </c>
      <c r="C726" s="496" t="s">
        <v>2323</v>
      </c>
      <c r="D726" s="497" t="s">
        <v>1481</v>
      </c>
      <c r="E726" s="495" t="s">
        <v>705</v>
      </c>
      <c r="F726" s="495" t="s">
        <v>719</v>
      </c>
      <c r="G726" s="495"/>
      <c r="H726" s="495" t="s">
        <v>1544</v>
      </c>
      <c r="I726" s="501" t="s">
        <v>897</v>
      </c>
      <c r="J726" s="229" t="str">
        <f t="shared" si="11"/>
        <v>13</v>
      </c>
    </row>
    <row r="727" spans="1:10" ht="15.75" hidden="1">
      <c r="A727" s="495">
        <v>41</v>
      </c>
      <c r="B727" s="495" t="s">
        <v>843</v>
      </c>
      <c r="C727" s="499" t="s">
        <v>844</v>
      </c>
      <c r="D727" s="500" t="s">
        <v>1483</v>
      </c>
      <c r="E727" s="495" t="s">
        <v>2524</v>
      </c>
      <c r="F727" s="495" t="s">
        <v>719</v>
      </c>
      <c r="G727" s="495"/>
      <c r="H727" s="495" t="s">
        <v>1544</v>
      </c>
      <c r="I727" s="501" t="s">
        <v>901</v>
      </c>
      <c r="J727" s="229" t="str">
        <f t="shared" si="11"/>
        <v>13</v>
      </c>
    </row>
    <row r="728" spans="1:10" ht="15.75" hidden="1">
      <c r="A728" s="495">
        <v>42</v>
      </c>
      <c r="B728" s="495" t="s">
        <v>706</v>
      </c>
      <c r="C728" s="496" t="s">
        <v>16</v>
      </c>
      <c r="D728" s="497" t="s">
        <v>1483</v>
      </c>
      <c r="E728" s="495" t="s">
        <v>396</v>
      </c>
      <c r="F728" s="495" t="s">
        <v>719</v>
      </c>
      <c r="G728" s="495"/>
      <c r="H728" s="495" t="s">
        <v>1544</v>
      </c>
      <c r="I728" s="501" t="s">
        <v>897</v>
      </c>
      <c r="J728" s="229" t="str">
        <f t="shared" si="11"/>
        <v>13</v>
      </c>
    </row>
    <row r="729" spans="1:10" ht="15.75" hidden="1">
      <c r="A729" s="495">
        <v>43</v>
      </c>
      <c r="B729" s="495" t="s">
        <v>707</v>
      </c>
      <c r="C729" s="496" t="s">
        <v>1430</v>
      </c>
      <c r="D729" s="497" t="s">
        <v>2586</v>
      </c>
      <c r="E729" s="495" t="s">
        <v>708</v>
      </c>
      <c r="F729" s="495" t="s">
        <v>719</v>
      </c>
      <c r="G729" s="495"/>
      <c r="H729" s="495" t="s">
        <v>1544</v>
      </c>
      <c r="I729" s="501" t="s">
        <v>897</v>
      </c>
      <c r="J729" s="229" t="str">
        <f t="shared" si="11"/>
        <v>13</v>
      </c>
    </row>
    <row r="730" spans="1:10" ht="15.75" hidden="1">
      <c r="A730" s="495">
        <v>44</v>
      </c>
      <c r="B730" s="495" t="s">
        <v>709</v>
      </c>
      <c r="C730" s="496" t="s">
        <v>2083</v>
      </c>
      <c r="D730" s="497" t="s">
        <v>710</v>
      </c>
      <c r="E730" s="495" t="s">
        <v>2645</v>
      </c>
      <c r="F730" s="495" t="s">
        <v>719</v>
      </c>
      <c r="G730" s="495"/>
      <c r="H730" s="495" t="s">
        <v>1544</v>
      </c>
      <c r="I730" s="501" t="s">
        <v>897</v>
      </c>
      <c r="J730" s="229" t="str">
        <f t="shared" si="11"/>
        <v>13</v>
      </c>
    </row>
    <row r="731" spans="1:10" ht="15.75" hidden="1">
      <c r="A731" s="495">
        <v>45</v>
      </c>
      <c r="B731" s="495" t="s">
        <v>845</v>
      </c>
      <c r="C731" s="496" t="s">
        <v>1469</v>
      </c>
      <c r="D731" s="497" t="s">
        <v>2344</v>
      </c>
      <c r="E731" s="495" t="s">
        <v>2099</v>
      </c>
      <c r="F731" s="495" t="s">
        <v>719</v>
      </c>
      <c r="G731" s="495"/>
      <c r="H731" s="495" t="s">
        <v>1544</v>
      </c>
      <c r="I731" s="501" t="s">
        <v>901</v>
      </c>
      <c r="J731" s="229" t="str">
        <f t="shared" si="11"/>
        <v>13</v>
      </c>
    </row>
    <row r="732" spans="1:10" ht="15.75" hidden="1">
      <c r="A732" s="495">
        <v>46</v>
      </c>
      <c r="B732" s="495" t="s">
        <v>711</v>
      </c>
      <c r="C732" s="496" t="s">
        <v>1996</v>
      </c>
      <c r="D732" s="497" t="s">
        <v>2512</v>
      </c>
      <c r="E732" s="495" t="s">
        <v>1819</v>
      </c>
      <c r="F732" s="495" t="s">
        <v>719</v>
      </c>
      <c r="G732" s="495"/>
      <c r="H732" s="495" t="s">
        <v>1544</v>
      </c>
      <c r="I732" s="501" t="s">
        <v>897</v>
      </c>
      <c r="J732" s="229" t="str">
        <f t="shared" si="11"/>
        <v>13</v>
      </c>
    </row>
    <row r="733" spans="1:10" ht="15.75" hidden="1">
      <c r="A733" s="495">
        <v>47</v>
      </c>
      <c r="B733" s="495" t="s">
        <v>712</v>
      </c>
      <c r="C733" s="496" t="s">
        <v>713</v>
      </c>
      <c r="D733" s="497" t="s">
        <v>2126</v>
      </c>
      <c r="E733" s="495" t="s">
        <v>714</v>
      </c>
      <c r="F733" s="495" t="s">
        <v>719</v>
      </c>
      <c r="G733" s="495"/>
      <c r="H733" s="495" t="s">
        <v>1544</v>
      </c>
      <c r="I733" s="501" t="s">
        <v>897</v>
      </c>
      <c r="J733" s="229" t="str">
        <f t="shared" si="11"/>
        <v>13</v>
      </c>
    </row>
    <row r="734" spans="1:10" ht="15.75" hidden="1">
      <c r="A734" s="495">
        <v>48</v>
      </c>
      <c r="B734" s="495" t="s">
        <v>715</v>
      </c>
      <c r="C734" s="496" t="s">
        <v>716</v>
      </c>
      <c r="D734" s="497" t="s">
        <v>1486</v>
      </c>
      <c r="E734" s="495" t="s">
        <v>273</v>
      </c>
      <c r="F734" s="495" t="s">
        <v>719</v>
      </c>
      <c r="G734" s="495"/>
      <c r="H734" s="495" t="s">
        <v>851</v>
      </c>
      <c r="I734" s="501" t="s">
        <v>897</v>
      </c>
      <c r="J734" s="229" t="str">
        <f t="shared" si="11"/>
        <v>13</v>
      </c>
    </row>
    <row r="735" spans="1:10" ht="15.75" hidden="1">
      <c r="A735" s="495">
        <v>49</v>
      </c>
      <c r="B735" s="495" t="s">
        <v>846</v>
      </c>
      <c r="C735" s="496" t="s">
        <v>1439</v>
      </c>
      <c r="D735" s="497" t="s">
        <v>1486</v>
      </c>
      <c r="E735" s="495" t="s">
        <v>847</v>
      </c>
      <c r="F735" s="495" t="s">
        <v>719</v>
      </c>
      <c r="G735" s="495"/>
      <c r="H735" s="495" t="s">
        <v>1544</v>
      </c>
      <c r="I735" s="501" t="s">
        <v>901</v>
      </c>
      <c r="J735" s="229" t="str">
        <f t="shared" si="11"/>
        <v>13</v>
      </c>
    </row>
    <row r="736" spans="1:10" ht="15.75" hidden="1">
      <c r="A736" s="495">
        <v>50</v>
      </c>
      <c r="B736" s="498" t="s">
        <v>909</v>
      </c>
      <c r="C736" s="499" t="s">
        <v>393</v>
      </c>
      <c r="D736" s="500" t="s">
        <v>1580</v>
      </c>
      <c r="E736" s="498" t="s">
        <v>910</v>
      </c>
      <c r="F736" s="495" t="s">
        <v>719</v>
      </c>
      <c r="G736" s="502" t="s">
        <v>858</v>
      </c>
      <c r="H736" s="498" t="s">
        <v>1544</v>
      </c>
      <c r="I736" s="517" t="s">
        <v>911</v>
      </c>
      <c r="J736" s="229" t="str">
        <f t="shared" si="11"/>
        <v>13</v>
      </c>
    </row>
    <row r="737" spans="1:10" ht="15.75" hidden="1">
      <c r="A737" s="495">
        <v>1</v>
      </c>
      <c r="B737" s="495" t="s">
        <v>848</v>
      </c>
      <c r="C737" s="496" t="s">
        <v>849</v>
      </c>
      <c r="D737" s="497" t="s">
        <v>2249</v>
      </c>
      <c r="E737" s="495" t="s">
        <v>1846</v>
      </c>
      <c r="F737" s="495" t="s">
        <v>850</v>
      </c>
      <c r="G737" s="495" t="s">
        <v>1551</v>
      </c>
      <c r="H737" s="495" t="s">
        <v>1544</v>
      </c>
      <c r="I737" s="501"/>
      <c r="J737" s="229" t="str">
        <f t="shared" si="11"/>
        <v>13</v>
      </c>
    </row>
    <row r="738" spans="1:10" ht="15.75" hidden="1">
      <c r="A738" s="495">
        <v>2</v>
      </c>
      <c r="B738" s="495" t="s">
        <v>969</v>
      </c>
      <c r="C738" s="496" t="s">
        <v>970</v>
      </c>
      <c r="D738" s="497" t="s">
        <v>971</v>
      </c>
      <c r="E738" s="495" t="s">
        <v>1660</v>
      </c>
      <c r="F738" s="495" t="s">
        <v>850</v>
      </c>
      <c r="G738" s="495" t="s">
        <v>1551</v>
      </c>
      <c r="H738" s="495" t="s">
        <v>1544</v>
      </c>
      <c r="I738" s="501"/>
      <c r="J738" s="229" t="str">
        <f t="shared" si="11"/>
        <v>13</v>
      </c>
    </row>
    <row r="739" spans="1:10" ht="15.75" hidden="1">
      <c r="A739" s="495">
        <v>3</v>
      </c>
      <c r="B739" s="495" t="s">
        <v>972</v>
      </c>
      <c r="C739" s="496" t="s">
        <v>973</v>
      </c>
      <c r="D739" s="497" t="s">
        <v>466</v>
      </c>
      <c r="E739" s="495" t="s">
        <v>1813</v>
      </c>
      <c r="F739" s="495" t="s">
        <v>850</v>
      </c>
      <c r="G739" s="495" t="s">
        <v>1551</v>
      </c>
      <c r="H739" s="495" t="s">
        <v>1544</v>
      </c>
      <c r="I739" s="501"/>
      <c r="J739" s="229" t="str">
        <f t="shared" si="11"/>
        <v>13</v>
      </c>
    </row>
    <row r="740" spans="1:10" ht="15.75" hidden="1">
      <c r="A740" s="495">
        <v>4</v>
      </c>
      <c r="B740" s="495" t="s">
        <v>974</v>
      </c>
      <c r="C740" s="496" t="s">
        <v>1973</v>
      </c>
      <c r="D740" s="497" t="s">
        <v>2520</v>
      </c>
      <c r="E740" s="495" t="s">
        <v>2021</v>
      </c>
      <c r="F740" s="495" t="s">
        <v>850</v>
      </c>
      <c r="G740" s="495" t="s">
        <v>1551</v>
      </c>
      <c r="H740" s="495" t="s">
        <v>851</v>
      </c>
      <c r="I740" s="501" t="s">
        <v>1642</v>
      </c>
      <c r="J740" s="229" t="str">
        <f t="shared" si="11"/>
        <v>13</v>
      </c>
    </row>
    <row r="741" spans="1:10" ht="15.75" hidden="1">
      <c r="A741" s="495">
        <v>5</v>
      </c>
      <c r="B741" s="495" t="s">
        <v>975</v>
      </c>
      <c r="C741" s="496" t="s">
        <v>976</v>
      </c>
      <c r="D741" s="497" t="s">
        <v>977</v>
      </c>
      <c r="E741" s="495" t="s">
        <v>978</v>
      </c>
      <c r="F741" s="495" t="s">
        <v>850</v>
      </c>
      <c r="G741" s="495"/>
      <c r="H741" s="495" t="s">
        <v>1544</v>
      </c>
      <c r="I741" s="501"/>
      <c r="J741" s="229" t="str">
        <f t="shared" si="11"/>
        <v>13</v>
      </c>
    </row>
    <row r="742" spans="1:10" ht="15.75" hidden="1">
      <c r="A742" s="495">
        <v>6</v>
      </c>
      <c r="B742" s="495" t="s">
        <v>979</v>
      </c>
      <c r="C742" s="496" t="s">
        <v>980</v>
      </c>
      <c r="D742" s="497" t="s">
        <v>1438</v>
      </c>
      <c r="E742" s="495" t="s">
        <v>2645</v>
      </c>
      <c r="F742" s="495" t="s">
        <v>850</v>
      </c>
      <c r="G742" s="495" t="s">
        <v>1551</v>
      </c>
      <c r="H742" s="495" t="s">
        <v>1544</v>
      </c>
      <c r="I742" s="501"/>
      <c r="J742" s="229" t="str">
        <f t="shared" si="11"/>
        <v>13</v>
      </c>
    </row>
    <row r="743" spans="1:10" ht="15.75" hidden="1">
      <c r="A743" s="495">
        <v>7</v>
      </c>
      <c r="B743" s="495" t="s">
        <v>981</v>
      </c>
      <c r="C743" s="496" t="s">
        <v>982</v>
      </c>
      <c r="D743" s="497" t="s">
        <v>983</v>
      </c>
      <c r="E743" s="495" t="s">
        <v>1792</v>
      </c>
      <c r="F743" s="495" t="s">
        <v>850</v>
      </c>
      <c r="G743" s="495" t="s">
        <v>1551</v>
      </c>
      <c r="H743" s="495" t="s">
        <v>1544</v>
      </c>
      <c r="I743" s="501"/>
      <c r="J743" s="229" t="str">
        <f t="shared" si="11"/>
        <v>13</v>
      </c>
    </row>
    <row r="744" spans="1:10" ht="15.75" hidden="1">
      <c r="A744" s="495">
        <v>8</v>
      </c>
      <c r="B744" s="495" t="s">
        <v>984</v>
      </c>
      <c r="C744" s="496" t="s">
        <v>985</v>
      </c>
      <c r="D744" s="497" t="s">
        <v>986</v>
      </c>
      <c r="E744" s="495" t="s">
        <v>1994</v>
      </c>
      <c r="F744" s="495" t="s">
        <v>850</v>
      </c>
      <c r="G744" s="495" t="s">
        <v>1551</v>
      </c>
      <c r="H744" s="495" t="s">
        <v>1544</v>
      </c>
      <c r="I744" s="501"/>
      <c r="J744" s="229" t="str">
        <f t="shared" si="11"/>
        <v>13</v>
      </c>
    </row>
    <row r="745" spans="1:10" ht="15.75" hidden="1">
      <c r="A745" s="495">
        <v>9</v>
      </c>
      <c r="B745" s="495" t="s">
        <v>987</v>
      </c>
      <c r="C745" s="496" t="s">
        <v>970</v>
      </c>
      <c r="D745" s="497" t="s">
        <v>557</v>
      </c>
      <c r="E745" s="495" t="s">
        <v>988</v>
      </c>
      <c r="F745" s="495" t="s">
        <v>850</v>
      </c>
      <c r="G745" s="495" t="s">
        <v>1551</v>
      </c>
      <c r="H745" s="495" t="s">
        <v>1544</v>
      </c>
      <c r="I745" s="501"/>
      <c r="J745" s="229" t="str">
        <f t="shared" si="11"/>
        <v>13</v>
      </c>
    </row>
    <row r="746" spans="1:10" ht="15.75" hidden="1">
      <c r="A746" s="495">
        <v>10</v>
      </c>
      <c r="B746" s="495" t="s">
        <v>989</v>
      </c>
      <c r="C746" s="496" t="s">
        <v>990</v>
      </c>
      <c r="D746" s="497" t="s">
        <v>991</v>
      </c>
      <c r="E746" s="495" t="s">
        <v>280</v>
      </c>
      <c r="F746" s="495" t="s">
        <v>850</v>
      </c>
      <c r="G746" s="495" t="s">
        <v>1551</v>
      </c>
      <c r="H746" s="495" t="s">
        <v>1544</v>
      </c>
      <c r="I746" s="501"/>
      <c r="J746" s="229" t="str">
        <f t="shared" si="11"/>
        <v>13</v>
      </c>
    </row>
    <row r="747" spans="1:10" ht="15.75" hidden="1">
      <c r="A747" s="495">
        <v>11</v>
      </c>
      <c r="B747" s="495" t="s">
        <v>992</v>
      </c>
      <c r="C747" s="496" t="s">
        <v>993</v>
      </c>
      <c r="D747" s="497" t="s">
        <v>991</v>
      </c>
      <c r="E747" s="495" t="s">
        <v>994</v>
      </c>
      <c r="F747" s="495" t="s">
        <v>850</v>
      </c>
      <c r="G747" s="495" t="s">
        <v>1551</v>
      </c>
      <c r="H747" s="495" t="s">
        <v>1544</v>
      </c>
      <c r="I747" s="501"/>
      <c r="J747" s="229" t="str">
        <f t="shared" si="11"/>
        <v>13</v>
      </c>
    </row>
    <row r="748" spans="1:10" ht="15.75" hidden="1">
      <c r="A748" s="495">
        <v>12</v>
      </c>
      <c r="B748" s="495" t="s">
        <v>995</v>
      </c>
      <c r="C748" s="496" t="s">
        <v>996</v>
      </c>
      <c r="D748" s="497" t="s">
        <v>1954</v>
      </c>
      <c r="E748" s="495" t="s">
        <v>1946</v>
      </c>
      <c r="F748" s="495" t="s">
        <v>850</v>
      </c>
      <c r="G748" s="495" t="s">
        <v>1551</v>
      </c>
      <c r="H748" s="495" t="s">
        <v>1544</v>
      </c>
      <c r="I748" s="501"/>
      <c r="J748" s="229" t="str">
        <f t="shared" si="11"/>
        <v>13</v>
      </c>
    </row>
    <row r="749" spans="1:10" ht="15.75" hidden="1">
      <c r="A749" s="495">
        <v>13</v>
      </c>
      <c r="B749" s="495" t="s">
        <v>997</v>
      </c>
      <c r="C749" s="496" t="s">
        <v>998</v>
      </c>
      <c r="D749" s="497" t="s">
        <v>999</v>
      </c>
      <c r="E749" s="495" t="s">
        <v>1000</v>
      </c>
      <c r="F749" s="495" t="s">
        <v>850</v>
      </c>
      <c r="G749" s="495" t="s">
        <v>1551</v>
      </c>
      <c r="H749" s="495" t="s">
        <v>851</v>
      </c>
      <c r="I749" s="501"/>
      <c r="J749" s="229" t="str">
        <f t="shared" si="11"/>
        <v>13</v>
      </c>
    </row>
    <row r="750" spans="1:10" ht="15.75" hidden="1">
      <c r="A750" s="495">
        <v>14</v>
      </c>
      <c r="B750" s="495" t="s">
        <v>1001</v>
      </c>
      <c r="C750" s="496" t="s">
        <v>970</v>
      </c>
      <c r="D750" s="497" t="s">
        <v>1002</v>
      </c>
      <c r="E750" s="495" t="s">
        <v>134</v>
      </c>
      <c r="F750" s="495" t="s">
        <v>850</v>
      </c>
      <c r="G750" s="495" t="s">
        <v>1551</v>
      </c>
      <c r="H750" s="495" t="s">
        <v>1544</v>
      </c>
      <c r="I750" s="501"/>
      <c r="J750" s="229" t="str">
        <f t="shared" si="11"/>
        <v>13</v>
      </c>
    </row>
    <row r="751" spans="1:10" ht="15.75" hidden="1">
      <c r="A751" s="495">
        <v>15</v>
      </c>
      <c r="B751" s="495" t="s">
        <v>1003</v>
      </c>
      <c r="C751" s="496" t="s">
        <v>1004</v>
      </c>
      <c r="D751" s="497" t="s">
        <v>1005</v>
      </c>
      <c r="E751" s="495" t="s">
        <v>456</v>
      </c>
      <c r="F751" s="495" t="s">
        <v>850</v>
      </c>
      <c r="G751" s="495" t="s">
        <v>1551</v>
      </c>
      <c r="H751" s="495" t="s">
        <v>1544</v>
      </c>
      <c r="I751" s="501"/>
      <c r="J751" s="229" t="str">
        <f t="shared" si="11"/>
        <v>13</v>
      </c>
    </row>
    <row r="752" spans="1:10" ht="15.75" hidden="1">
      <c r="A752" s="495">
        <v>16</v>
      </c>
      <c r="B752" s="495" t="s">
        <v>1006</v>
      </c>
      <c r="C752" s="496" t="s">
        <v>1007</v>
      </c>
      <c r="D752" s="497" t="s">
        <v>75</v>
      </c>
      <c r="E752" s="495" t="s">
        <v>2089</v>
      </c>
      <c r="F752" s="495" t="s">
        <v>850</v>
      </c>
      <c r="G752" s="495" t="s">
        <v>1551</v>
      </c>
      <c r="H752" s="495" t="s">
        <v>1544</v>
      </c>
      <c r="I752" s="501"/>
      <c r="J752" s="229" t="str">
        <f t="shared" si="11"/>
        <v>13</v>
      </c>
    </row>
    <row r="753" spans="1:10" ht="15.75" hidden="1">
      <c r="A753" s="495">
        <v>17</v>
      </c>
      <c r="B753" s="495" t="s">
        <v>1008</v>
      </c>
      <c r="C753" s="496" t="s">
        <v>1009</v>
      </c>
      <c r="D753" s="497" t="s">
        <v>1010</v>
      </c>
      <c r="E753" s="495" t="s">
        <v>2201</v>
      </c>
      <c r="F753" s="495" t="s">
        <v>850</v>
      </c>
      <c r="G753" s="495" t="s">
        <v>1551</v>
      </c>
      <c r="H753" s="495" t="s">
        <v>1544</v>
      </c>
      <c r="I753" s="501"/>
      <c r="J753" s="229" t="str">
        <f t="shared" si="11"/>
        <v>13</v>
      </c>
    </row>
    <row r="754" spans="1:10" ht="15.75" hidden="1">
      <c r="A754" s="495">
        <v>18</v>
      </c>
      <c r="B754" s="495" t="s">
        <v>1011</v>
      </c>
      <c r="C754" s="496" t="s">
        <v>1012</v>
      </c>
      <c r="D754" s="497" t="s">
        <v>1626</v>
      </c>
      <c r="E754" s="495" t="s">
        <v>2316</v>
      </c>
      <c r="F754" s="495" t="s">
        <v>850</v>
      </c>
      <c r="G754" s="495" t="s">
        <v>1551</v>
      </c>
      <c r="H754" s="495" t="s">
        <v>1544</v>
      </c>
      <c r="I754" s="501"/>
      <c r="J754" s="229" t="str">
        <f t="shared" si="11"/>
        <v>13</v>
      </c>
    </row>
    <row r="755" spans="1:10" ht="15.75" hidden="1">
      <c r="A755" s="495">
        <v>19</v>
      </c>
      <c r="B755" s="495" t="s">
        <v>1013</v>
      </c>
      <c r="C755" s="496" t="s">
        <v>1014</v>
      </c>
      <c r="D755" s="497" t="s">
        <v>1015</v>
      </c>
      <c r="E755" s="495" t="s">
        <v>491</v>
      </c>
      <c r="F755" s="495" t="s">
        <v>850</v>
      </c>
      <c r="G755" s="495" t="s">
        <v>1551</v>
      </c>
      <c r="H755" s="495" t="s">
        <v>851</v>
      </c>
      <c r="I755" s="501"/>
      <c r="J755" s="229" t="str">
        <f t="shared" si="11"/>
        <v>13</v>
      </c>
    </row>
    <row r="756" spans="1:10" ht="15.75" hidden="1">
      <c r="A756" s="495">
        <v>20</v>
      </c>
      <c r="B756" s="495" t="s">
        <v>1016</v>
      </c>
      <c r="C756" s="496" t="s">
        <v>1546</v>
      </c>
      <c r="D756" s="497" t="s">
        <v>1628</v>
      </c>
      <c r="E756" s="495" t="s">
        <v>1017</v>
      </c>
      <c r="F756" s="495" t="s">
        <v>850</v>
      </c>
      <c r="G756" s="495" t="s">
        <v>1704</v>
      </c>
      <c r="H756" s="495" t="s">
        <v>1544</v>
      </c>
      <c r="I756" s="501"/>
      <c r="J756" s="229" t="str">
        <f t="shared" si="11"/>
        <v>13</v>
      </c>
    </row>
    <row r="757" spans="1:10" ht="15.75" hidden="1">
      <c r="A757" s="495">
        <v>21</v>
      </c>
      <c r="B757" s="495" t="s">
        <v>1018</v>
      </c>
      <c r="C757" s="496" t="s">
        <v>1019</v>
      </c>
      <c r="D757" s="497" t="s">
        <v>1631</v>
      </c>
      <c r="E757" s="495" t="s">
        <v>840</v>
      </c>
      <c r="F757" s="495" t="s">
        <v>850</v>
      </c>
      <c r="G757" s="495" t="s">
        <v>1551</v>
      </c>
      <c r="H757" s="495" t="s">
        <v>1544</v>
      </c>
      <c r="I757" s="501" t="s">
        <v>892</v>
      </c>
      <c r="J757" s="229" t="str">
        <f t="shared" si="11"/>
        <v>13</v>
      </c>
    </row>
    <row r="758" spans="1:10" ht="15.75" hidden="1">
      <c r="A758" s="495">
        <v>22</v>
      </c>
      <c r="B758" s="495" t="s">
        <v>1020</v>
      </c>
      <c r="C758" s="496" t="s">
        <v>1021</v>
      </c>
      <c r="D758" s="497" t="s">
        <v>1022</v>
      </c>
      <c r="E758" s="495" t="s">
        <v>1023</v>
      </c>
      <c r="F758" s="495" t="s">
        <v>850</v>
      </c>
      <c r="G758" s="495" t="s">
        <v>1551</v>
      </c>
      <c r="H758" s="495" t="s">
        <v>851</v>
      </c>
      <c r="I758" s="515" t="s">
        <v>856</v>
      </c>
      <c r="J758" s="229" t="str">
        <f t="shared" si="11"/>
        <v>13</v>
      </c>
    </row>
    <row r="759" spans="1:10" ht="15.75" hidden="1">
      <c r="A759" s="495">
        <v>23</v>
      </c>
      <c r="B759" s="495" t="s">
        <v>1024</v>
      </c>
      <c r="C759" s="496" t="s">
        <v>1025</v>
      </c>
      <c r="D759" s="497" t="s">
        <v>1752</v>
      </c>
      <c r="E759" s="495" t="s">
        <v>1951</v>
      </c>
      <c r="F759" s="495" t="s">
        <v>850</v>
      </c>
      <c r="G759" s="495" t="s">
        <v>1551</v>
      </c>
      <c r="H759" s="495" t="s">
        <v>1544</v>
      </c>
      <c r="I759" s="501"/>
      <c r="J759" s="229" t="str">
        <f t="shared" si="11"/>
        <v>13</v>
      </c>
    </row>
    <row r="760" spans="1:10" ht="15.75" hidden="1">
      <c r="A760" s="495">
        <v>24</v>
      </c>
      <c r="B760" s="495" t="s">
        <v>1026</v>
      </c>
      <c r="C760" s="496" t="s">
        <v>1027</v>
      </c>
      <c r="D760" s="497" t="s">
        <v>1028</v>
      </c>
      <c r="E760" s="495" t="s">
        <v>2169</v>
      </c>
      <c r="F760" s="495" t="s">
        <v>850</v>
      </c>
      <c r="G760" s="495" t="s">
        <v>1551</v>
      </c>
      <c r="H760" s="495" t="s">
        <v>1544</v>
      </c>
      <c r="I760" s="501"/>
      <c r="J760" s="229" t="str">
        <f t="shared" si="11"/>
        <v>13</v>
      </c>
    </row>
    <row r="761" spans="1:10" ht="15.75" hidden="1">
      <c r="A761" s="495">
        <v>25</v>
      </c>
      <c r="B761" s="495" t="s">
        <v>1029</v>
      </c>
      <c r="C761" s="496" t="s">
        <v>1030</v>
      </c>
      <c r="D761" s="497" t="s">
        <v>1452</v>
      </c>
      <c r="E761" s="495" t="s">
        <v>1685</v>
      </c>
      <c r="F761" s="495" t="s">
        <v>850</v>
      </c>
      <c r="G761" s="495" t="s">
        <v>1551</v>
      </c>
      <c r="H761" s="495" t="s">
        <v>851</v>
      </c>
      <c r="I761" s="501"/>
      <c r="J761" s="229" t="str">
        <f t="shared" si="11"/>
        <v>13</v>
      </c>
    </row>
    <row r="762" spans="1:10" ht="15.75" hidden="1">
      <c r="A762" s="495">
        <v>26</v>
      </c>
      <c r="B762" s="495" t="s">
        <v>1031</v>
      </c>
      <c r="C762" s="496" t="s">
        <v>460</v>
      </c>
      <c r="D762" s="497" t="s">
        <v>580</v>
      </c>
      <c r="E762" s="495" t="s">
        <v>1032</v>
      </c>
      <c r="F762" s="495" t="s">
        <v>850</v>
      </c>
      <c r="G762" s="495" t="s">
        <v>1551</v>
      </c>
      <c r="H762" s="495" t="s">
        <v>1544</v>
      </c>
      <c r="I762" s="501"/>
      <c r="J762" s="229" t="str">
        <f t="shared" si="11"/>
        <v>13</v>
      </c>
    </row>
    <row r="763" spans="1:10" ht="15.75" hidden="1">
      <c r="A763" s="495">
        <v>27</v>
      </c>
      <c r="B763" s="495" t="s">
        <v>1033</v>
      </c>
      <c r="C763" s="496" t="s">
        <v>1034</v>
      </c>
      <c r="D763" s="497" t="s">
        <v>1637</v>
      </c>
      <c r="E763" s="495" t="s">
        <v>2687</v>
      </c>
      <c r="F763" s="495" t="s">
        <v>850</v>
      </c>
      <c r="G763" s="495" t="s">
        <v>1551</v>
      </c>
      <c r="H763" s="495" t="s">
        <v>1544</v>
      </c>
      <c r="I763" s="501"/>
      <c r="J763" s="229" t="str">
        <f t="shared" si="11"/>
        <v>13</v>
      </c>
    </row>
    <row r="764" spans="1:10" ht="15.75" hidden="1">
      <c r="A764" s="495">
        <v>28</v>
      </c>
      <c r="B764" s="495" t="s">
        <v>1035</v>
      </c>
      <c r="C764" s="496" t="s">
        <v>1036</v>
      </c>
      <c r="D764" s="497" t="s">
        <v>1037</v>
      </c>
      <c r="E764" s="495" t="s">
        <v>1038</v>
      </c>
      <c r="F764" s="495" t="s">
        <v>850</v>
      </c>
      <c r="G764" s="495" t="s">
        <v>1551</v>
      </c>
      <c r="H764" s="495" t="s">
        <v>1544</v>
      </c>
      <c r="I764" s="501"/>
      <c r="J764" s="229" t="str">
        <f t="shared" si="11"/>
        <v>13</v>
      </c>
    </row>
    <row r="765" spans="1:10" ht="15.75" hidden="1">
      <c r="A765" s="495">
        <v>29</v>
      </c>
      <c r="B765" s="495" t="s">
        <v>1039</v>
      </c>
      <c r="C765" s="496" t="s">
        <v>1040</v>
      </c>
      <c r="D765" s="497" t="s">
        <v>1041</v>
      </c>
      <c r="E765" s="495" t="s">
        <v>2312</v>
      </c>
      <c r="F765" s="495" t="s">
        <v>850</v>
      </c>
      <c r="G765" s="495" t="s">
        <v>1551</v>
      </c>
      <c r="H765" s="495" t="s">
        <v>1544</v>
      </c>
      <c r="I765" s="501"/>
      <c r="J765" s="229" t="str">
        <f t="shared" si="11"/>
        <v>13</v>
      </c>
    </row>
    <row r="766" spans="1:10" ht="15.75" hidden="1">
      <c r="A766" s="495">
        <v>30</v>
      </c>
      <c r="B766" s="495" t="s">
        <v>1042</v>
      </c>
      <c r="C766" s="496" t="s">
        <v>1043</v>
      </c>
      <c r="D766" s="497" t="s">
        <v>1044</v>
      </c>
      <c r="E766" s="495" t="s">
        <v>665</v>
      </c>
      <c r="F766" s="495" t="s">
        <v>850</v>
      </c>
      <c r="G766" s="495" t="s">
        <v>1551</v>
      </c>
      <c r="H766" s="495" t="s">
        <v>1544</v>
      </c>
      <c r="I766" s="501"/>
      <c r="J766" s="229" t="str">
        <f t="shared" si="11"/>
        <v>13</v>
      </c>
    </row>
    <row r="767" spans="1:10" ht="15.75" hidden="1">
      <c r="A767" s="495">
        <v>31</v>
      </c>
      <c r="B767" s="495" t="s">
        <v>1045</v>
      </c>
      <c r="C767" s="496" t="s">
        <v>1046</v>
      </c>
      <c r="D767" s="497" t="s">
        <v>1044</v>
      </c>
      <c r="E767" s="495" t="s">
        <v>2218</v>
      </c>
      <c r="F767" s="495" t="s">
        <v>850</v>
      </c>
      <c r="G767" s="495" t="s">
        <v>1551</v>
      </c>
      <c r="H767" s="495" t="s">
        <v>1544</v>
      </c>
      <c r="I767" s="501"/>
      <c r="J767" s="229" t="str">
        <f t="shared" si="11"/>
        <v>13</v>
      </c>
    </row>
    <row r="768" spans="1:10" ht="15.75" hidden="1">
      <c r="A768" s="495">
        <v>32</v>
      </c>
      <c r="B768" s="495" t="s">
        <v>1047</v>
      </c>
      <c r="C768" s="496" t="s">
        <v>1048</v>
      </c>
      <c r="D768" s="497" t="s">
        <v>1460</v>
      </c>
      <c r="E768" s="495" t="s">
        <v>2683</v>
      </c>
      <c r="F768" s="495" t="s">
        <v>850</v>
      </c>
      <c r="G768" s="495" t="s">
        <v>1551</v>
      </c>
      <c r="H768" s="495" t="s">
        <v>1544</v>
      </c>
      <c r="I768" s="501"/>
      <c r="J768" s="229" t="str">
        <f t="shared" si="11"/>
        <v>13</v>
      </c>
    </row>
    <row r="769" spans="1:10" ht="15.75" hidden="1">
      <c r="A769" s="495">
        <v>33</v>
      </c>
      <c r="B769" s="495" t="s">
        <v>1049</v>
      </c>
      <c r="C769" s="496" t="s">
        <v>1050</v>
      </c>
      <c r="D769" s="497" t="s">
        <v>1051</v>
      </c>
      <c r="E769" s="495" t="s">
        <v>42</v>
      </c>
      <c r="F769" s="495" t="s">
        <v>850</v>
      </c>
      <c r="G769" s="495" t="s">
        <v>1551</v>
      </c>
      <c r="H769" s="495" t="s">
        <v>1544</v>
      </c>
      <c r="I769" s="501"/>
      <c r="J769" s="229" t="str">
        <f t="shared" si="11"/>
        <v>13</v>
      </c>
    </row>
    <row r="770" spans="1:10" ht="15.75" hidden="1">
      <c r="A770" s="495">
        <v>34</v>
      </c>
      <c r="B770" s="495" t="s">
        <v>1052</v>
      </c>
      <c r="C770" s="496" t="s">
        <v>400</v>
      </c>
      <c r="D770" s="497" t="s">
        <v>1782</v>
      </c>
      <c r="E770" s="495" t="s">
        <v>401</v>
      </c>
      <c r="F770" s="495" t="s">
        <v>850</v>
      </c>
      <c r="G770" s="495"/>
      <c r="H770" s="495" t="s">
        <v>851</v>
      </c>
      <c r="I770" s="501"/>
      <c r="J770" s="229" t="str">
        <f t="shared" si="11"/>
        <v>13</v>
      </c>
    </row>
    <row r="771" spans="1:10" ht="15.75" hidden="1">
      <c r="A771" s="495">
        <v>35</v>
      </c>
      <c r="B771" s="495" t="s">
        <v>1053</v>
      </c>
      <c r="C771" s="496" t="s">
        <v>1054</v>
      </c>
      <c r="D771" s="497" t="s">
        <v>2490</v>
      </c>
      <c r="E771" s="495" t="s">
        <v>2701</v>
      </c>
      <c r="F771" s="495" t="s">
        <v>850</v>
      </c>
      <c r="G771" s="495" t="s">
        <v>1551</v>
      </c>
      <c r="H771" s="495" t="s">
        <v>1544</v>
      </c>
      <c r="I771" s="501"/>
      <c r="J771" s="229" t="str">
        <f t="shared" ref="J771:J834" si="12">LEFT(F771,2)</f>
        <v>13</v>
      </c>
    </row>
    <row r="772" spans="1:10" ht="15.75" hidden="1">
      <c r="A772" s="495">
        <v>36</v>
      </c>
      <c r="B772" s="495" t="s">
        <v>1055</v>
      </c>
      <c r="C772" s="496" t="s">
        <v>1056</v>
      </c>
      <c r="D772" s="497" t="s">
        <v>1990</v>
      </c>
      <c r="E772" s="495" t="s">
        <v>2093</v>
      </c>
      <c r="F772" s="495" t="s">
        <v>850</v>
      </c>
      <c r="G772" s="495" t="s">
        <v>1551</v>
      </c>
      <c r="H772" s="495" t="s">
        <v>1544</v>
      </c>
      <c r="I772" s="501"/>
      <c r="J772" s="229" t="str">
        <f t="shared" si="12"/>
        <v>13</v>
      </c>
    </row>
    <row r="773" spans="1:10" ht="15.75" hidden="1">
      <c r="A773" s="495">
        <v>37</v>
      </c>
      <c r="B773" s="495" t="s">
        <v>1057</v>
      </c>
      <c r="C773" s="496" t="s">
        <v>1058</v>
      </c>
      <c r="D773" s="497" t="s">
        <v>1896</v>
      </c>
      <c r="E773" s="495" t="s">
        <v>1059</v>
      </c>
      <c r="F773" s="495" t="s">
        <v>850</v>
      </c>
      <c r="G773" s="495" t="s">
        <v>1551</v>
      </c>
      <c r="H773" s="495" t="s">
        <v>1544</v>
      </c>
      <c r="I773" s="501"/>
      <c r="J773" s="229" t="str">
        <f t="shared" si="12"/>
        <v>13</v>
      </c>
    </row>
    <row r="774" spans="1:10" ht="15.75" hidden="1">
      <c r="A774" s="495">
        <v>38</v>
      </c>
      <c r="B774" s="495" t="s">
        <v>1060</v>
      </c>
      <c r="C774" s="496" t="s">
        <v>1014</v>
      </c>
      <c r="D774" s="497" t="s">
        <v>1896</v>
      </c>
      <c r="E774" s="495" t="s">
        <v>1061</v>
      </c>
      <c r="F774" s="495" t="s">
        <v>850</v>
      </c>
      <c r="G774" s="495" t="s">
        <v>1551</v>
      </c>
      <c r="H774" s="495" t="s">
        <v>851</v>
      </c>
      <c r="I774" s="501"/>
      <c r="J774" s="229" t="str">
        <f t="shared" si="12"/>
        <v>13</v>
      </c>
    </row>
    <row r="775" spans="1:10" ht="15.75" hidden="1">
      <c r="A775" s="495">
        <v>39</v>
      </c>
      <c r="B775" s="495" t="s">
        <v>1062</v>
      </c>
      <c r="C775" s="496" t="s">
        <v>1063</v>
      </c>
      <c r="D775" s="497" t="s">
        <v>1896</v>
      </c>
      <c r="E775" s="495" t="s">
        <v>1059</v>
      </c>
      <c r="F775" s="495" t="s">
        <v>850</v>
      </c>
      <c r="G775" s="495" t="s">
        <v>1551</v>
      </c>
      <c r="H775" s="495" t="s">
        <v>1544</v>
      </c>
      <c r="I775" s="501"/>
      <c r="J775" s="229" t="str">
        <f t="shared" si="12"/>
        <v>13</v>
      </c>
    </row>
    <row r="776" spans="1:10" ht="15.75" hidden="1">
      <c r="A776" s="495">
        <v>40</v>
      </c>
      <c r="B776" s="495" t="s">
        <v>1064</v>
      </c>
      <c r="C776" s="496" t="s">
        <v>1065</v>
      </c>
      <c r="D776" s="497" t="s">
        <v>1896</v>
      </c>
      <c r="E776" s="495" t="s">
        <v>1066</v>
      </c>
      <c r="F776" s="495" t="s">
        <v>850</v>
      </c>
      <c r="G776" s="495" t="s">
        <v>1551</v>
      </c>
      <c r="H776" s="495" t="s">
        <v>1544</v>
      </c>
      <c r="I776" s="501"/>
      <c r="J776" s="229" t="str">
        <f t="shared" si="12"/>
        <v>13</v>
      </c>
    </row>
    <row r="777" spans="1:10" ht="15.75" hidden="1">
      <c r="A777" s="495">
        <v>41</v>
      </c>
      <c r="B777" s="495" t="s">
        <v>1067</v>
      </c>
      <c r="C777" s="496" t="s">
        <v>1068</v>
      </c>
      <c r="D777" s="497" t="s">
        <v>32</v>
      </c>
      <c r="E777" s="495" t="s">
        <v>2366</v>
      </c>
      <c r="F777" s="495" t="s">
        <v>850</v>
      </c>
      <c r="G777" s="495" t="s">
        <v>1551</v>
      </c>
      <c r="H777" s="495" t="s">
        <v>1544</v>
      </c>
      <c r="I777" s="501"/>
      <c r="J777" s="229" t="str">
        <f t="shared" si="12"/>
        <v>13</v>
      </c>
    </row>
    <row r="778" spans="1:10" ht="15.75" hidden="1">
      <c r="A778" s="495">
        <v>42</v>
      </c>
      <c r="B778" s="495" t="s">
        <v>1069</v>
      </c>
      <c r="C778" s="496" t="s">
        <v>1070</v>
      </c>
      <c r="D778" s="497" t="s">
        <v>517</v>
      </c>
      <c r="E778" s="495" t="s">
        <v>1845</v>
      </c>
      <c r="F778" s="495" t="s">
        <v>850</v>
      </c>
      <c r="G778" s="495" t="s">
        <v>1551</v>
      </c>
      <c r="H778" s="495" t="s">
        <v>1544</v>
      </c>
      <c r="I778" s="501"/>
      <c r="J778" s="229" t="str">
        <f t="shared" si="12"/>
        <v>13</v>
      </c>
    </row>
    <row r="779" spans="1:10" ht="15.75" hidden="1">
      <c r="A779" s="495">
        <v>43</v>
      </c>
      <c r="B779" s="495" t="s">
        <v>1071</v>
      </c>
      <c r="C779" s="496" t="s">
        <v>1860</v>
      </c>
      <c r="D779" s="497" t="s">
        <v>599</v>
      </c>
      <c r="E779" s="495" t="s">
        <v>2495</v>
      </c>
      <c r="F779" s="495" t="s">
        <v>850</v>
      </c>
      <c r="G779" s="495"/>
      <c r="H779" s="495" t="s">
        <v>1544</v>
      </c>
      <c r="I779" s="501"/>
      <c r="J779" s="229" t="str">
        <f t="shared" si="12"/>
        <v>13</v>
      </c>
    </row>
    <row r="780" spans="1:10" ht="15.75" hidden="1">
      <c r="A780" s="495">
        <v>44</v>
      </c>
      <c r="B780" s="495" t="s">
        <v>1072</v>
      </c>
      <c r="C780" s="496" t="s">
        <v>1073</v>
      </c>
      <c r="D780" s="497" t="s">
        <v>1074</v>
      </c>
      <c r="E780" s="495" t="s">
        <v>2417</v>
      </c>
      <c r="F780" s="495" t="s">
        <v>850</v>
      </c>
      <c r="G780" s="495" t="s">
        <v>1551</v>
      </c>
      <c r="H780" s="495" t="s">
        <v>1544</v>
      </c>
      <c r="I780" s="501"/>
      <c r="J780" s="229" t="str">
        <f t="shared" si="12"/>
        <v>13</v>
      </c>
    </row>
    <row r="781" spans="1:10" ht="15.75" hidden="1">
      <c r="A781" s="495">
        <v>45</v>
      </c>
      <c r="B781" s="495" t="s">
        <v>1075</v>
      </c>
      <c r="C781" s="496" t="s">
        <v>1076</v>
      </c>
      <c r="D781" s="497" t="s">
        <v>1904</v>
      </c>
      <c r="E781" s="495" t="s">
        <v>2213</v>
      </c>
      <c r="F781" s="495" t="s">
        <v>850</v>
      </c>
      <c r="G781" s="495" t="s">
        <v>1551</v>
      </c>
      <c r="H781" s="495" t="s">
        <v>1544</v>
      </c>
      <c r="I781" s="501"/>
      <c r="J781" s="229" t="str">
        <f t="shared" si="12"/>
        <v>13</v>
      </c>
    </row>
    <row r="782" spans="1:10" ht="15.75" hidden="1">
      <c r="A782" s="495">
        <v>46</v>
      </c>
      <c r="B782" s="495" t="s">
        <v>1077</v>
      </c>
      <c r="C782" s="496" t="s">
        <v>1078</v>
      </c>
      <c r="D782" s="497" t="s">
        <v>1079</v>
      </c>
      <c r="E782" s="495" t="s">
        <v>1080</v>
      </c>
      <c r="F782" s="495" t="s">
        <v>850</v>
      </c>
      <c r="G782" s="495" t="s">
        <v>1551</v>
      </c>
      <c r="H782" s="495" t="s">
        <v>1544</v>
      </c>
      <c r="I782" s="515" t="s">
        <v>856</v>
      </c>
      <c r="J782" s="229" t="str">
        <f t="shared" si="12"/>
        <v>13</v>
      </c>
    </row>
    <row r="783" spans="1:10" ht="15.75" hidden="1">
      <c r="A783" s="495">
        <v>47</v>
      </c>
      <c r="B783" s="495" t="s">
        <v>1081</v>
      </c>
      <c r="C783" s="496" t="s">
        <v>371</v>
      </c>
      <c r="D783" s="497" t="s">
        <v>1082</v>
      </c>
      <c r="E783" s="495" t="s">
        <v>2554</v>
      </c>
      <c r="F783" s="495" t="s">
        <v>850</v>
      </c>
      <c r="G783" s="495" t="s">
        <v>1551</v>
      </c>
      <c r="H783" s="495" t="s">
        <v>851</v>
      </c>
      <c r="I783" s="501"/>
      <c r="J783" s="229" t="str">
        <f t="shared" si="12"/>
        <v>13</v>
      </c>
    </row>
    <row r="784" spans="1:10" ht="15.75" hidden="1">
      <c r="A784" s="495">
        <v>48</v>
      </c>
      <c r="B784" s="495" t="s">
        <v>1083</v>
      </c>
      <c r="C784" s="496" t="s">
        <v>1084</v>
      </c>
      <c r="D784" s="497" t="s">
        <v>2331</v>
      </c>
      <c r="E784" s="495" t="s">
        <v>1085</v>
      </c>
      <c r="F784" s="495" t="s">
        <v>850</v>
      </c>
      <c r="G784" s="495" t="s">
        <v>1551</v>
      </c>
      <c r="H784" s="495" t="s">
        <v>1544</v>
      </c>
      <c r="I784" s="515" t="s">
        <v>856</v>
      </c>
      <c r="J784" s="229" t="str">
        <f t="shared" si="12"/>
        <v>13</v>
      </c>
    </row>
    <row r="785" spans="1:10" ht="15.75" hidden="1">
      <c r="A785" s="495">
        <v>49</v>
      </c>
      <c r="B785" s="495" t="s">
        <v>1086</v>
      </c>
      <c r="C785" s="496" t="s">
        <v>1087</v>
      </c>
      <c r="D785" s="497" t="s">
        <v>1088</v>
      </c>
      <c r="E785" s="495" t="s">
        <v>1951</v>
      </c>
      <c r="F785" s="495" t="s">
        <v>850</v>
      </c>
      <c r="G785" s="495" t="s">
        <v>1551</v>
      </c>
      <c r="H785" s="495" t="s">
        <v>1544</v>
      </c>
      <c r="I785" s="501"/>
      <c r="J785" s="229" t="str">
        <f t="shared" si="12"/>
        <v>13</v>
      </c>
    </row>
    <row r="786" spans="1:10" ht="15.75" hidden="1">
      <c r="A786" s="495">
        <v>50</v>
      </c>
      <c r="B786" s="495" t="s">
        <v>1089</v>
      </c>
      <c r="C786" s="496" t="s">
        <v>1090</v>
      </c>
      <c r="D786" s="497" t="s">
        <v>1088</v>
      </c>
      <c r="E786" s="495" t="s">
        <v>988</v>
      </c>
      <c r="F786" s="495" t="s">
        <v>850</v>
      </c>
      <c r="G786" s="495" t="s">
        <v>1551</v>
      </c>
      <c r="H786" s="495" t="s">
        <v>1544</v>
      </c>
      <c r="I786" s="501"/>
      <c r="J786" s="229" t="str">
        <f t="shared" si="12"/>
        <v>13</v>
      </c>
    </row>
    <row r="787" spans="1:10" ht="15.75" hidden="1">
      <c r="A787" s="495">
        <v>51</v>
      </c>
      <c r="B787" s="495" t="s">
        <v>1091</v>
      </c>
      <c r="C787" s="496" t="s">
        <v>993</v>
      </c>
      <c r="D787" s="497" t="s">
        <v>1092</v>
      </c>
      <c r="E787" s="495" t="s">
        <v>1978</v>
      </c>
      <c r="F787" s="495" t="s">
        <v>850</v>
      </c>
      <c r="G787" s="495" t="s">
        <v>1551</v>
      </c>
      <c r="H787" s="495" t="s">
        <v>1544</v>
      </c>
      <c r="I787" s="501"/>
      <c r="J787" s="229" t="str">
        <f t="shared" si="12"/>
        <v>13</v>
      </c>
    </row>
    <row r="788" spans="1:10" ht="15.75" hidden="1">
      <c r="A788" s="495">
        <v>52</v>
      </c>
      <c r="B788" s="495" t="s">
        <v>1093</v>
      </c>
      <c r="C788" s="496" t="s">
        <v>1094</v>
      </c>
      <c r="D788" s="497" t="s">
        <v>1092</v>
      </c>
      <c r="E788" s="495" t="s">
        <v>1095</v>
      </c>
      <c r="F788" s="495" t="s">
        <v>850</v>
      </c>
      <c r="G788" s="495" t="s">
        <v>1551</v>
      </c>
      <c r="H788" s="495" t="s">
        <v>1544</v>
      </c>
      <c r="I788" s="501"/>
      <c r="J788" s="229" t="str">
        <f t="shared" si="12"/>
        <v>13</v>
      </c>
    </row>
    <row r="789" spans="1:10" ht="15.75" hidden="1">
      <c r="A789" s="495">
        <v>53</v>
      </c>
      <c r="B789" s="495" t="s">
        <v>1096</v>
      </c>
      <c r="C789" s="496" t="s">
        <v>1097</v>
      </c>
      <c r="D789" s="497" t="s">
        <v>1098</v>
      </c>
      <c r="E789" s="495" t="s">
        <v>2251</v>
      </c>
      <c r="F789" s="495" t="s">
        <v>850</v>
      </c>
      <c r="G789" s="495" t="s">
        <v>1551</v>
      </c>
      <c r="H789" s="495" t="s">
        <v>851</v>
      </c>
      <c r="I789" s="501"/>
      <c r="J789" s="229" t="str">
        <f t="shared" si="12"/>
        <v>13</v>
      </c>
    </row>
    <row r="790" spans="1:10" ht="15.75" hidden="1">
      <c r="A790" s="495">
        <v>54</v>
      </c>
      <c r="B790" s="495" t="s">
        <v>1099</v>
      </c>
      <c r="C790" s="496" t="s">
        <v>1046</v>
      </c>
      <c r="D790" s="497" t="s">
        <v>1100</v>
      </c>
      <c r="E790" s="495" t="s">
        <v>2380</v>
      </c>
      <c r="F790" s="495" t="s">
        <v>850</v>
      </c>
      <c r="G790" s="495" t="s">
        <v>1551</v>
      </c>
      <c r="H790" s="495" t="s">
        <v>1544</v>
      </c>
      <c r="I790" s="501"/>
      <c r="J790" s="229" t="str">
        <f t="shared" si="12"/>
        <v>13</v>
      </c>
    </row>
    <row r="791" spans="1:10" ht="15.75" hidden="1">
      <c r="A791" s="495">
        <v>55</v>
      </c>
      <c r="B791" s="495" t="s">
        <v>1102</v>
      </c>
      <c r="C791" s="496" t="s">
        <v>1103</v>
      </c>
      <c r="D791" s="497" t="s">
        <v>1101</v>
      </c>
      <c r="E791" s="495" t="s">
        <v>273</v>
      </c>
      <c r="F791" s="495" t="s">
        <v>850</v>
      </c>
      <c r="G791" s="495" t="s">
        <v>1551</v>
      </c>
      <c r="H791" s="495" t="s">
        <v>1544</v>
      </c>
      <c r="I791" s="501"/>
      <c r="J791" s="229" t="str">
        <f t="shared" si="12"/>
        <v>13</v>
      </c>
    </row>
    <row r="792" spans="1:10" ht="15.75" hidden="1">
      <c r="A792" s="495">
        <v>56</v>
      </c>
      <c r="B792" s="495" t="s">
        <v>1104</v>
      </c>
      <c r="C792" s="496" t="s">
        <v>1105</v>
      </c>
      <c r="D792" s="497" t="s">
        <v>1923</v>
      </c>
      <c r="E792" s="495" t="s">
        <v>755</v>
      </c>
      <c r="F792" s="495" t="s">
        <v>850</v>
      </c>
      <c r="G792" s="495" t="s">
        <v>1551</v>
      </c>
      <c r="H792" s="495" t="s">
        <v>1544</v>
      </c>
      <c r="I792" s="501"/>
      <c r="J792" s="229" t="str">
        <f t="shared" si="12"/>
        <v>13</v>
      </c>
    </row>
    <row r="793" spans="1:10" ht="15.75" hidden="1">
      <c r="A793" s="495">
        <v>57</v>
      </c>
      <c r="B793" s="495" t="s">
        <v>1106</v>
      </c>
      <c r="C793" s="496" t="s">
        <v>1107</v>
      </c>
      <c r="D793" s="497" t="s">
        <v>2348</v>
      </c>
      <c r="E793" s="495" t="s">
        <v>2041</v>
      </c>
      <c r="F793" s="495" t="s">
        <v>850</v>
      </c>
      <c r="G793" s="495" t="s">
        <v>1551</v>
      </c>
      <c r="H793" s="495" t="s">
        <v>1544</v>
      </c>
      <c r="I793" s="501"/>
      <c r="J793" s="229" t="str">
        <f t="shared" si="12"/>
        <v>13</v>
      </c>
    </row>
    <row r="794" spans="1:10" ht="15.75" hidden="1">
      <c r="A794" s="495">
        <v>1</v>
      </c>
      <c r="B794" s="495" t="s">
        <v>1108</v>
      </c>
      <c r="C794" s="496" t="s">
        <v>1109</v>
      </c>
      <c r="D794" s="497" t="s">
        <v>2249</v>
      </c>
      <c r="E794" s="495" t="s">
        <v>1719</v>
      </c>
      <c r="F794" s="495" t="s">
        <v>1110</v>
      </c>
      <c r="G794" s="495" t="s">
        <v>1642</v>
      </c>
      <c r="H794" s="495" t="s">
        <v>851</v>
      </c>
      <c r="I794" s="501"/>
      <c r="J794" s="229" t="str">
        <f t="shared" si="12"/>
        <v>13</v>
      </c>
    </row>
    <row r="795" spans="1:10" ht="15.75" hidden="1">
      <c r="A795" s="495">
        <v>2</v>
      </c>
      <c r="B795" s="495" t="s">
        <v>1225</v>
      </c>
      <c r="C795" s="496" t="s">
        <v>1435</v>
      </c>
      <c r="D795" s="497" t="s">
        <v>1929</v>
      </c>
      <c r="E795" s="495" t="s">
        <v>2098</v>
      </c>
      <c r="F795" s="495" t="s">
        <v>1110</v>
      </c>
      <c r="G795" s="495"/>
      <c r="H795" s="495" t="s">
        <v>851</v>
      </c>
      <c r="I795" s="501" t="s">
        <v>912</v>
      </c>
      <c r="J795" s="229" t="str">
        <f t="shared" si="12"/>
        <v>13</v>
      </c>
    </row>
    <row r="796" spans="1:10" ht="15.75" hidden="1">
      <c r="A796" s="495">
        <v>3</v>
      </c>
      <c r="B796" s="495" t="s">
        <v>1111</v>
      </c>
      <c r="C796" s="496" t="s">
        <v>1435</v>
      </c>
      <c r="D796" s="497" t="s">
        <v>1712</v>
      </c>
      <c r="E796" s="495" t="s">
        <v>1112</v>
      </c>
      <c r="F796" s="495" t="s">
        <v>1110</v>
      </c>
      <c r="G796" s="495"/>
      <c r="H796" s="495" t="s">
        <v>1544</v>
      </c>
      <c r="I796" s="501"/>
      <c r="J796" s="229" t="str">
        <f t="shared" si="12"/>
        <v>13</v>
      </c>
    </row>
    <row r="797" spans="1:10" ht="15.75" hidden="1">
      <c r="A797" s="495">
        <v>4</v>
      </c>
      <c r="B797" s="495" t="s">
        <v>1228</v>
      </c>
      <c r="C797" s="496" t="s">
        <v>1050</v>
      </c>
      <c r="D797" s="497" t="s">
        <v>1547</v>
      </c>
      <c r="E797" s="495" t="s">
        <v>1641</v>
      </c>
      <c r="F797" s="495" t="s">
        <v>1110</v>
      </c>
      <c r="G797" s="495" t="s">
        <v>1551</v>
      </c>
      <c r="H797" s="495" t="s">
        <v>1544</v>
      </c>
      <c r="I797" s="501" t="s">
        <v>913</v>
      </c>
      <c r="J797" s="229" t="str">
        <f t="shared" si="12"/>
        <v>13</v>
      </c>
    </row>
    <row r="798" spans="1:10" ht="15.75" hidden="1">
      <c r="A798" s="495">
        <v>5</v>
      </c>
      <c r="B798" s="495" t="s">
        <v>1113</v>
      </c>
      <c r="C798" s="496" t="s">
        <v>1114</v>
      </c>
      <c r="D798" s="497" t="s">
        <v>63</v>
      </c>
      <c r="E798" s="495">
        <v>1994</v>
      </c>
      <c r="F798" s="495" t="s">
        <v>1110</v>
      </c>
      <c r="G798" s="495" t="s">
        <v>1167</v>
      </c>
      <c r="H798" s="495" t="s">
        <v>1544</v>
      </c>
      <c r="I798" s="501"/>
      <c r="J798" s="229" t="str">
        <f t="shared" si="12"/>
        <v>13</v>
      </c>
    </row>
    <row r="799" spans="1:10" ht="15.75" hidden="1">
      <c r="A799" s="495">
        <v>6</v>
      </c>
      <c r="B799" s="495" t="s">
        <v>1230</v>
      </c>
      <c r="C799" s="496" t="s">
        <v>1231</v>
      </c>
      <c r="D799" s="497" t="s">
        <v>1558</v>
      </c>
      <c r="E799" s="495" t="s">
        <v>396</v>
      </c>
      <c r="F799" s="495" t="s">
        <v>1110</v>
      </c>
      <c r="G799" s="495"/>
      <c r="H799" s="495" t="s">
        <v>1544</v>
      </c>
      <c r="I799" s="501" t="s">
        <v>912</v>
      </c>
      <c r="J799" s="229" t="str">
        <f t="shared" si="12"/>
        <v>13</v>
      </c>
    </row>
    <row r="800" spans="1:10" ht="15.75" hidden="1">
      <c r="A800" s="495">
        <v>7</v>
      </c>
      <c r="B800" s="495" t="s">
        <v>1115</v>
      </c>
      <c r="C800" s="496" t="s">
        <v>1116</v>
      </c>
      <c r="D800" s="497" t="s">
        <v>1558</v>
      </c>
      <c r="E800" s="495" t="s">
        <v>2524</v>
      </c>
      <c r="F800" s="495" t="s">
        <v>1110</v>
      </c>
      <c r="G800" s="495"/>
      <c r="H800" s="495" t="s">
        <v>1544</v>
      </c>
      <c r="I800" s="501"/>
      <c r="J800" s="229" t="str">
        <f t="shared" si="12"/>
        <v>13</v>
      </c>
    </row>
    <row r="801" spans="1:10" ht="15.75" hidden="1">
      <c r="A801" s="495">
        <v>8</v>
      </c>
      <c r="B801" s="495" t="s">
        <v>1232</v>
      </c>
      <c r="C801" s="496" t="s">
        <v>1233</v>
      </c>
      <c r="D801" s="497" t="s">
        <v>387</v>
      </c>
      <c r="E801" s="495" t="s">
        <v>211</v>
      </c>
      <c r="F801" s="495" t="s">
        <v>1110</v>
      </c>
      <c r="G801" s="495"/>
      <c r="H801" s="495" t="s">
        <v>1544</v>
      </c>
      <c r="I801" s="501" t="s">
        <v>912</v>
      </c>
      <c r="J801" s="229" t="str">
        <f t="shared" si="12"/>
        <v>13</v>
      </c>
    </row>
    <row r="802" spans="1:10" ht="15.75" hidden="1">
      <c r="A802" s="495">
        <v>9</v>
      </c>
      <c r="B802" s="495" t="s">
        <v>1117</v>
      </c>
      <c r="C802" s="496" t="s">
        <v>1118</v>
      </c>
      <c r="D802" s="497" t="s">
        <v>1566</v>
      </c>
      <c r="E802" s="495" t="s">
        <v>2428</v>
      </c>
      <c r="F802" s="495" t="s">
        <v>1110</v>
      </c>
      <c r="G802" s="495"/>
      <c r="H802" s="495" t="s">
        <v>851</v>
      </c>
      <c r="I802" s="502" t="s">
        <v>855</v>
      </c>
      <c r="J802" s="229" t="str">
        <f t="shared" si="12"/>
        <v>13</v>
      </c>
    </row>
    <row r="803" spans="1:10" ht="15.75" hidden="1">
      <c r="A803" s="495">
        <v>10</v>
      </c>
      <c r="B803" s="495" t="s">
        <v>1119</v>
      </c>
      <c r="C803" s="496" t="s">
        <v>1120</v>
      </c>
      <c r="D803" s="497" t="s">
        <v>1438</v>
      </c>
      <c r="E803" s="495" t="s">
        <v>1121</v>
      </c>
      <c r="F803" s="495" t="s">
        <v>1110</v>
      </c>
      <c r="G803" s="495"/>
      <c r="H803" s="495" t="s">
        <v>851</v>
      </c>
      <c r="I803" s="501"/>
      <c r="J803" s="229" t="str">
        <f t="shared" si="12"/>
        <v>13</v>
      </c>
    </row>
    <row r="804" spans="1:10" ht="15.75" hidden="1">
      <c r="A804" s="495">
        <v>11</v>
      </c>
      <c r="B804" s="495" t="s">
        <v>1122</v>
      </c>
      <c r="C804" s="496" t="s">
        <v>1123</v>
      </c>
      <c r="D804" s="497" t="s">
        <v>1440</v>
      </c>
      <c r="E804" s="495" t="s">
        <v>1949</v>
      </c>
      <c r="F804" s="495" t="s">
        <v>1110</v>
      </c>
      <c r="G804" s="495"/>
      <c r="H804" s="495" t="s">
        <v>1544</v>
      </c>
      <c r="I804" s="501"/>
      <c r="J804" s="229" t="str">
        <f t="shared" si="12"/>
        <v>13</v>
      </c>
    </row>
    <row r="805" spans="1:10" ht="15.75" hidden="1">
      <c r="A805" s="495">
        <v>12</v>
      </c>
      <c r="B805" s="495" t="s">
        <v>1124</v>
      </c>
      <c r="C805" s="496" t="s">
        <v>1125</v>
      </c>
      <c r="D805" s="497" t="s">
        <v>1839</v>
      </c>
      <c r="E805" s="495" t="s">
        <v>1126</v>
      </c>
      <c r="F805" s="495" t="s">
        <v>1110</v>
      </c>
      <c r="G805" s="495" t="s">
        <v>1551</v>
      </c>
      <c r="H805" s="495" t="s">
        <v>1544</v>
      </c>
      <c r="I805" s="501"/>
      <c r="J805" s="229" t="str">
        <f t="shared" si="12"/>
        <v>13</v>
      </c>
    </row>
    <row r="806" spans="1:10" ht="15.75" hidden="1">
      <c r="A806" s="495">
        <v>13</v>
      </c>
      <c r="B806" s="495" t="s">
        <v>1127</v>
      </c>
      <c r="C806" s="496" t="s">
        <v>1565</v>
      </c>
      <c r="D806" s="497" t="s">
        <v>1724</v>
      </c>
      <c r="E806" s="495" t="s">
        <v>2595</v>
      </c>
      <c r="F806" s="495" t="s">
        <v>1110</v>
      </c>
      <c r="G806" s="495"/>
      <c r="H806" s="495" t="s">
        <v>1544</v>
      </c>
      <c r="I806" s="501"/>
      <c r="J806" s="229" t="str">
        <f t="shared" si="12"/>
        <v>13</v>
      </c>
    </row>
    <row r="807" spans="1:10" ht="15.75" hidden="1">
      <c r="A807" s="495">
        <v>14</v>
      </c>
      <c r="B807" s="495" t="s">
        <v>1128</v>
      </c>
      <c r="C807" s="496" t="s">
        <v>2459</v>
      </c>
      <c r="D807" s="497" t="s">
        <v>1844</v>
      </c>
      <c r="E807" s="495" t="s">
        <v>797</v>
      </c>
      <c r="F807" s="495" t="s">
        <v>1110</v>
      </c>
      <c r="G807" s="495"/>
      <c r="H807" s="495" t="s">
        <v>1544</v>
      </c>
      <c r="I807" s="501"/>
      <c r="J807" s="229" t="str">
        <f t="shared" si="12"/>
        <v>13</v>
      </c>
    </row>
    <row r="808" spans="1:10" ht="15.75" hidden="1">
      <c r="A808" s="495">
        <v>15</v>
      </c>
      <c r="B808" s="495" t="s">
        <v>1234</v>
      </c>
      <c r="C808" s="496" t="s">
        <v>1235</v>
      </c>
      <c r="D808" s="497" t="s">
        <v>1844</v>
      </c>
      <c r="E808" s="495" t="s">
        <v>511</v>
      </c>
      <c r="F808" s="495" t="s">
        <v>1110</v>
      </c>
      <c r="G808" s="495"/>
      <c r="H808" s="495" t="s">
        <v>851</v>
      </c>
      <c r="I808" s="513" t="s">
        <v>1360</v>
      </c>
      <c r="J808" s="229" t="str">
        <f t="shared" si="12"/>
        <v>13</v>
      </c>
    </row>
    <row r="809" spans="1:10" ht="15.75" hidden="1">
      <c r="A809" s="495">
        <v>16</v>
      </c>
      <c r="B809" s="495" t="s">
        <v>1129</v>
      </c>
      <c r="C809" s="499" t="s">
        <v>1467</v>
      </c>
      <c r="D809" s="500" t="s">
        <v>1734</v>
      </c>
      <c r="E809" s="498" t="s">
        <v>142</v>
      </c>
      <c r="F809" s="495" t="s">
        <v>1110</v>
      </c>
      <c r="G809" s="498"/>
      <c r="H809" s="498" t="s">
        <v>1544</v>
      </c>
      <c r="I809" s="502"/>
      <c r="J809" s="229" t="str">
        <f t="shared" si="12"/>
        <v>13</v>
      </c>
    </row>
    <row r="810" spans="1:10" ht="15.75" hidden="1">
      <c r="A810" s="495">
        <v>17</v>
      </c>
      <c r="B810" s="495" t="s">
        <v>1130</v>
      </c>
      <c r="C810" s="496" t="s">
        <v>1131</v>
      </c>
      <c r="D810" s="497" t="s">
        <v>1585</v>
      </c>
      <c r="E810" s="495" t="s">
        <v>1132</v>
      </c>
      <c r="F810" s="495" t="s">
        <v>1110</v>
      </c>
      <c r="G810" s="495"/>
      <c r="H810" s="495" t="s">
        <v>1544</v>
      </c>
      <c r="I810" s="501"/>
      <c r="J810" s="229" t="str">
        <f t="shared" si="12"/>
        <v>13</v>
      </c>
    </row>
    <row r="811" spans="1:10" ht="15.75" hidden="1">
      <c r="A811" s="495">
        <v>18</v>
      </c>
      <c r="B811" s="495" t="s">
        <v>1133</v>
      </c>
      <c r="C811" s="496" t="s">
        <v>1134</v>
      </c>
      <c r="D811" s="497" t="s">
        <v>1617</v>
      </c>
      <c r="E811" s="495" t="s">
        <v>2467</v>
      </c>
      <c r="F811" s="495" t="s">
        <v>1110</v>
      </c>
      <c r="G811" s="495"/>
      <c r="H811" s="495" t="s">
        <v>851</v>
      </c>
      <c r="I811" s="501"/>
      <c r="J811" s="229" t="str">
        <f t="shared" si="12"/>
        <v>13</v>
      </c>
    </row>
    <row r="812" spans="1:10" ht="15.75" hidden="1">
      <c r="A812" s="495">
        <v>19</v>
      </c>
      <c r="B812" s="495" t="s">
        <v>1135</v>
      </c>
      <c r="C812" s="496" t="s">
        <v>1136</v>
      </c>
      <c r="D812" s="497" t="s">
        <v>1621</v>
      </c>
      <c r="E812" s="495" t="s">
        <v>648</v>
      </c>
      <c r="F812" s="495" t="s">
        <v>1110</v>
      </c>
      <c r="G812" s="495"/>
      <c r="H812" s="495" t="s">
        <v>851</v>
      </c>
      <c r="I812" s="515" t="s">
        <v>856</v>
      </c>
      <c r="J812" s="229" t="str">
        <f t="shared" si="12"/>
        <v>13</v>
      </c>
    </row>
    <row r="813" spans="1:10" ht="15.75" hidden="1">
      <c r="A813" s="495">
        <v>20</v>
      </c>
      <c r="B813" s="495" t="s">
        <v>1137</v>
      </c>
      <c r="C813" s="496" t="s">
        <v>1138</v>
      </c>
      <c r="D813" s="497" t="s">
        <v>1139</v>
      </c>
      <c r="E813" s="495" t="s">
        <v>1719</v>
      </c>
      <c r="F813" s="495" t="s">
        <v>1110</v>
      </c>
      <c r="G813" s="495"/>
      <c r="H813" s="495" t="s">
        <v>851</v>
      </c>
      <c r="I813" s="501"/>
      <c r="J813" s="229" t="str">
        <f t="shared" si="12"/>
        <v>13</v>
      </c>
    </row>
    <row r="814" spans="1:10" ht="15.75" hidden="1">
      <c r="A814" s="495">
        <v>21</v>
      </c>
      <c r="B814" s="495" t="s">
        <v>1140</v>
      </c>
      <c r="C814" s="496" t="s">
        <v>1141</v>
      </c>
      <c r="D814" s="497" t="s">
        <v>1142</v>
      </c>
      <c r="E814" s="495" t="s">
        <v>2366</v>
      </c>
      <c r="F814" s="495" t="s">
        <v>1110</v>
      </c>
      <c r="G814" s="495" t="s">
        <v>1551</v>
      </c>
      <c r="H814" s="495" t="s">
        <v>1544</v>
      </c>
      <c r="I814" s="501"/>
      <c r="J814" s="229" t="str">
        <f t="shared" si="12"/>
        <v>13</v>
      </c>
    </row>
    <row r="815" spans="1:10" ht="15.75" hidden="1">
      <c r="A815" s="495">
        <v>22</v>
      </c>
      <c r="B815" s="495" t="s">
        <v>1143</v>
      </c>
      <c r="C815" s="496" t="s">
        <v>1144</v>
      </c>
      <c r="D815" s="497" t="s">
        <v>2288</v>
      </c>
      <c r="E815" s="495" t="s">
        <v>575</v>
      </c>
      <c r="F815" s="495" t="s">
        <v>1110</v>
      </c>
      <c r="G815" s="495"/>
      <c r="H815" s="495" t="s">
        <v>1544</v>
      </c>
      <c r="I815" s="501"/>
      <c r="J815" s="229" t="str">
        <f t="shared" si="12"/>
        <v>13</v>
      </c>
    </row>
    <row r="816" spans="1:10" ht="15.75" hidden="1">
      <c r="A816" s="495">
        <v>23</v>
      </c>
      <c r="B816" s="495" t="s">
        <v>1145</v>
      </c>
      <c r="C816" s="496" t="s">
        <v>2210</v>
      </c>
      <c r="D816" s="497" t="s">
        <v>1631</v>
      </c>
      <c r="E816" s="495" t="s">
        <v>1146</v>
      </c>
      <c r="F816" s="495" t="s">
        <v>1110</v>
      </c>
      <c r="G816" s="495"/>
      <c r="H816" s="495" t="s">
        <v>1544</v>
      </c>
      <c r="I816" s="510"/>
      <c r="J816" s="229" t="str">
        <f t="shared" si="12"/>
        <v>13</v>
      </c>
    </row>
    <row r="817" spans="1:10" ht="15.75" hidden="1">
      <c r="A817" s="495">
        <v>24</v>
      </c>
      <c r="B817" s="495" t="s">
        <v>1147</v>
      </c>
      <c r="C817" s="496" t="s">
        <v>718</v>
      </c>
      <c r="D817" s="497" t="s">
        <v>1752</v>
      </c>
      <c r="E817" s="495" t="s">
        <v>1783</v>
      </c>
      <c r="F817" s="495" t="s">
        <v>1110</v>
      </c>
      <c r="G817" s="495"/>
      <c r="H817" s="495" t="s">
        <v>1544</v>
      </c>
      <c r="I817" s="501"/>
      <c r="J817" s="229" t="str">
        <f t="shared" si="12"/>
        <v>13</v>
      </c>
    </row>
    <row r="818" spans="1:10" ht="15.75" hidden="1">
      <c r="A818" s="495">
        <v>25</v>
      </c>
      <c r="B818" s="495" t="s">
        <v>1148</v>
      </c>
      <c r="C818" s="496" t="s">
        <v>1149</v>
      </c>
      <c r="D818" s="497" t="s">
        <v>1653</v>
      </c>
      <c r="E818" s="495" t="s">
        <v>1150</v>
      </c>
      <c r="F818" s="495" t="s">
        <v>1110</v>
      </c>
      <c r="G818" s="495"/>
      <c r="H818" s="495" t="s">
        <v>851</v>
      </c>
      <c r="I818" s="501"/>
      <c r="J818" s="229" t="str">
        <f t="shared" si="12"/>
        <v>13</v>
      </c>
    </row>
    <row r="819" spans="1:10" ht="15.75" hidden="1">
      <c r="A819" s="495">
        <v>26</v>
      </c>
      <c r="B819" s="495" t="s">
        <v>1151</v>
      </c>
      <c r="C819" s="496" t="s">
        <v>1876</v>
      </c>
      <c r="D819" s="497" t="s">
        <v>1460</v>
      </c>
      <c r="E819" s="495" t="s">
        <v>2359</v>
      </c>
      <c r="F819" s="495" t="s">
        <v>1110</v>
      </c>
      <c r="G819" s="495"/>
      <c r="H819" s="495" t="s">
        <v>1544</v>
      </c>
      <c r="I819" s="501"/>
      <c r="J819" s="229" t="str">
        <f t="shared" si="12"/>
        <v>13</v>
      </c>
    </row>
    <row r="820" spans="1:10" ht="15.75" hidden="1">
      <c r="A820" s="495">
        <v>27</v>
      </c>
      <c r="B820" s="495" t="s">
        <v>1152</v>
      </c>
      <c r="C820" s="496" t="s">
        <v>1153</v>
      </c>
      <c r="D820" s="497" t="s">
        <v>2565</v>
      </c>
      <c r="E820" s="495" t="s">
        <v>1154</v>
      </c>
      <c r="F820" s="495" t="s">
        <v>1110</v>
      </c>
      <c r="G820" s="495"/>
      <c r="H820" s="495" t="s">
        <v>1544</v>
      </c>
      <c r="I820" s="501"/>
      <c r="J820" s="229" t="str">
        <f t="shared" si="12"/>
        <v>13</v>
      </c>
    </row>
    <row r="821" spans="1:10" ht="15.75" hidden="1">
      <c r="A821" s="495">
        <v>28</v>
      </c>
      <c r="B821" s="495" t="s">
        <v>1155</v>
      </c>
      <c r="C821" s="496" t="s">
        <v>272</v>
      </c>
      <c r="D821" s="497" t="s">
        <v>2300</v>
      </c>
      <c r="E821" s="495" t="s">
        <v>1000</v>
      </c>
      <c r="F821" s="495" t="s">
        <v>1110</v>
      </c>
      <c r="G821" s="495"/>
      <c r="H821" s="495" t="s">
        <v>1544</v>
      </c>
      <c r="I821" s="515" t="s">
        <v>856</v>
      </c>
      <c r="J821" s="229" t="str">
        <f t="shared" si="12"/>
        <v>13</v>
      </c>
    </row>
    <row r="822" spans="1:10" ht="15.75" hidden="1">
      <c r="A822" s="495">
        <v>29</v>
      </c>
      <c r="B822" s="495" t="s">
        <v>1156</v>
      </c>
      <c r="C822" s="496" t="s">
        <v>1157</v>
      </c>
      <c r="D822" s="497" t="s">
        <v>19</v>
      </c>
      <c r="E822" s="495" t="s">
        <v>2261</v>
      </c>
      <c r="F822" s="495" t="s">
        <v>1110</v>
      </c>
      <c r="G822" s="495"/>
      <c r="H822" s="495" t="s">
        <v>851</v>
      </c>
      <c r="I822" s="501"/>
      <c r="J822" s="229" t="str">
        <f t="shared" si="12"/>
        <v>13</v>
      </c>
    </row>
    <row r="823" spans="1:10" ht="15.75" hidden="1">
      <c r="A823" s="495">
        <v>30</v>
      </c>
      <c r="B823" s="495" t="s">
        <v>1158</v>
      </c>
      <c r="C823" s="496" t="s">
        <v>1461</v>
      </c>
      <c r="D823" s="497" t="s">
        <v>1782</v>
      </c>
      <c r="E823" s="495" t="s">
        <v>1951</v>
      </c>
      <c r="F823" s="495" t="s">
        <v>1110</v>
      </c>
      <c r="G823" s="495"/>
      <c r="H823" s="495" t="s">
        <v>851</v>
      </c>
      <c r="I823" s="501"/>
      <c r="J823" s="229" t="str">
        <f t="shared" si="12"/>
        <v>13</v>
      </c>
    </row>
    <row r="824" spans="1:10" ht="15.75" hidden="1">
      <c r="A824" s="495">
        <v>31</v>
      </c>
      <c r="B824" s="495" t="s">
        <v>1241</v>
      </c>
      <c r="C824" s="496" t="s">
        <v>2461</v>
      </c>
      <c r="D824" s="497" t="s">
        <v>1466</v>
      </c>
      <c r="E824" s="495" t="s">
        <v>2627</v>
      </c>
      <c r="F824" s="495" t="s">
        <v>1110</v>
      </c>
      <c r="G824" s="495" t="s">
        <v>1551</v>
      </c>
      <c r="H824" s="495" t="s">
        <v>1544</v>
      </c>
      <c r="I824" s="501" t="s">
        <v>912</v>
      </c>
      <c r="J824" s="229" t="str">
        <f t="shared" si="12"/>
        <v>13</v>
      </c>
    </row>
    <row r="825" spans="1:10" ht="15.75" hidden="1">
      <c r="A825" s="495">
        <v>32</v>
      </c>
      <c r="B825" s="495" t="s">
        <v>1159</v>
      </c>
      <c r="C825" s="496" t="s">
        <v>1459</v>
      </c>
      <c r="D825" s="497" t="s">
        <v>1677</v>
      </c>
      <c r="E825" s="495" t="s">
        <v>665</v>
      </c>
      <c r="F825" s="495" t="s">
        <v>1110</v>
      </c>
      <c r="G825" s="495"/>
      <c r="H825" s="495" t="s">
        <v>851</v>
      </c>
      <c r="I825" s="501"/>
      <c r="J825" s="229" t="str">
        <f t="shared" si="12"/>
        <v>13</v>
      </c>
    </row>
    <row r="826" spans="1:10" ht="15.75" hidden="1">
      <c r="A826" s="495">
        <v>33</v>
      </c>
      <c r="B826" s="495" t="s">
        <v>1160</v>
      </c>
      <c r="C826" s="496" t="s">
        <v>1161</v>
      </c>
      <c r="D826" s="497" t="s">
        <v>1896</v>
      </c>
      <c r="E826" s="495" t="s">
        <v>1987</v>
      </c>
      <c r="F826" s="495" t="s">
        <v>1110</v>
      </c>
      <c r="G826" s="495" t="s">
        <v>1551</v>
      </c>
      <c r="H826" s="495" t="s">
        <v>1544</v>
      </c>
      <c r="I826" s="501"/>
      <c r="J826" s="229" t="str">
        <f t="shared" si="12"/>
        <v>13</v>
      </c>
    </row>
    <row r="827" spans="1:10" ht="15.75" hidden="1">
      <c r="A827" s="495">
        <v>34</v>
      </c>
      <c r="B827" s="495" t="s">
        <v>1162</v>
      </c>
      <c r="C827" s="496" t="s">
        <v>1439</v>
      </c>
      <c r="D827" s="497" t="s">
        <v>1474</v>
      </c>
      <c r="E827" s="495" t="s">
        <v>1163</v>
      </c>
      <c r="F827" s="495" t="s">
        <v>1110</v>
      </c>
      <c r="G827" s="495"/>
      <c r="H827" s="495" t="s">
        <v>1544</v>
      </c>
      <c r="I827" s="501"/>
      <c r="J827" s="229" t="str">
        <f t="shared" si="12"/>
        <v>13</v>
      </c>
    </row>
    <row r="828" spans="1:10" ht="15.75" hidden="1">
      <c r="A828" s="495">
        <v>35</v>
      </c>
      <c r="B828" s="495" t="s">
        <v>1164</v>
      </c>
      <c r="C828" s="496" t="s">
        <v>555</v>
      </c>
      <c r="D828" s="497" t="s">
        <v>1476</v>
      </c>
      <c r="E828" s="495" t="s">
        <v>2109</v>
      </c>
      <c r="F828" s="495" t="s">
        <v>1110</v>
      </c>
      <c r="G828" s="495"/>
      <c r="H828" s="495" t="s">
        <v>1544</v>
      </c>
      <c r="I828" s="501"/>
      <c r="J828" s="229" t="str">
        <f t="shared" si="12"/>
        <v>13</v>
      </c>
    </row>
    <row r="829" spans="1:10" ht="15.75" hidden="1">
      <c r="A829" s="495">
        <v>36</v>
      </c>
      <c r="B829" s="495" t="s">
        <v>1165</v>
      </c>
      <c r="C829" s="496" t="s">
        <v>1575</v>
      </c>
      <c r="D829" s="497" t="s">
        <v>1699</v>
      </c>
      <c r="E829" s="495" t="s">
        <v>2366</v>
      </c>
      <c r="F829" s="495" t="s">
        <v>1110</v>
      </c>
      <c r="G829" s="495"/>
      <c r="H829" s="495" t="s">
        <v>1544</v>
      </c>
      <c r="I829" s="501"/>
      <c r="J829" s="229" t="str">
        <f t="shared" si="12"/>
        <v>13</v>
      </c>
    </row>
    <row r="830" spans="1:10" ht="15.75" hidden="1">
      <c r="A830" s="495">
        <v>37</v>
      </c>
      <c r="B830" s="495" t="s">
        <v>1166</v>
      </c>
      <c r="C830" s="496" t="s">
        <v>2333</v>
      </c>
      <c r="D830" s="497" t="s">
        <v>1481</v>
      </c>
      <c r="E830" s="495" t="s">
        <v>223</v>
      </c>
      <c r="F830" s="495" t="s">
        <v>1110</v>
      </c>
      <c r="G830" s="495"/>
      <c r="H830" s="495" t="s">
        <v>851</v>
      </c>
      <c r="I830" s="501"/>
      <c r="J830" s="229" t="str">
        <f t="shared" si="12"/>
        <v>13</v>
      </c>
    </row>
    <row r="831" spans="1:10" ht="15.75" hidden="1">
      <c r="A831" s="495">
        <v>38</v>
      </c>
      <c r="B831" s="495" t="s">
        <v>1168</v>
      </c>
      <c r="C831" s="496" t="s">
        <v>1444</v>
      </c>
      <c r="D831" s="497" t="s">
        <v>1169</v>
      </c>
      <c r="E831" s="495" t="s">
        <v>1170</v>
      </c>
      <c r="F831" s="495" t="s">
        <v>1110</v>
      </c>
      <c r="G831" s="495"/>
      <c r="H831" s="495" t="s">
        <v>1544</v>
      </c>
      <c r="I831" s="501"/>
      <c r="J831" s="229" t="str">
        <f t="shared" si="12"/>
        <v>13</v>
      </c>
    </row>
    <row r="832" spans="1:10" ht="15.75" hidden="1">
      <c r="A832" s="495">
        <v>39</v>
      </c>
      <c r="B832" s="495" t="s">
        <v>1171</v>
      </c>
      <c r="C832" s="496" t="s">
        <v>1172</v>
      </c>
      <c r="D832" s="497" t="s">
        <v>1486</v>
      </c>
      <c r="E832" s="495" t="s">
        <v>1960</v>
      </c>
      <c r="F832" s="495" t="s">
        <v>1110</v>
      </c>
      <c r="G832" s="495"/>
      <c r="H832" s="495" t="s">
        <v>1544</v>
      </c>
      <c r="I832" s="501"/>
      <c r="J832" s="229" t="str">
        <f t="shared" si="12"/>
        <v>13</v>
      </c>
    </row>
    <row r="833" spans="1:10" ht="15.75" hidden="1">
      <c r="A833" s="495">
        <v>40</v>
      </c>
      <c r="B833" s="495" t="s">
        <v>1173</v>
      </c>
      <c r="C833" s="496" t="s">
        <v>1174</v>
      </c>
      <c r="D833" s="497" t="s">
        <v>1175</v>
      </c>
      <c r="E833" s="495" t="s">
        <v>1176</v>
      </c>
      <c r="F833" s="495" t="s">
        <v>1110</v>
      </c>
      <c r="G833" s="495" t="s">
        <v>1551</v>
      </c>
      <c r="H833" s="495" t="s">
        <v>851</v>
      </c>
      <c r="I833" s="501" t="s">
        <v>1630</v>
      </c>
      <c r="J833" s="229" t="str">
        <f t="shared" si="12"/>
        <v>13</v>
      </c>
    </row>
    <row r="834" spans="1:10" ht="15.75" hidden="1">
      <c r="A834" s="495">
        <v>41</v>
      </c>
      <c r="B834" s="498" t="s">
        <v>914</v>
      </c>
      <c r="C834" s="499" t="s">
        <v>1698</v>
      </c>
      <c r="D834" s="500" t="s">
        <v>1628</v>
      </c>
      <c r="E834" s="498" t="s">
        <v>1861</v>
      </c>
      <c r="F834" s="495" t="s">
        <v>1110</v>
      </c>
      <c r="G834" s="502" t="s">
        <v>858</v>
      </c>
      <c r="H834" s="498" t="s">
        <v>1544</v>
      </c>
      <c r="I834" s="517" t="s">
        <v>915</v>
      </c>
      <c r="J834" s="229" t="str">
        <f t="shared" si="12"/>
        <v>13</v>
      </c>
    </row>
    <row r="835" spans="1:10" ht="15.75" hidden="1">
      <c r="A835" s="495">
        <v>1</v>
      </c>
      <c r="B835" s="495" t="s">
        <v>1178</v>
      </c>
      <c r="C835" s="496" t="s">
        <v>1179</v>
      </c>
      <c r="D835" s="497" t="s">
        <v>1712</v>
      </c>
      <c r="E835" s="495" t="s">
        <v>1818</v>
      </c>
      <c r="F835" s="495" t="s">
        <v>1177</v>
      </c>
      <c r="G835" s="495"/>
      <c r="H835" s="495" t="s">
        <v>1544</v>
      </c>
      <c r="I835" s="502" t="s">
        <v>616</v>
      </c>
      <c r="J835" s="229" t="str">
        <f t="shared" ref="J835:J898" si="13">LEFT(F835,2)</f>
        <v>13</v>
      </c>
    </row>
    <row r="836" spans="1:10" ht="15.75" hidden="1">
      <c r="A836" s="495">
        <v>2</v>
      </c>
      <c r="B836" s="495" t="s">
        <v>1229</v>
      </c>
      <c r="C836" s="496" t="s">
        <v>1444</v>
      </c>
      <c r="D836" s="497" t="s">
        <v>1717</v>
      </c>
      <c r="E836" s="495" t="s">
        <v>1764</v>
      </c>
      <c r="F836" s="495" t="s">
        <v>1177</v>
      </c>
      <c r="G836" s="495"/>
      <c r="H836" s="495" t="s">
        <v>1544</v>
      </c>
      <c r="I836" s="501" t="s">
        <v>912</v>
      </c>
      <c r="J836" s="229" t="str">
        <f t="shared" si="13"/>
        <v>13</v>
      </c>
    </row>
    <row r="837" spans="1:10" ht="15.75" hidden="1">
      <c r="A837" s="495">
        <v>3</v>
      </c>
      <c r="B837" s="495" t="s">
        <v>1180</v>
      </c>
      <c r="C837" s="496" t="s">
        <v>1439</v>
      </c>
      <c r="D837" s="497" t="s">
        <v>387</v>
      </c>
      <c r="E837" s="495" t="s">
        <v>1924</v>
      </c>
      <c r="F837" s="495" t="s">
        <v>1177</v>
      </c>
      <c r="G837" s="495"/>
      <c r="H837" s="495" t="s">
        <v>1544</v>
      </c>
      <c r="I837" s="501"/>
      <c r="J837" s="229" t="str">
        <f t="shared" si="13"/>
        <v>13</v>
      </c>
    </row>
    <row r="838" spans="1:10" ht="15.75" hidden="1">
      <c r="A838" s="495">
        <v>4</v>
      </c>
      <c r="B838" s="495" t="s">
        <v>1181</v>
      </c>
      <c r="C838" s="496" t="s">
        <v>1182</v>
      </c>
      <c r="D838" s="497" t="s">
        <v>1566</v>
      </c>
      <c r="E838" s="495" t="s">
        <v>783</v>
      </c>
      <c r="F838" s="495" t="s">
        <v>1177</v>
      </c>
      <c r="G838" s="495"/>
      <c r="H838" s="495" t="s">
        <v>1544</v>
      </c>
      <c r="I838" s="502" t="s">
        <v>617</v>
      </c>
      <c r="J838" s="229" t="str">
        <f t="shared" si="13"/>
        <v>13</v>
      </c>
    </row>
    <row r="839" spans="1:10" ht="15.75" hidden="1">
      <c r="A839" s="495">
        <v>5</v>
      </c>
      <c r="B839" s="495" t="s">
        <v>1183</v>
      </c>
      <c r="C839" s="496" t="s">
        <v>1184</v>
      </c>
      <c r="D839" s="497" t="s">
        <v>1724</v>
      </c>
      <c r="E839" s="495" t="s">
        <v>1883</v>
      </c>
      <c r="F839" s="495" t="s">
        <v>1177</v>
      </c>
      <c r="G839" s="495" t="s">
        <v>1630</v>
      </c>
      <c r="H839" s="495" t="s">
        <v>1544</v>
      </c>
      <c r="I839" s="501"/>
      <c r="J839" s="229" t="str">
        <f t="shared" si="13"/>
        <v>13</v>
      </c>
    </row>
    <row r="840" spans="1:10" ht="15.75" hidden="1">
      <c r="A840" s="495">
        <v>6</v>
      </c>
      <c r="B840" s="495" t="s">
        <v>1185</v>
      </c>
      <c r="C840" s="496" t="s">
        <v>2161</v>
      </c>
      <c r="D840" s="497" t="s">
        <v>1186</v>
      </c>
      <c r="E840" s="495" t="s">
        <v>988</v>
      </c>
      <c r="F840" s="495" t="s">
        <v>1177</v>
      </c>
      <c r="G840" s="495"/>
      <c r="H840" s="495" t="s">
        <v>1544</v>
      </c>
      <c r="I840" s="501"/>
      <c r="J840" s="229" t="str">
        <f t="shared" si="13"/>
        <v>13</v>
      </c>
    </row>
    <row r="841" spans="1:10" ht="15.75" hidden="1">
      <c r="A841" s="495">
        <v>7</v>
      </c>
      <c r="B841" s="495" t="s">
        <v>1187</v>
      </c>
      <c r="C841" s="496" t="s">
        <v>16</v>
      </c>
      <c r="D841" s="497" t="s">
        <v>1970</v>
      </c>
      <c r="E841" s="495" t="s">
        <v>1188</v>
      </c>
      <c r="F841" s="495" t="s">
        <v>1177</v>
      </c>
      <c r="G841" s="495"/>
      <c r="H841" s="495" t="s">
        <v>1544</v>
      </c>
      <c r="I841" s="501"/>
      <c r="J841" s="229" t="str">
        <f t="shared" si="13"/>
        <v>13</v>
      </c>
    </row>
    <row r="842" spans="1:10" ht="15.75" hidden="1">
      <c r="A842" s="495">
        <v>8</v>
      </c>
      <c r="B842" s="495" t="s">
        <v>1189</v>
      </c>
      <c r="C842" s="496"/>
      <c r="D842" s="497" t="s">
        <v>1190</v>
      </c>
      <c r="E842" s="495" t="s">
        <v>267</v>
      </c>
      <c r="F842" s="495" t="s">
        <v>1177</v>
      </c>
      <c r="G842" s="495"/>
      <c r="H842" s="495" t="s">
        <v>1544</v>
      </c>
      <c r="I842" s="502" t="s">
        <v>865</v>
      </c>
      <c r="J842" s="229" t="str">
        <f t="shared" si="13"/>
        <v>13</v>
      </c>
    </row>
    <row r="843" spans="1:10" ht="15.75" hidden="1">
      <c r="A843" s="495">
        <v>9</v>
      </c>
      <c r="B843" s="495" t="s">
        <v>1191</v>
      </c>
      <c r="C843" s="496" t="s">
        <v>1192</v>
      </c>
      <c r="D843" s="497" t="s">
        <v>75</v>
      </c>
      <c r="E843" s="495" t="s">
        <v>1193</v>
      </c>
      <c r="F843" s="495" t="s">
        <v>1177</v>
      </c>
      <c r="G843" s="495"/>
      <c r="H843" s="495" t="s">
        <v>1544</v>
      </c>
      <c r="I843" s="501"/>
      <c r="J843" s="229" t="str">
        <f t="shared" si="13"/>
        <v>13</v>
      </c>
    </row>
    <row r="844" spans="1:10" ht="15.75" hidden="1">
      <c r="A844" s="495">
        <v>10</v>
      </c>
      <c r="B844" s="495" t="s">
        <v>1194</v>
      </c>
      <c r="C844" s="496" t="s">
        <v>1439</v>
      </c>
      <c r="D844" s="497" t="s">
        <v>2609</v>
      </c>
      <c r="E844" s="495" t="s">
        <v>456</v>
      </c>
      <c r="F844" s="495" t="s">
        <v>1177</v>
      </c>
      <c r="G844" s="495"/>
      <c r="H844" s="495" t="s">
        <v>1544</v>
      </c>
      <c r="I844" s="501"/>
      <c r="J844" s="229" t="str">
        <f t="shared" si="13"/>
        <v>13</v>
      </c>
    </row>
    <row r="845" spans="1:10" ht="15.75" hidden="1">
      <c r="A845" s="495">
        <v>11</v>
      </c>
      <c r="B845" s="495" t="s">
        <v>1195</v>
      </c>
      <c r="C845" s="496" t="s">
        <v>1196</v>
      </c>
      <c r="D845" s="497" t="s">
        <v>1621</v>
      </c>
      <c r="E845" s="495" t="s">
        <v>2346</v>
      </c>
      <c r="F845" s="495" t="s">
        <v>1177</v>
      </c>
      <c r="G845" s="495"/>
      <c r="H845" s="495" t="s">
        <v>1544</v>
      </c>
      <c r="I845" s="501"/>
      <c r="J845" s="229" t="str">
        <f t="shared" si="13"/>
        <v>13</v>
      </c>
    </row>
    <row r="846" spans="1:10" ht="15.75" hidden="1">
      <c r="A846" s="495">
        <v>12</v>
      </c>
      <c r="B846" s="495" t="s">
        <v>1197</v>
      </c>
      <c r="C846" s="496" t="s">
        <v>1708</v>
      </c>
      <c r="D846" s="497" t="s">
        <v>1198</v>
      </c>
      <c r="E846" s="495" t="s">
        <v>279</v>
      </c>
      <c r="F846" s="495" t="s">
        <v>1177</v>
      </c>
      <c r="G846" s="495" t="s">
        <v>1704</v>
      </c>
      <c r="H846" s="495" t="s">
        <v>851</v>
      </c>
      <c r="I846" s="501"/>
      <c r="J846" s="229" t="str">
        <f t="shared" si="13"/>
        <v>13</v>
      </c>
    </row>
    <row r="847" spans="1:10" ht="15.75" hidden="1">
      <c r="A847" s="495">
        <v>13</v>
      </c>
      <c r="B847" s="495" t="s">
        <v>1236</v>
      </c>
      <c r="C847" s="496" t="s">
        <v>1237</v>
      </c>
      <c r="D847" s="497" t="s">
        <v>1449</v>
      </c>
      <c r="E847" s="495" t="s">
        <v>1238</v>
      </c>
      <c r="F847" s="495" t="s">
        <v>1177</v>
      </c>
      <c r="G847" s="495"/>
      <c r="H847" s="495" t="s">
        <v>1544</v>
      </c>
      <c r="I847" s="502" t="s">
        <v>618</v>
      </c>
      <c r="J847" s="229" t="str">
        <f t="shared" si="13"/>
        <v>13</v>
      </c>
    </row>
    <row r="848" spans="1:10" ht="15.75" hidden="1">
      <c r="A848" s="495">
        <v>14</v>
      </c>
      <c r="B848" s="495" t="s">
        <v>1239</v>
      </c>
      <c r="C848" s="496" t="s">
        <v>1240</v>
      </c>
      <c r="D848" s="497" t="s">
        <v>1449</v>
      </c>
      <c r="E848" s="495" t="s">
        <v>2044</v>
      </c>
      <c r="F848" s="495" t="s">
        <v>1177</v>
      </c>
      <c r="G848" s="495"/>
      <c r="H848" s="495" t="s">
        <v>1544</v>
      </c>
      <c r="I848" s="501" t="s">
        <v>912</v>
      </c>
      <c r="J848" s="229" t="str">
        <f t="shared" si="13"/>
        <v>13</v>
      </c>
    </row>
    <row r="849" spans="1:10" ht="15.75" hidden="1">
      <c r="A849" s="495">
        <v>15</v>
      </c>
      <c r="B849" s="495" t="s">
        <v>1199</v>
      </c>
      <c r="C849" s="496" t="s">
        <v>1546</v>
      </c>
      <c r="D849" s="497" t="s">
        <v>2288</v>
      </c>
      <c r="E849" s="495" t="s">
        <v>2275</v>
      </c>
      <c r="F849" s="495" t="s">
        <v>1177</v>
      </c>
      <c r="G849" s="495"/>
      <c r="H849" s="495" t="s">
        <v>1544</v>
      </c>
      <c r="I849" s="501"/>
      <c r="J849" s="229" t="str">
        <f t="shared" si="13"/>
        <v>13</v>
      </c>
    </row>
    <row r="850" spans="1:10" ht="15.75" hidden="1">
      <c r="A850" s="495">
        <v>16</v>
      </c>
      <c r="B850" s="495" t="s">
        <v>1200</v>
      </c>
      <c r="C850" s="496" t="s">
        <v>2393</v>
      </c>
      <c r="D850" s="497" t="s">
        <v>1631</v>
      </c>
      <c r="E850" s="495" t="s">
        <v>1201</v>
      </c>
      <c r="F850" s="495" t="s">
        <v>1177</v>
      </c>
      <c r="G850" s="495" t="s">
        <v>1642</v>
      </c>
      <c r="H850" s="495" t="s">
        <v>1544</v>
      </c>
      <c r="I850" s="501"/>
      <c r="J850" s="229" t="str">
        <f t="shared" si="13"/>
        <v>13</v>
      </c>
    </row>
    <row r="851" spans="1:10" ht="15.75" hidden="1">
      <c r="A851" s="495">
        <v>17</v>
      </c>
      <c r="B851" s="495" t="s">
        <v>1202</v>
      </c>
      <c r="C851" s="496" t="s">
        <v>1203</v>
      </c>
      <c r="D851" s="497" t="s">
        <v>1637</v>
      </c>
      <c r="E851" s="495" t="s">
        <v>1204</v>
      </c>
      <c r="F851" s="495" t="s">
        <v>1177</v>
      </c>
      <c r="G851" s="495"/>
      <c r="H851" s="495" t="s">
        <v>1544</v>
      </c>
      <c r="I851" s="501"/>
      <c r="J851" s="229" t="str">
        <f t="shared" si="13"/>
        <v>13</v>
      </c>
    </row>
    <row r="852" spans="1:10" ht="15.75" hidden="1">
      <c r="A852" s="495">
        <v>18</v>
      </c>
      <c r="B852" s="495" t="s">
        <v>1205</v>
      </c>
      <c r="C852" s="496" t="s">
        <v>2161</v>
      </c>
      <c r="D852" s="497" t="s">
        <v>1645</v>
      </c>
      <c r="E852" s="495" t="s">
        <v>1206</v>
      </c>
      <c r="F852" s="495" t="s">
        <v>1177</v>
      </c>
      <c r="G852" s="495"/>
      <c r="H852" s="495" t="s">
        <v>1544</v>
      </c>
      <c r="I852" s="501"/>
      <c r="J852" s="229" t="str">
        <f t="shared" si="13"/>
        <v>13</v>
      </c>
    </row>
    <row r="853" spans="1:10" ht="15.75" hidden="1">
      <c r="A853" s="495">
        <v>19</v>
      </c>
      <c r="B853" s="495" t="s">
        <v>1207</v>
      </c>
      <c r="C853" s="496" t="s">
        <v>1208</v>
      </c>
      <c r="D853" s="497" t="s">
        <v>1645</v>
      </c>
      <c r="E853" s="495" t="s">
        <v>1209</v>
      </c>
      <c r="F853" s="495" t="s">
        <v>1177</v>
      </c>
      <c r="G853" s="495"/>
      <c r="H853" s="495" t="s">
        <v>1544</v>
      </c>
      <c r="I853" s="501"/>
      <c r="J853" s="229" t="str">
        <f t="shared" si="13"/>
        <v>13</v>
      </c>
    </row>
    <row r="854" spans="1:10" ht="15.75" hidden="1">
      <c r="A854" s="495">
        <v>20</v>
      </c>
      <c r="B854" s="495" t="s">
        <v>1210</v>
      </c>
      <c r="C854" s="496" t="s">
        <v>1211</v>
      </c>
      <c r="D854" s="497" t="s">
        <v>1649</v>
      </c>
      <c r="E854" s="495" t="s">
        <v>1962</v>
      </c>
      <c r="F854" s="495" t="s">
        <v>1177</v>
      </c>
      <c r="G854" s="495"/>
      <c r="H854" s="495" t="s">
        <v>851</v>
      </c>
      <c r="I854" s="502" t="s">
        <v>616</v>
      </c>
      <c r="J854" s="229" t="str">
        <f t="shared" si="13"/>
        <v>13</v>
      </c>
    </row>
    <row r="855" spans="1:10" ht="15.75" hidden="1">
      <c r="A855" s="495">
        <v>21</v>
      </c>
      <c r="B855" s="495" t="s">
        <v>1212</v>
      </c>
      <c r="C855" s="496" t="s">
        <v>1444</v>
      </c>
      <c r="D855" s="497" t="s">
        <v>1672</v>
      </c>
      <c r="E855" s="495" t="s">
        <v>1567</v>
      </c>
      <c r="F855" s="495" t="s">
        <v>1177</v>
      </c>
      <c r="G855" s="495"/>
      <c r="H855" s="495" t="s">
        <v>1544</v>
      </c>
      <c r="I855" s="501"/>
      <c r="J855" s="229" t="str">
        <f t="shared" si="13"/>
        <v>13</v>
      </c>
    </row>
    <row r="856" spans="1:10" ht="15.75" hidden="1">
      <c r="A856" s="495">
        <v>22</v>
      </c>
      <c r="B856" s="495" t="s">
        <v>1213</v>
      </c>
      <c r="C856" s="499" t="s">
        <v>1722</v>
      </c>
      <c r="D856" s="500" t="s">
        <v>1214</v>
      </c>
      <c r="E856" s="498" t="s">
        <v>1842</v>
      </c>
      <c r="F856" s="495" t="s">
        <v>1177</v>
      </c>
      <c r="G856" s="498"/>
      <c r="H856" s="498" t="s">
        <v>1544</v>
      </c>
      <c r="I856" s="502"/>
      <c r="J856" s="229" t="str">
        <f t="shared" si="13"/>
        <v>13</v>
      </c>
    </row>
    <row r="857" spans="1:10" ht="15.75" hidden="1">
      <c r="A857" s="495">
        <v>23</v>
      </c>
      <c r="B857" s="495" t="s">
        <v>1242</v>
      </c>
      <c r="C857" s="496" t="s">
        <v>1453</v>
      </c>
      <c r="D857" s="497" t="s">
        <v>2108</v>
      </c>
      <c r="E857" s="495" t="s">
        <v>1692</v>
      </c>
      <c r="F857" s="495" t="s">
        <v>1177</v>
      </c>
      <c r="G857" s="495"/>
      <c r="H857" s="495" t="s">
        <v>1544</v>
      </c>
      <c r="I857" s="501" t="s">
        <v>912</v>
      </c>
      <c r="J857" s="229" t="str">
        <f t="shared" si="13"/>
        <v>13</v>
      </c>
    </row>
    <row r="858" spans="1:10" ht="15.75" hidden="1">
      <c r="A858" s="495">
        <v>24</v>
      </c>
      <c r="B858" s="495" t="s">
        <v>1243</v>
      </c>
      <c r="C858" s="496" t="s">
        <v>1461</v>
      </c>
      <c r="D858" s="497" t="s">
        <v>2108</v>
      </c>
      <c r="E858" s="495" t="s">
        <v>1244</v>
      </c>
      <c r="F858" s="495" t="s">
        <v>1177</v>
      </c>
      <c r="G858" s="495"/>
      <c r="H858" s="495" t="s">
        <v>1544</v>
      </c>
      <c r="I858" s="501" t="s">
        <v>912</v>
      </c>
      <c r="J858" s="229" t="str">
        <f t="shared" si="13"/>
        <v>13</v>
      </c>
    </row>
    <row r="859" spans="1:10" ht="15.75" hidden="1">
      <c r="A859" s="495">
        <v>25</v>
      </c>
      <c r="B859" s="495" t="s">
        <v>1215</v>
      </c>
      <c r="C859" s="496" t="s">
        <v>1739</v>
      </c>
      <c r="D859" s="497" t="s">
        <v>1471</v>
      </c>
      <c r="E859" s="495" t="s">
        <v>2196</v>
      </c>
      <c r="F859" s="495" t="s">
        <v>1177</v>
      </c>
      <c r="G859" s="495"/>
      <c r="H859" s="495" t="s">
        <v>851</v>
      </c>
      <c r="I859" s="501"/>
      <c r="J859" s="229" t="str">
        <f t="shared" si="13"/>
        <v>13</v>
      </c>
    </row>
    <row r="860" spans="1:10" ht="15.75" hidden="1">
      <c r="A860" s="495">
        <v>26</v>
      </c>
      <c r="B860" s="495" t="s">
        <v>1245</v>
      </c>
      <c r="C860" s="496" t="s">
        <v>1549</v>
      </c>
      <c r="D860" s="497" t="s">
        <v>2503</v>
      </c>
      <c r="E860" s="495" t="s">
        <v>487</v>
      </c>
      <c r="F860" s="495" t="s">
        <v>1177</v>
      </c>
      <c r="G860" s="495"/>
      <c r="H860" s="495" t="s">
        <v>1544</v>
      </c>
      <c r="I860" s="502" t="s">
        <v>619</v>
      </c>
      <c r="J860" s="229" t="str">
        <f t="shared" si="13"/>
        <v>13</v>
      </c>
    </row>
    <row r="861" spans="1:10" ht="15.75" hidden="1">
      <c r="A861" s="495">
        <v>27</v>
      </c>
      <c r="B861" s="495" t="s">
        <v>1216</v>
      </c>
      <c r="C861" s="496" t="s">
        <v>1453</v>
      </c>
      <c r="D861" s="497" t="s">
        <v>1476</v>
      </c>
      <c r="E861" s="495" t="s">
        <v>2204</v>
      </c>
      <c r="F861" s="495" t="s">
        <v>1177</v>
      </c>
      <c r="G861" s="495"/>
      <c r="H861" s="495" t="s">
        <v>1544</v>
      </c>
      <c r="I861" s="501"/>
      <c r="J861" s="229" t="str">
        <f t="shared" si="13"/>
        <v>13</v>
      </c>
    </row>
    <row r="862" spans="1:10" ht="15.75" hidden="1">
      <c r="A862" s="495">
        <v>28</v>
      </c>
      <c r="B862" s="495" t="s">
        <v>1217</v>
      </c>
      <c r="C862" s="496" t="s">
        <v>1439</v>
      </c>
      <c r="D862" s="497" t="s">
        <v>1811</v>
      </c>
      <c r="E862" s="495" t="s">
        <v>649</v>
      </c>
      <c r="F862" s="495" t="s">
        <v>1177</v>
      </c>
      <c r="G862" s="495"/>
      <c r="H862" s="495" t="s">
        <v>1544</v>
      </c>
      <c r="I862" s="502" t="s">
        <v>617</v>
      </c>
      <c r="J862" s="229" t="str">
        <f t="shared" si="13"/>
        <v>13</v>
      </c>
    </row>
    <row r="863" spans="1:10" ht="15.75" hidden="1">
      <c r="A863" s="495">
        <v>29</v>
      </c>
      <c r="B863" s="495" t="s">
        <v>1219</v>
      </c>
      <c r="C863" s="496" t="s">
        <v>2432</v>
      </c>
      <c r="D863" s="497" t="s">
        <v>1100</v>
      </c>
      <c r="E863" s="495" t="s">
        <v>491</v>
      </c>
      <c r="F863" s="495" t="s">
        <v>1177</v>
      </c>
      <c r="G863" s="495"/>
      <c r="H863" s="495" t="s">
        <v>851</v>
      </c>
      <c r="I863" s="501"/>
      <c r="J863" s="229" t="str">
        <f t="shared" si="13"/>
        <v>13</v>
      </c>
    </row>
    <row r="864" spans="1:10" ht="15.75" hidden="1">
      <c r="A864" s="495">
        <v>30</v>
      </c>
      <c r="B864" s="495" t="s">
        <v>1247</v>
      </c>
      <c r="C864" s="496" t="s">
        <v>1248</v>
      </c>
      <c r="D864" s="497" t="s">
        <v>2512</v>
      </c>
      <c r="E864" s="495" t="s">
        <v>1188</v>
      </c>
      <c r="F864" s="495" t="s">
        <v>1177</v>
      </c>
      <c r="G864" s="495"/>
      <c r="H864" s="495" t="s">
        <v>1544</v>
      </c>
      <c r="I864" s="501" t="s">
        <v>912</v>
      </c>
      <c r="J864" s="229" t="str">
        <f t="shared" si="13"/>
        <v>13</v>
      </c>
    </row>
    <row r="865" spans="1:10" ht="15.75" hidden="1">
      <c r="A865" s="495">
        <v>31</v>
      </c>
      <c r="B865" s="495" t="s">
        <v>1220</v>
      </c>
      <c r="C865" s="496" t="s">
        <v>1221</v>
      </c>
      <c r="D865" s="497" t="s">
        <v>1222</v>
      </c>
      <c r="E865" s="495" t="s">
        <v>2218</v>
      </c>
      <c r="F865" s="495" t="s">
        <v>1177</v>
      </c>
      <c r="G865" s="495" t="s">
        <v>1551</v>
      </c>
      <c r="H865" s="495" t="s">
        <v>1544</v>
      </c>
      <c r="I865" s="501"/>
      <c r="J865" s="229" t="str">
        <f t="shared" si="13"/>
        <v>13</v>
      </c>
    </row>
    <row r="866" spans="1:10" ht="15.75" hidden="1">
      <c r="A866" s="495">
        <v>32</v>
      </c>
      <c r="B866" s="495" t="s">
        <v>1223</v>
      </c>
      <c r="C866" s="496" t="s">
        <v>1224</v>
      </c>
      <c r="D866" s="497" t="s">
        <v>2348</v>
      </c>
      <c r="E866" s="495" t="s">
        <v>2338</v>
      </c>
      <c r="F866" s="495" t="s">
        <v>1177</v>
      </c>
      <c r="G866" s="495" t="s">
        <v>1551</v>
      </c>
      <c r="H866" s="495" t="s">
        <v>1544</v>
      </c>
      <c r="I866" s="501"/>
      <c r="J866" s="229" t="str">
        <f t="shared" si="13"/>
        <v>13</v>
      </c>
    </row>
    <row r="867" spans="1:10" ht="15.75" hidden="1">
      <c r="A867" s="495">
        <v>33</v>
      </c>
      <c r="B867" s="498" t="s">
        <v>916</v>
      </c>
      <c r="C867" s="499" t="s">
        <v>1435</v>
      </c>
      <c r="D867" s="500" t="s">
        <v>1712</v>
      </c>
      <c r="E867" s="498" t="s">
        <v>1955</v>
      </c>
      <c r="F867" s="495" t="s">
        <v>1177</v>
      </c>
      <c r="G867" s="502" t="s">
        <v>858</v>
      </c>
      <c r="H867" s="498" t="s">
        <v>1544</v>
      </c>
      <c r="I867" s="514" t="s">
        <v>620</v>
      </c>
      <c r="J867" s="229" t="str">
        <f t="shared" si="13"/>
        <v>13</v>
      </c>
    </row>
    <row r="868" spans="1:10" ht="15.75" hidden="1">
      <c r="A868" s="495">
        <v>1</v>
      </c>
      <c r="B868" s="495" t="s">
        <v>1249</v>
      </c>
      <c r="C868" s="496" t="s">
        <v>1250</v>
      </c>
      <c r="D868" s="497" t="s">
        <v>1541</v>
      </c>
      <c r="E868" s="495" t="s">
        <v>1666</v>
      </c>
      <c r="F868" s="495" t="s">
        <v>1251</v>
      </c>
      <c r="G868" s="495"/>
      <c r="H868" s="495" t="s">
        <v>1544</v>
      </c>
      <c r="I868" s="515" t="s">
        <v>856</v>
      </c>
      <c r="J868" s="229" t="str">
        <f t="shared" si="13"/>
        <v>13</v>
      </c>
    </row>
    <row r="869" spans="1:10" ht="15.75" hidden="1">
      <c r="A869" s="495">
        <v>2</v>
      </c>
      <c r="B869" s="495" t="s">
        <v>1252</v>
      </c>
      <c r="C869" s="496" t="s">
        <v>1253</v>
      </c>
      <c r="D869" s="497" t="s">
        <v>2249</v>
      </c>
      <c r="E869" s="495" t="s">
        <v>1254</v>
      </c>
      <c r="F869" s="495" t="s">
        <v>1251</v>
      </c>
      <c r="G869" s="495"/>
      <c r="H869" s="495" t="s">
        <v>1544</v>
      </c>
      <c r="I869" s="501"/>
      <c r="J869" s="229" t="str">
        <f t="shared" si="13"/>
        <v>13</v>
      </c>
    </row>
    <row r="870" spans="1:10" ht="15.75" hidden="1">
      <c r="A870" s="495">
        <v>3</v>
      </c>
      <c r="B870" s="495" t="s">
        <v>1255</v>
      </c>
      <c r="C870" s="496" t="s">
        <v>1256</v>
      </c>
      <c r="D870" s="497" t="s">
        <v>1227</v>
      </c>
      <c r="E870" s="495" t="s">
        <v>134</v>
      </c>
      <c r="F870" s="495" t="s">
        <v>1251</v>
      </c>
      <c r="G870" s="495" t="s">
        <v>1551</v>
      </c>
      <c r="H870" s="495" t="s">
        <v>1544</v>
      </c>
      <c r="I870" s="501"/>
      <c r="J870" s="229" t="str">
        <f t="shared" si="13"/>
        <v>13</v>
      </c>
    </row>
    <row r="871" spans="1:10" ht="15.75" hidden="1">
      <c r="A871" s="495">
        <v>4</v>
      </c>
      <c r="B871" s="495" t="s">
        <v>1257</v>
      </c>
      <c r="C871" s="496" t="s">
        <v>1435</v>
      </c>
      <c r="D871" s="497" t="s">
        <v>1712</v>
      </c>
      <c r="E871" s="495" t="s">
        <v>2551</v>
      </c>
      <c r="F871" s="495" t="s">
        <v>1251</v>
      </c>
      <c r="G871" s="495"/>
      <c r="H871" s="495" t="s">
        <v>1544</v>
      </c>
      <c r="I871" s="501"/>
      <c r="J871" s="229" t="str">
        <f t="shared" si="13"/>
        <v>13</v>
      </c>
    </row>
    <row r="872" spans="1:10" ht="15.75" hidden="1">
      <c r="A872" s="495">
        <v>5</v>
      </c>
      <c r="B872" s="495" t="s">
        <v>1258</v>
      </c>
      <c r="C872" s="496" t="s">
        <v>970</v>
      </c>
      <c r="D872" s="497" t="s">
        <v>1259</v>
      </c>
      <c r="E872" s="495" t="s">
        <v>1260</v>
      </c>
      <c r="F872" s="495" t="s">
        <v>1251</v>
      </c>
      <c r="G872" s="495" t="s">
        <v>1551</v>
      </c>
      <c r="H872" s="495" t="s">
        <v>1544</v>
      </c>
      <c r="I872" s="501" t="s">
        <v>1630</v>
      </c>
      <c r="J872" s="229" t="str">
        <f t="shared" si="13"/>
        <v>13</v>
      </c>
    </row>
    <row r="873" spans="1:10" ht="15.75" hidden="1">
      <c r="A873" s="495">
        <v>6</v>
      </c>
      <c r="B873" s="495" t="s">
        <v>1261</v>
      </c>
      <c r="C873" s="496" t="s">
        <v>1262</v>
      </c>
      <c r="D873" s="497" t="s">
        <v>1720</v>
      </c>
      <c r="E873" s="495" t="s">
        <v>1218</v>
      </c>
      <c r="F873" s="495" t="s">
        <v>1251</v>
      </c>
      <c r="G873" s="495"/>
      <c r="H873" s="495" t="s">
        <v>1544</v>
      </c>
      <c r="I873" s="501"/>
      <c r="J873" s="229" t="str">
        <f t="shared" si="13"/>
        <v>13</v>
      </c>
    </row>
    <row r="874" spans="1:10" ht="15.75" hidden="1">
      <c r="A874" s="495">
        <v>7</v>
      </c>
      <c r="B874" s="495" t="s">
        <v>1263</v>
      </c>
      <c r="C874" s="496" t="s">
        <v>1264</v>
      </c>
      <c r="D874" s="497" t="s">
        <v>1720</v>
      </c>
      <c r="E874" s="495" t="s">
        <v>2657</v>
      </c>
      <c r="F874" s="495" t="s">
        <v>1251</v>
      </c>
      <c r="G874" s="495"/>
      <c r="H874" s="495" t="s">
        <v>1544</v>
      </c>
      <c r="I874" s="501" t="s">
        <v>917</v>
      </c>
      <c r="J874" s="229" t="str">
        <f t="shared" si="13"/>
        <v>13</v>
      </c>
    </row>
    <row r="875" spans="1:10" ht="15.75" hidden="1">
      <c r="A875" s="495">
        <v>8</v>
      </c>
      <c r="B875" s="495" t="s">
        <v>1265</v>
      </c>
      <c r="C875" s="496" t="s">
        <v>1266</v>
      </c>
      <c r="D875" s="497" t="s">
        <v>2377</v>
      </c>
      <c r="E875" s="495" t="s">
        <v>1267</v>
      </c>
      <c r="F875" s="495" t="s">
        <v>1251</v>
      </c>
      <c r="G875" s="495"/>
      <c r="H875" s="495" t="s">
        <v>1544</v>
      </c>
      <c r="I875" s="501"/>
      <c r="J875" s="229" t="str">
        <f t="shared" si="13"/>
        <v>13</v>
      </c>
    </row>
    <row r="876" spans="1:10" ht="15.75" hidden="1">
      <c r="A876" s="495">
        <v>9</v>
      </c>
      <c r="B876" s="495" t="s">
        <v>1268</v>
      </c>
      <c r="C876" s="496" t="s">
        <v>1742</v>
      </c>
      <c r="D876" s="497" t="s">
        <v>1566</v>
      </c>
      <c r="E876" s="495" t="s">
        <v>1951</v>
      </c>
      <c r="F876" s="495" t="s">
        <v>1251</v>
      </c>
      <c r="G876" s="495"/>
      <c r="H876" s="495" t="s">
        <v>1544</v>
      </c>
      <c r="I876" s="501"/>
      <c r="J876" s="229" t="str">
        <f t="shared" si="13"/>
        <v>13</v>
      </c>
    </row>
    <row r="877" spans="1:10" ht="15.75" hidden="1">
      <c r="A877" s="495">
        <v>10</v>
      </c>
      <c r="B877" s="495" t="s">
        <v>1269</v>
      </c>
      <c r="C877" s="496" t="s">
        <v>1270</v>
      </c>
      <c r="D877" s="497" t="s">
        <v>999</v>
      </c>
      <c r="E877" s="495" t="s">
        <v>2309</v>
      </c>
      <c r="F877" s="495" t="s">
        <v>1251</v>
      </c>
      <c r="G877" s="495" t="s">
        <v>1551</v>
      </c>
      <c r="H877" s="495" t="s">
        <v>1544</v>
      </c>
      <c r="I877" s="495"/>
      <c r="J877" s="229" t="str">
        <f t="shared" si="13"/>
        <v>13</v>
      </c>
    </row>
    <row r="878" spans="1:10" ht="15.75" hidden="1">
      <c r="A878" s="495">
        <v>11</v>
      </c>
      <c r="B878" s="495" t="s">
        <v>1271</v>
      </c>
      <c r="C878" s="496" t="s">
        <v>1272</v>
      </c>
      <c r="D878" s="497" t="s">
        <v>1273</v>
      </c>
      <c r="E878" s="495" t="s">
        <v>2468</v>
      </c>
      <c r="F878" s="495" t="s">
        <v>1251</v>
      </c>
      <c r="G878" s="495"/>
      <c r="H878" s="495" t="s">
        <v>851</v>
      </c>
      <c r="I878" s="515" t="s">
        <v>856</v>
      </c>
      <c r="J878" s="229" t="str">
        <f t="shared" si="13"/>
        <v>13</v>
      </c>
    </row>
    <row r="879" spans="1:10" ht="15.75" hidden="1">
      <c r="A879" s="495">
        <v>12</v>
      </c>
      <c r="B879" s="495" t="s">
        <v>1274</v>
      </c>
      <c r="C879" s="496" t="s">
        <v>1439</v>
      </c>
      <c r="D879" s="497" t="s">
        <v>1739</v>
      </c>
      <c r="E879" s="495" t="s">
        <v>1275</v>
      </c>
      <c r="F879" s="495" t="s">
        <v>1251</v>
      </c>
      <c r="G879" s="495"/>
      <c r="H879" s="495" t="s">
        <v>1544</v>
      </c>
      <c r="I879" s="502"/>
      <c r="J879" s="229" t="str">
        <f t="shared" si="13"/>
        <v>13</v>
      </c>
    </row>
    <row r="880" spans="1:10" ht="15.75" hidden="1">
      <c r="A880" s="495">
        <v>13</v>
      </c>
      <c r="B880" s="495" t="s">
        <v>1276</v>
      </c>
      <c r="C880" s="496" t="s">
        <v>1771</v>
      </c>
      <c r="D880" s="497" t="s">
        <v>1277</v>
      </c>
      <c r="E880" s="495" t="s">
        <v>808</v>
      </c>
      <c r="F880" s="495" t="s">
        <v>1251</v>
      </c>
      <c r="G880" s="495"/>
      <c r="H880" s="495" t="s">
        <v>851</v>
      </c>
      <c r="I880" s="501"/>
      <c r="J880" s="229" t="str">
        <f t="shared" si="13"/>
        <v>13</v>
      </c>
    </row>
    <row r="881" spans="1:10" ht="15.75" hidden="1">
      <c r="A881" s="495">
        <v>14</v>
      </c>
      <c r="B881" s="495" t="s">
        <v>1278</v>
      </c>
      <c r="C881" s="496" t="s">
        <v>1453</v>
      </c>
      <c r="D881" s="497" t="s">
        <v>1279</v>
      </c>
      <c r="E881" s="495" t="s">
        <v>1629</v>
      </c>
      <c r="F881" s="495" t="s">
        <v>1251</v>
      </c>
      <c r="G881" s="495"/>
      <c r="H881" s="495" t="s">
        <v>1544</v>
      </c>
      <c r="I881" s="501"/>
      <c r="J881" s="229" t="str">
        <f t="shared" si="13"/>
        <v>13</v>
      </c>
    </row>
    <row r="882" spans="1:10" ht="15.75" hidden="1">
      <c r="A882" s="495">
        <v>15</v>
      </c>
      <c r="B882" s="495" t="s">
        <v>1280</v>
      </c>
      <c r="C882" s="496" t="s">
        <v>821</v>
      </c>
      <c r="D882" s="497" t="s">
        <v>1626</v>
      </c>
      <c r="E882" s="495" t="s">
        <v>1877</v>
      </c>
      <c r="F882" s="495" t="s">
        <v>1251</v>
      </c>
      <c r="G882" s="495"/>
      <c r="H882" s="495" t="s">
        <v>1544</v>
      </c>
      <c r="I882" s="501"/>
      <c r="J882" s="229" t="str">
        <f t="shared" si="13"/>
        <v>13</v>
      </c>
    </row>
    <row r="883" spans="1:10" ht="15.75" hidden="1">
      <c r="A883" s="495">
        <v>16</v>
      </c>
      <c r="B883" s="495" t="s">
        <v>1281</v>
      </c>
      <c r="C883" s="496" t="s">
        <v>1282</v>
      </c>
      <c r="D883" s="497" t="s">
        <v>2288</v>
      </c>
      <c r="E883" s="495" t="s">
        <v>1868</v>
      </c>
      <c r="F883" s="495" t="s">
        <v>1251</v>
      </c>
      <c r="G883" s="495"/>
      <c r="H883" s="495" t="s">
        <v>851</v>
      </c>
      <c r="I883" s="501"/>
      <c r="J883" s="229" t="str">
        <f t="shared" si="13"/>
        <v>13</v>
      </c>
    </row>
    <row r="884" spans="1:10" ht="15.75" hidden="1">
      <c r="A884" s="495">
        <v>17</v>
      </c>
      <c r="B884" s="495" t="s">
        <v>1283</v>
      </c>
      <c r="C884" s="496" t="s">
        <v>1973</v>
      </c>
      <c r="D884" s="497" t="s">
        <v>2288</v>
      </c>
      <c r="E884" s="495" t="s">
        <v>2019</v>
      </c>
      <c r="F884" s="495" t="s">
        <v>1251</v>
      </c>
      <c r="G884" s="495"/>
      <c r="H884" s="495" t="s">
        <v>1544</v>
      </c>
      <c r="I884" s="501"/>
      <c r="J884" s="229" t="str">
        <f t="shared" si="13"/>
        <v>13</v>
      </c>
    </row>
    <row r="885" spans="1:10" ht="15.75" hidden="1">
      <c r="A885" s="495">
        <v>18</v>
      </c>
      <c r="B885" s="495" t="s">
        <v>1284</v>
      </c>
      <c r="C885" s="496" t="s">
        <v>1123</v>
      </c>
      <c r="D885" s="497" t="s">
        <v>1862</v>
      </c>
      <c r="E885" s="495" t="s">
        <v>1695</v>
      </c>
      <c r="F885" s="495" t="s">
        <v>1251</v>
      </c>
      <c r="G885" s="495"/>
      <c r="H885" s="495" t="s">
        <v>851</v>
      </c>
      <c r="I885" s="501"/>
      <c r="J885" s="229" t="str">
        <f t="shared" si="13"/>
        <v>13</v>
      </c>
    </row>
    <row r="886" spans="1:10" ht="15.75" hidden="1">
      <c r="A886" s="495">
        <v>19</v>
      </c>
      <c r="B886" s="495" t="s">
        <v>1285</v>
      </c>
      <c r="C886" s="496" t="s">
        <v>1453</v>
      </c>
      <c r="D886" s="497" t="s">
        <v>811</v>
      </c>
      <c r="E886" s="495" t="s">
        <v>1286</v>
      </c>
      <c r="F886" s="495" t="s">
        <v>1251</v>
      </c>
      <c r="G886" s="495"/>
      <c r="H886" s="495" t="s">
        <v>851</v>
      </c>
      <c r="I886" s="501" t="s">
        <v>918</v>
      </c>
      <c r="J886" s="229" t="str">
        <f t="shared" si="13"/>
        <v>13</v>
      </c>
    </row>
    <row r="887" spans="1:10" ht="15.75" hidden="1">
      <c r="A887" s="495">
        <v>20</v>
      </c>
      <c r="B887" s="495" t="s">
        <v>1287</v>
      </c>
      <c r="C887" s="496" t="s">
        <v>1973</v>
      </c>
      <c r="D887" s="497" t="s">
        <v>1631</v>
      </c>
      <c r="E887" s="495" t="s">
        <v>1288</v>
      </c>
      <c r="F887" s="495" t="s">
        <v>1251</v>
      </c>
      <c r="G887" s="495"/>
      <c r="H887" s="495" t="s">
        <v>1544</v>
      </c>
      <c r="I887" s="501"/>
      <c r="J887" s="229" t="str">
        <f t="shared" si="13"/>
        <v>13</v>
      </c>
    </row>
    <row r="888" spans="1:10" ht="15.75" hidden="1">
      <c r="A888" s="495">
        <v>21</v>
      </c>
      <c r="B888" s="495" t="s">
        <v>1289</v>
      </c>
      <c r="C888" s="496" t="s">
        <v>1290</v>
      </c>
      <c r="D888" s="497" t="s">
        <v>1635</v>
      </c>
      <c r="E888" s="495" t="s">
        <v>53</v>
      </c>
      <c r="F888" s="495" t="s">
        <v>1251</v>
      </c>
      <c r="G888" s="495"/>
      <c r="H888" s="495" t="s">
        <v>1544</v>
      </c>
      <c r="I888" s="501"/>
      <c r="J888" s="229" t="str">
        <f t="shared" si="13"/>
        <v>13</v>
      </c>
    </row>
    <row r="889" spans="1:10" ht="15.75" hidden="1">
      <c r="A889" s="495">
        <v>22</v>
      </c>
      <c r="B889" s="495" t="s">
        <v>1291</v>
      </c>
      <c r="C889" s="496" t="s">
        <v>1292</v>
      </c>
      <c r="D889" s="497" t="s">
        <v>1454</v>
      </c>
      <c r="E889" s="495" t="s">
        <v>988</v>
      </c>
      <c r="F889" s="495" t="s">
        <v>1251</v>
      </c>
      <c r="G889" s="495"/>
      <c r="H889" s="495" t="s">
        <v>851</v>
      </c>
      <c r="I889" s="501"/>
      <c r="J889" s="229" t="str">
        <f t="shared" si="13"/>
        <v>13</v>
      </c>
    </row>
    <row r="890" spans="1:10" ht="15.75" hidden="1">
      <c r="A890" s="495">
        <v>23</v>
      </c>
      <c r="B890" s="495" t="s">
        <v>1293</v>
      </c>
      <c r="C890" s="496" t="s">
        <v>1294</v>
      </c>
      <c r="D890" s="497" t="s">
        <v>1313</v>
      </c>
      <c r="E890" s="495" t="s">
        <v>1314</v>
      </c>
      <c r="F890" s="495" t="s">
        <v>1251</v>
      </c>
      <c r="G890" s="495" t="s">
        <v>1551</v>
      </c>
      <c r="H890" s="495" t="s">
        <v>1544</v>
      </c>
      <c r="I890" s="501"/>
      <c r="J890" s="229" t="str">
        <f t="shared" si="13"/>
        <v>13</v>
      </c>
    </row>
    <row r="891" spans="1:10" ht="15.75" hidden="1">
      <c r="A891" s="495">
        <v>24</v>
      </c>
      <c r="B891" s="495" t="s">
        <v>1315</v>
      </c>
      <c r="C891" s="496" t="s">
        <v>1316</v>
      </c>
      <c r="D891" s="497" t="s">
        <v>1037</v>
      </c>
      <c r="E891" s="495" t="s">
        <v>2090</v>
      </c>
      <c r="F891" s="495" t="s">
        <v>1251</v>
      </c>
      <c r="G891" s="495" t="s">
        <v>1551</v>
      </c>
      <c r="H891" s="495" t="s">
        <v>1544</v>
      </c>
      <c r="I891" s="501"/>
      <c r="J891" s="229" t="str">
        <f t="shared" si="13"/>
        <v>13</v>
      </c>
    </row>
    <row r="892" spans="1:10" ht="15.75" hidden="1">
      <c r="A892" s="495">
        <v>25</v>
      </c>
      <c r="B892" s="495" t="s">
        <v>1317</v>
      </c>
      <c r="C892" s="496" t="s">
        <v>287</v>
      </c>
      <c r="D892" s="497" t="s">
        <v>1318</v>
      </c>
      <c r="E892" s="495" t="s">
        <v>1695</v>
      </c>
      <c r="F892" s="495" t="s">
        <v>1251</v>
      </c>
      <c r="G892" s="495"/>
      <c r="H892" s="495" t="s">
        <v>851</v>
      </c>
      <c r="I892" s="501"/>
      <c r="J892" s="229" t="str">
        <f t="shared" si="13"/>
        <v>13</v>
      </c>
    </row>
    <row r="893" spans="1:10" ht="15.75" hidden="1">
      <c r="A893" s="495">
        <v>26</v>
      </c>
      <c r="B893" s="495" t="s">
        <v>1319</v>
      </c>
      <c r="C893" s="496" t="s">
        <v>2129</v>
      </c>
      <c r="D893" s="497" t="s">
        <v>1763</v>
      </c>
      <c r="E893" s="495" t="s">
        <v>2554</v>
      </c>
      <c r="F893" s="495" t="s">
        <v>1251</v>
      </c>
      <c r="G893" s="495"/>
      <c r="H893" s="495" t="s">
        <v>1544</v>
      </c>
      <c r="I893" s="501"/>
      <c r="J893" s="229" t="str">
        <f t="shared" si="13"/>
        <v>13</v>
      </c>
    </row>
    <row r="894" spans="1:10" ht="15.75" hidden="1">
      <c r="A894" s="495">
        <v>27</v>
      </c>
      <c r="B894" s="495" t="s">
        <v>1320</v>
      </c>
      <c r="C894" s="496" t="s">
        <v>1553</v>
      </c>
      <c r="D894" s="497" t="s">
        <v>1665</v>
      </c>
      <c r="E894" s="495" t="s">
        <v>1321</v>
      </c>
      <c r="F894" s="495" t="s">
        <v>1251</v>
      </c>
      <c r="G894" s="495" t="s">
        <v>1704</v>
      </c>
      <c r="H894" s="495" t="s">
        <v>1544</v>
      </c>
      <c r="I894" s="501"/>
      <c r="J894" s="229" t="str">
        <f t="shared" si="13"/>
        <v>13</v>
      </c>
    </row>
    <row r="895" spans="1:10" ht="15.75" hidden="1">
      <c r="A895" s="495">
        <v>28</v>
      </c>
      <c r="B895" s="495" t="s">
        <v>1322</v>
      </c>
      <c r="C895" s="496" t="s">
        <v>1430</v>
      </c>
      <c r="D895" s="497" t="s">
        <v>1468</v>
      </c>
      <c r="E895" s="495" t="s">
        <v>85</v>
      </c>
      <c r="F895" s="495" t="s">
        <v>1251</v>
      </c>
      <c r="G895" s="495"/>
      <c r="H895" s="495" t="s">
        <v>851</v>
      </c>
      <c r="I895" s="501" t="s">
        <v>892</v>
      </c>
      <c r="J895" s="229" t="str">
        <f t="shared" si="13"/>
        <v>13</v>
      </c>
    </row>
    <row r="896" spans="1:10" ht="15.75" hidden="1">
      <c r="A896" s="495">
        <v>29</v>
      </c>
      <c r="B896" s="498" t="s">
        <v>1323</v>
      </c>
      <c r="C896" s="499" t="s">
        <v>1874</v>
      </c>
      <c r="D896" s="500" t="s">
        <v>1324</v>
      </c>
      <c r="E896" s="498" t="s">
        <v>2434</v>
      </c>
      <c r="F896" s="498" t="s">
        <v>1251</v>
      </c>
      <c r="G896" s="498"/>
      <c r="H896" s="498" t="s">
        <v>1544</v>
      </c>
      <c r="I896" s="515"/>
      <c r="J896" s="229" t="str">
        <f t="shared" si="13"/>
        <v>13</v>
      </c>
    </row>
    <row r="897" spans="1:10" ht="15.75" hidden="1">
      <c r="A897" s="495">
        <v>30</v>
      </c>
      <c r="B897" s="495" t="s">
        <v>1325</v>
      </c>
      <c r="C897" s="496" t="s">
        <v>1326</v>
      </c>
      <c r="D897" s="497" t="s">
        <v>1990</v>
      </c>
      <c r="E897" s="495" t="s">
        <v>1275</v>
      </c>
      <c r="F897" s="495" t="s">
        <v>1251</v>
      </c>
      <c r="G897" s="495"/>
      <c r="H897" s="495" t="s">
        <v>1544</v>
      </c>
      <c r="I897" s="515" t="s">
        <v>856</v>
      </c>
      <c r="J897" s="229" t="str">
        <f t="shared" si="13"/>
        <v>13</v>
      </c>
    </row>
    <row r="898" spans="1:10" ht="15.75" hidden="1">
      <c r="A898" s="495">
        <v>31</v>
      </c>
      <c r="B898" s="495" t="s">
        <v>1327</v>
      </c>
      <c r="C898" s="496" t="s">
        <v>1328</v>
      </c>
      <c r="D898" s="497" t="s">
        <v>137</v>
      </c>
      <c r="E898" s="495" t="s">
        <v>1932</v>
      </c>
      <c r="F898" s="495" t="s">
        <v>1251</v>
      </c>
      <c r="G898" s="495" t="s">
        <v>1642</v>
      </c>
      <c r="H898" s="495" t="s">
        <v>851</v>
      </c>
      <c r="I898" s="501"/>
      <c r="J898" s="229" t="str">
        <f t="shared" si="13"/>
        <v>13</v>
      </c>
    </row>
    <row r="899" spans="1:10" ht="15.75" hidden="1">
      <c r="A899" s="495">
        <v>32</v>
      </c>
      <c r="B899" s="495" t="s">
        <v>1329</v>
      </c>
      <c r="C899" s="496" t="s">
        <v>2107</v>
      </c>
      <c r="D899" s="497" t="s">
        <v>1474</v>
      </c>
      <c r="E899" s="495" t="s">
        <v>2291</v>
      </c>
      <c r="F899" s="495" t="s">
        <v>1251</v>
      </c>
      <c r="G899" s="495"/>
      <c r="H899" s="495" t="s">
        <v>851</v>
      </c>
      <c r="I899" s="501"/>
      <c r="J899" s="229" t="str">
        <f t="shared" ref="J899:J944" si="14">LEFT(F899,2)</f>
        <v>13</v>
      </c>
    </row>
    <row r="900" spans="1:10" ht="15.75" hidden="1">
      <c r="A900" s="495">
        <v>33</v>
      </c>
      <c r="B900" s="495" t="s">
        <v>1330</v>
      </c>
      <c r="C900" s="496" t="s">
        <v>1331</v>
      </c>
      <c r="D900" s="497" t="s">
        <v>2117</v>
      </c>
      <c r="E900" s="495" t="s">
        <v>1332</v>
      </c>
      <c r="F900" s="495" t="s">
        <v>1251</v>
      </c>
      <c r="G900" s="495"/>
      <c r="H900" s="495" t="s">
        <v>851</v>
      </c>
      <c r="I900" s="501"/>
      <c r="J900" s="229" t="str">
        <f t="shared" si="14"/>
        <v>13</v>
      </c>
    </row>
    <row r="901" spans="1:10" ht="15.75" hidden="1">
      <c r="A901" s="495">
        <v>34</v>
      </c>
      <c r="B901" s="495" t="s">
        <v>1333</v>
      </c>
      <c r="C901" s="499" t="s">
        <v>1334</v>
      </c>
      <c r="D901" s="500" t="s">
        <v>2117</v>
      </c>
      <c r="E901" s="498" t="s">
        <v>474</v>
      </c>
      <c r="F901" s="495" t="s">
        <v>1251</v>
      </c>
      <c r="G901" s="498"/>
      <c r="H901" s="498" t="s">
        <v>1544</v>
      </c>
      <c r="I901" s="515"/>
      <c r="J901" s="229" t="str">
        <f t="shared" si="14"/>
        <v>13</v>
      </c>
    </row>
    <row r="902" spans="1:10" ht="15.75" hidden="1">
      <c r="A902" s="495">
        <v>35</v>
      </c>
      <c r="B902" s="495" t="s">
        <v>1335</v>
      </c>
      <c r="C902" s="496" t="s">
        <v>1336</v>
      </c>
      <c r="D902" s="497" t="s">
        <v>1483</v>
      </c>
      <c r="E902" s="495" t="s">
        <v>20</v>
      </c>
      <c r="F902" s="495" t="s">
        <v>1251</v>
      </c>
      <c r="G902" s="495"/>
      <c r="H902" s="495" t="s">
        <v>1544</v>
      </c>
      <c r="I902" s="501"/>
      <c r="J902" s="229" t="str">
        <f t="shared" si="14"/>
        <v>13</v>
      </c>
    </row>
    <row r="903" spans="1:10" ht="15.75" hidden="1">
      <c r="A903" s="495">
        <v>36</v>
      </c>
      <c r="B903" s="495" t="s">
        <v>1337</v>
      </c>
      <c r="C903" s="496" t="s">
        <v>1812</v>
      </c>
      <c r="D903" s="497" t="s">
        <v>1483</v>
      </c>
      <c r="E903" s="495" t="s">
        <v>1338</v>
      </c>
      <c r="F903" s="495" t="s">
        <v>1251</v>
      </c>
      <c r="G903" s="495"/>
      <c r="H903" s="495" t="s">
        <v>1544</v>
      </c>
      <c r="I903" s="501"/>
      <c r="J903" s="229" t="str">
        <f t="shared" si="14"/>
        <v>13</v>
      </c>
    </row>
    <row r="904" spans="1:10" ht="15.75" hidden="1">
      <c r="A904" s="495">
        <v>37</v>
      </c>
      <c r="B904" s="495" t="s">
        <v>1339</v>
      </c>
      <c r="C904" s="496" t="s">
        <v>1435</v>
      </c>
      <c r="D904" s="497" t="s">
        <v>1484</v>
      </c>
      <c r="E904" s="495" t="s">
        <v>545</v>
      </c>
      <c r="F904" s="495" t="s">
        <v>1251</v>
      </c>
      <c r="G904" s="495"/>
      <c r="H904" s="495" t="s">
        <v>1544</v>
      </c>
      <c r="I904" s="501"/>
      <c r="J904" s="229" t="str">
        <f t="shared" si="14"/>
        <v>13</v>
      </c>
    </row>
    <row r="905" spans="1:10" ht="15.75" hidden="1">
      <c r="A905" s="495">
        <v>38</v>
      </c>
      <c r="B905" s="495" t="s">
        <v>1340</v>
      </c>
      <c r="C905" s="496" t="s">
        <v>1341</v>
      </c>
      <c r="D905" s="497" t="s">
        <v>1100</v>
      </c>
      <c r="E905" s="495" t="s">
        <v>1275</v>
      </c>
      <c r="F905" s="495" t="s">
        <v>1251</v>
      </c>
      <c r="G905" s="495"/>
      <c r="H905" s="495" t="s">
        <v>1544</v>
      </c>
      <c r="I905" s="501"/>
      <c r="J905" s="229" t="str">
        <f t="shared" si="14"/>
        <v>13</v>
      </c>
    </row>
    <row r="906" spans="1:10" ht="15.75" hidden="1">
      <c r="A906" s="495">
        <v>39</v>
      </c>
      <c r="B906" s="498" t="s">
        <v>919</v>
      </c>
      <c r="C906" s="499" t="s">
        <v>920</v>
      </c>
      <c r="D906" s="500" t="s">
        <v>1724</v>
      </c>
      <c r="E906" s="498" t="s">
        <v>2044</v>
      </c>
      <c r="F906" s="495" t="s">
        <v>1251</v>
      </c>
      <c r="G906" s="502" t="s">
        <v>858</v>
      </c>
      <c r="H906" s="498" t="s">
        <v>1544</v>
      </c>
      <c r="I906" s="517" t="s">
        <v>921</v>
      </c>
      <c r="J906" s="229" t="str">
        <f t="shared" si="14"/>
        <v>13</v>
      </c>
    </row>
    <row r="907" spans="1:10" ht="15.75" hidden="1">
      <c r="A907" s="495">
        <v>1</v>
      </c>
      <c r="B907" s="495" t="s">
        <v>1343</v>
      </c>
      <c r="C907" s="496" t="s">
        <v>2028</v>
      </c>
      <c r="D907" s="497" t="s">
        <v>1720</v>
      </c>
      <c r="E907" s="495" t="s">
        <v>382</v>
      </c>
      <c r="F907" s="495" t="s">
        <v>1342</v>
      </c>
      <c r="G907" s="495"/>
      <c r="H907" s="495" t="s">
        <v>1544</v>
      </c>
      <c r="I907" s="501"/>
      <c r="J907" s="229" t="str">
        <f t="shared" si="14"/>
        <v>13</v>
      </c>
    </row>
    <row r="908" spans="1:10" ht="15.75" hidden="1">
      <c r="A908" s="495">
        <v>2</v>
      </c>
      <c r="B908" s="495" t="s">
        <v>1344</v>
      </c>
      <c r="C908" s="496" t="s">
        <v>2161</v>
      </c>
      <c r="D908" s="497" t="s">
        <v>1720</v>
      </c>
      <c r="E908" s="495" t="s">
        <v>242</v>
      </c>
      <c r="F908" s="495" t="s">
        <v>1342</v>
      </c>
      <c r="G908" s="495"/>
      <c r="H908" s="495" t="s">
        <v>1544</v>
      </c>
      <c r="I908" s="501"/>
      <c r="J908" s="229" t="str">
        <f t="shared" si="14"/>
        <v>13</v>
      </c>
    </row>
    <row r="909" spans="1:10" ht="15.75" hidden="1">
      <c r="A909" s="495">
        <v>3</v>
      </c>
      <c r="B909" s="495" t="s">
        <v>1345</v>
      </c>
      <c r="C909" s="496" t="s">
        <v>1346</v>
      </c>
      <c r="D909" s="497" t="s">
        <v>1720</v>
      </c>
      <c r="E909" s="495" t="s">
        <v>50</v>
      </c>
      <c r="F909" s="495" t="s">
        <v>1342</v>
      </c>
      <c r="G909" s="495"/>
      <c r="H909" s="495" t="s">
        <v>851</v>
      </c>
      <c r="I909" s="502" t="s">
        <v>616</v>
      </c>
      <c r="J909" s="229" t="str">
        <f t="shared" si="14"/>
        <v>13</v>
      </c>
    </row>
    <row r="910" spans="1:10" ht="15.75" hidden="1">
      <c r="A910" s="495">
        <v>4</v>
      </c>
      <c r="B910" s="495" t="s">
        <v>1347</v>
      </c>
      <c r="C910" s="496" t="s">
        <v>1348</v>
      </c>
      <c r="D910" s="497" t="s">
        <v>1566</v>
      </c>
      <c r="E910" s="495" t="s">
        <v>1629</v>
      </c>
      <c r="F910" s="495" t="s">
        <v>1342</v>
      </c>
      <c r="G910" s="495" t="s">
        <v>1704</v>
      </c>
      <c r="H910" s="495" t="s">
        <v>1544</v>
      </c>
      <c r="I910" s="501"/>
      <c r="J910" s="229" t="str">
        <f t="shared" si="14"/>
        <v>13</v>
      </c>
    </row>
    <row r="911" spans="1:10" ht="15.75" hidden="1">
      <c r="A911" s="495">
        <v>5</v>
      </c>
      <c r="B911" s="495" t="s">
        <v>1349</v>
      </c>
      <c r="C911" s="496" t="s">
        <v>1350</v>
      </c>
      <c r="D911" s="497" t="s">
        <v>1438</v>
      </c>
      <c r="E911" s="495" t="s">
        <v>1351</v>
      </c>
      <c r="F911" s="495" t="s">
        <v>1342</v>
      </c>
      <c r="G911" s="495"/>
      <c r="H911" s="495" t="s">
        <v>1544</v>
      </c>
      <c r="I911" s="501"/>
      <c r="J911" s="229" t="str">
        <f t="shared" si="14"/>
        <v>13</v>
      </c>
    </row>
    <row r="912" spans="1:10" ht="15.75" hidden="1">
      <c r="A912" s="495">
        <v>6</v>
      </c>
      <c r="B912" s="495" t="s">
        <v>1352</v>
      </c>
      <c r="C912" s="496" t="s">
        <v>731</v>
      </c>
      <c r="D912" s="497" t="s">
        <v>1952</v>
      </c>
      <c r="E912" s="495" t="s">
        <v>1692</v>
      </c>
      <c r="F912" s="495" t="s">
        <v>1342</v>
      </c>
      <c r="G912" s="495"/>
      <c r="H912" s="495" t="s">
        <v>1544</v>
      </c>
      <c r="I912" s="501"/>
      <c r="J912" s="229" t="str">
        <f t="shared" si="14"/>
        <v>13</v>
      </c>
    </row>
    <row r="913" spans="1:10" ht="15.75" hidden="1">
      <c r="A913" s="495">
        <v>7</v>
      </c>
      <c r="B913" s="495" t="s">
        <v>1353</v>
      </c>
      <c r="C913" s="496" t="s">
        <v>1354</v>
      </c>
      <c r="D913" s="497" t="s">
        <v>1724</v>
      </c>
      <c r="E913" s="495" t="s">
        <v>1355</v>
      </c>
      <c r="F913" s="495" t="s">
        <v>1342</v>
      </c>
      <c r="G913" s="495"/>
      <c r="H913" s="495" t="s">
        <v>851</v>
      </c>
      <c r="I913" s="510"/>
      <c r="J913" s="229" t="str">
        <f t="shared" si="14"/>
        <v>13</v>
      </c>
    </row>
    <row r="914" spans="1:10" ht="15.75" hidden="1">
      <c r="A914" s="495">
        <v>8</v>
      </c>
      <c r="B914" s="495" t="s">
        <v>1356</v>
      </c>
      <c r="C914" s="496" t="s">
        <v>1944</v>
      </c>
      <c r="D914" s="497" t="s">
        <v>1961</v>
      </c>
      <c r="E914" s="495" t="s">
        <v>1548</v>
      </c>
      <c r="F914" s="495" t="s">
        <v>1342</v>
      </c>
      <c r="G914" s="495"/>
      <c r="H914" s="495" t="s">
        <v>1544</v>
      </c>
      <c r="I914" s="501"/>
      <c r="J914" s="229" t="str">
        <f t="shared" si="14"/>
        <v>13</v>
      </c>
    </row>
    <row r="915" spans="1:10" ht="15.75" hidden="1">
      <c r="A915" s="495">
        <v>9</v>
      </c>
      <c r="B915" s="495" t="s">
        <v>1357</v>
      </c>
      <c r="C915" s="496" t="s">
        <v>1361</v>
      </c>
      <c r="D915" s="497" t="s">
        <v>1844</v>
      </c>
      <c r="E915" s="495" t="s">
        <v>1758</v>
      </c>
      <c r="F915" s="495" t="s">
        <v>1342</v>
      </c>
      <c r="G915" s="495"/>
      <c r="H915" s="495" t="s">
        <v>1544</v>
      </c>
      <c r="I915" s="501"/>
      <c r="J915" s="229" t="str">
        <f t="shared" si="14"/>
        <v>13</v>
      </c>
    </row>
    <row r="916" spans="1:10" ht="15.75" hidden="1">
      <c r="A916" s="495">
        <v>10</v>
      </c>
      <c r="B916" s="495" t="s">
        <v>1362</v>
      </c>
      <c r="C916" s="496" t="s">
        <v>1363</v>
      </c>
      <c r="D916" s="497" t="s">
        <v>426</v>
      </c>
      <c r="E916" s="495" t="s">
        <v>1364</v>
      </c>
      <c r="F916" s="495" t="s">
        <v>1342</v>
      </c>
      <c r="G916" s="495"/>
      <c r="H916" s="495" t="s">
        <v>1544</v>
      </c>
      <c r="I916" s="502" t="s">
        <v>616</v>
      </c>
      <c r="J916" s="229" t="str">
        <f t="shared" si="14"/>
        <v>13</v>
      </c>
    </row>
    <row r="917" spans="1:10" ht="15.75" hidden="1">
      <c r="A917" s="495">
        <v>11</v>
      </c>
      <c r="B917" s="495" t="s">
        <v>1365</v>
      </c>
      <c r="C917" s="496" t="s">
        <v>1366</v>
      </c>
      <c r="D917" s="497" t="s">
        <v>1367</v>
      </c>
      <c r="E917" s="495" t="s">
        <v>242</v>
      </c>
      <c r="F917" s="495" t="s">
        <v>1342</v>
      </c>
      <c r="G917" s="495"/>
      <c r="H917" s="495" t="s">
        <v>1544</v>
      </c>
      <c r="I917" s="502" t="s">
        <v>616</v>
      </c>
      <c r="J917" s="229" t="str">
        <f t="shared" si="14"/>
        <v>13</v>
      </c>
    </row>
    <row r="918" spans="1:10" ht="15.75" hidden="1">
      <c r="A918" s="495">
        <v>12</v>
      </c>
      <c r="B918" s="495" t="s">
        <v>1368</v>
      </c>
      <c r="C918" s="496" t="s">
        <v>1369</v>
      </c>
      <c r="D918" s="497" t="s">
        <v>2056</v>
      </c>
      <c r="E918" s="495" t="s">
        <v>2171</v>
      </c>
      <c r="F918" s="495" t="s">
        <v>1342</v>
      </c>
      <c r="G918" s="495"/>
      <c r="H918" s="495" t="s">
        <v>1544</v>
      </c>
      <c r="I918" s="502" t="s">
        <v>616</v>
      </c>
      <c r="J918" s="229" t="str">
        <f t="shared" si="14"/>
        <v>13</v>
      </c>
    </row>
    <row r="919" spans="1:10" ht="15.75" hidden="1">
      <c r="A919" s="495">
        <v>13</v>
      </c>
      <c r="B919" s="495" t="s">
        <v>1370</v>
      </c>
      <c r="C919" s="496" t="s">
        <v>1371</v>
      </c>
      <c r="D919" s="497" t="s">
        <v>1372</v>
      </c>
      <c r="E919" s="495" t="s">
        <v>252</v>
      </c>
      <c r="F919" s="495" t="s">
        <v>1342</v>
      </c>
      <c r="G919" s="495" t="s">
        <v>1551</v>
      </c>
      <c r="H919" s="495" t="s">
        <v>1544</v>
      </c>
      <c r="I919" s="501"/>
      <c r="J919" s="229" t="str">
        <f t="shared" si="14"/>
        <v>13</v>
      </c>
    </row>
    <row r="920" spans="1:10" ht="15.75" hidden="1">
      <c r="A920" s="495">
        <v>14</v>
      </c>
      <c r="B920" s="495" t="s">
        <v>1373</v>
      </c>
      <c r="C920" s="496" t="s">
        <v>2302</v>
      </c>
      <c r="D920" s="497" t="s">
        <v>811</v>
      </c>
      <c r="E920" s="495" t="s">
        <v>1641</v>
      </c>
      <c r="F920" s="495" t="s">
        <v>1342</v>
      </c>
      <c r="G920" s="495" t="s">
        <v>1642</v>
      </c>
      <c r="H920" s="495" t="s">
        <v>1544</v>
      </c>
      <c r="I920" s="501"/>
      <c r="J920" s="229" t="str">
        <f t="shared" si="14"/>
        <v>13</v>
      </c>
    </row>
    <row r="921" spans="1:10" ht="15.75" hidden="1">
      <c r="A921" s="495">
        <v>15</v>
      </c>
      <c r="B921" s="495" t="s">
        <v>1374</v>
      </c>
      <c r="C921" s="496" t="s">
        <v>2313</v>
      </c>
      <c r="D921" s="497" t="s">
        <v>1631</v>
      </c>
      <c r="E921" s="495" t="s">
        <v>2463</v>
      </c>
      <c r="F921" s="495" t="s">
        <v>1342</v>
      </c>
      <c r="G921" s="495"/>
      <c r="H921" s="495" t="s">
        <v>851</v>
      </c>
      <c r="I921" s="501"/>
      <c r="J921" s="229" t="str">
        <f t="shared" si="14"/>
        <v>13</v>
      </c>
    </row>
    <row r="922" spans="1:10" ht="15.75" hidden="1">
      <c r="A922" s="495">
        <v>16</v>
      </c>
      <c r="B922" s="495" t="s">
        <v>1375</v>
      </c>
      <c r="C922" s="496" t="s">
        <v>1376</v>
      </c>
      <c r="D922" s="497" t="s">
        <v>1631</v>
      </c>
      <c r="E922" s="495" t="s">
        <v>2524</v>
      </c>
      <c r="F922" s="495" t="s">
        <v>1342</v>
      </c>
      <c r="G922" s="495"/>
      <c r="H922" s="495" t="s">
        <v>851</v>
      </c>
      <c r="I922" s="515" t="s">
        <v>621</v>
      </c>
      <c r="J922" s="229" t="str">
        <f t="shared" si="14"/>
        <v>13</v>
      </c>
    </row>
    <row r="923" spans="1:10" ht="15.75" hidden="1">
      <c r="A923" s="495">
        <v>17</v>
      </c>
      <c r="B923" s="495" t="s">
        <v>1377</v>
      </c>
      <c r="C923" s="496" t="s">
        <v>2136</v>
      </c>
      <c r="D923" s="497" t="s">
        <v>1635</v>
      </c>
      <c r="E923" s="495" t="s">
        <v>1378</v>
      </c>
      <c r="F923" s="495" t="s">
        <v>1342</v>
      </c>
      <c r="G923" s="495"/>
      <c r="H923" s="495" t="s">
        <v>851</v>
      </c>
      <c r="I923" s="502" t="s">
        <v>616</v>
      </c>
      <c r="J923" s="229" t="str">
        <f t="shared" si="14"/>
        <v>13</v>
      </c>
    </row>
    <row r="924" spans="1:10" ht="15.75" hidden="1">
      <c r="A924" s="495">
        <v>18</v>
      </c>
      <c r="B924" s="495" t="s">
        <v>1379</v>
      </c>
      <c r="C924" s="496" t="s">
        <v>2321</v>
      </c>
      <c r="D924" s="497" t="s">
        <v>1454</v>
      </c>
      <c r="E924" s="495" t="s">
        <v>1380</v>
      </c>
      <c r="F924" s="495" t="s">
        <v>1342</v>
      </c>
      <c r="G924" s="495"/>
      <c r="H924" s="495" t="s">
        <v>1544</v>
      </c>
      <c r="I924" s="501"/>
      <c r="J924" s="229" t="str">
        <f t="shared" si="14"/>
        <v>13</v>
      </c>
    </row>
    <row r="925" spans="1:10" ht="15.75" hidden="1">
      <c r="A925" s="495">
        <v>19</v>
      </c>
      <c r="B925" s="495" t="s">
        <v>1381</v>
      </c>
      <c r="C925" s="496" t="s">
        <v>52</v>
      </c>
      <c r="D925" s="497" t="s">
        <v>1454</v>
      </c>
      <c r="E925" s="495" t="s">
        <v>1382</v>
      </c>
      <c r="F925" s="495" t="s">
        <v>1342</v>
      </c>
      <c r="G925" s="495"/>
      <c r="H925" s="495" t="s">
        <v>1544</v>
      </c>
      <c r="I925" s="502" t="s">
        <v>616</v>
      </c>
      <c r="J925" s="229" t="str">
        <f t="shared" si="14"/>
        <v>13</v>
      </c>
    </row>
    <row r="926" spans="1:10" ht="15.75" hidden="1">
      <c r="A926" s="495">
        <v>20</v>
      </c>
      <c r="B926" s="495" t="s">
        <v>1383</v>
      </c>
      <c r="C926" s="496" t="s">
        <v>2262</v>
      </c>
      <c r="D926" s="497" t="s">
        <v>1640</v>
      </c>
      <c r="E926" s="495" t="s">
        <v>789</v>
      </c>
      <c r="F926" s="495" t="s">
        <v>1342</v>
      </c>
      <c r="G926" s="495"/>
      <c r="H926" s="495" t="s">
        <v>1544</v>
      </c>
      <c r="I926" s="501"/>
      <c r="J926" s="229" t="str">
        <f t="shared" si="14"/>
        <v>13</v>
      </c>
    </row>
    <row r="927" spans="1:10" ht="15.75" hidden="1">
      <c r="A927" s="495">
        <v>21</v>
      </c>
      <c r="B927" s="495" t="s">
        <v>1384</v>
      </c>
      <c r="C927" s="496" t="s">
        <v>1385</v>
      </c>
      <c r="D927" s="497" t="s">
        <v>1647</v>
      </c>
      <c r="E927" s="495" t="s">
        <v>2508</v>
      </c>
      <c r="F927" s="495" t="s">
        <v>1342</v>
      </c>
      <c r="G927" s="495"/>
      <c r="H927" s="495" t="s">
        <v>1544</v>
      </c>
      <c r="I927" s="502" t="s">
        <v>617</v>
      </c>
      <c r="J927" s="229" t="str">
        <f t="shared" si="14"/>
        <v>13</v>
      </c>
    </row>
    <row r="928" spans="1:10" ht="15.75" hidden="1">
      <c r="A928" s="495">
        <v>22</v>
      </c>
      <c r="B928" s="495" t="s">
        <v>1386</v>
      </c>
      <c r="C928" s="496" t="s">
        <v>1840</v>
      </c>
      <c r="D928" s="497" t="s">
        <v>1653</v>
      </c>
      <c r="E928" s="495" t="s">
        <v>1563</v>
      </c>
      <c r="F928" s="495" t="s">
        <v>1342</v>
      </c>
      <c r="G928" s="495"/>
      <c r="H928" s="495" t="s">
        <v>851</v>
      </c>
      <c r="I928" s="502" t="s">
        <v>616</v>
      </c>
      <c r="J928" s="229" t="str">
        <f t="shared" si="14"/>
        <v>13</v>
      </c>
    </row>
    <row r="929" spans="1:10" ht="15.75" hidden="1">
      <c r="A929" s="495">
        <v>23</v>
      </c>
      <c r="B929" s="495" t="s">
        <v>1387</v>
      </c>
      <c r="C929" s="496" t="s">
        <v>1733</v>
      </c>
      <c r="D929" s="497" t="s">
        <v>1656</v>
      </c>
      <c r="E929" s="495" t="s">
        <v>2279</v>
      </c>
      <c r="F929" s="495" t="s">
        <v>1342</v>
      </c>
      <c r="G929" s="495"/>
      <c r="H929" s="495" t="s">
        <v>1544</v>
      </c>
      <c r="I929" s="501"/>
      <c r="J929" s="229" t="str">
        <f t="shared" si="14"/>
        <v>13</v>
      </c>
    </row>
    <row r="930" spans="1:10" ht="15.75" hidden="1">
      <c r="A930" s="495">
        <v>24</v>
      </c>
      <c r="B930" s="495" t="s">
        <v>1388</v>
      </c>
      <c r="C930" s="496" t="s">
        <v>586</v>
      </c>
      <c r="D930" s="497" t="s">
        <v>1389</v>
      </c>
      <c r="E930" s="495" t="s">
        <v>485</v>
      </c>
      <c r="F930" s="495" t="s">
        <v>1342</v>
      </c>
      <c r="G930" s="495"/>
      <c r="H930" s="495" t="s">
        <v>1544</v>
      </c>
      <c r="I930" s="502" t="s">
        <v>617</v>
      </c>
      <c r="J930" s="229" t="str">
        <f t="shared" si="14"/>
        <v>13</v>
      </c>
    </row>
    <row r="931" spans="1:10" ht="15.75" hidden="1">
      <c r="A931" s="495">
        <v>25</v>
      </c>
      <c r="B931" s="495" t="s">
        <v>1390</v>
      </c>
      <c r="C931" s="496" t="s">
        <v>1806</v>
      </c>
      <c r="D931" s="497" t="s">
        <v>1465</v>
      </c>
      <c r="E931" s="495" t="s">
        <v>1391</v>
      </c>
      <c r="F931" s="495" t="s">
        <v>1342</v>
      </c>
      <c r="G931" s="495"/>
      <c r="H931" s="495" t="s">
        <v>1544</v>
      </c>
      <c r="I931" s="501"/>
      <c r="J931" s="229" t="str">
        <f t="shared" si="14"/>
        <v>13</v>
      </c>
    </row>
    <row r="932" spans="1:10" ht="15.75" hidden="1">
      <c r="A932" s="495">
        <v>26</v>
      </c>
      <c r="B932" s="495" t="s">
        <v>1392</v>
      </c>
      <c r="C932" s="496" t="s">
        <v>1430</v>
      </c>
      <c r="D932" s="497" t="s">
        <v>1466</v>
      </c>
      <c r="E932" s="495" t="s">
        <v>1393</v>
      </c>
      <c r="F932" s="495" t="s">
        <v>1342</v>
      </c>
      <c r="G932" s="495"/>
      <c r="H932" s="495" t="s">
        <v>851</v>
      </c>
      <c r="I932" s="515"/>
      <c r="J932" s="229" t="str">
        <f t="shared" si="14"/>
        <v>13</v>
      </c>
    </row>
    <row r="933" spans="1:10" ht="15.75" hidden="1">
      <c r="A933" s="495">
        <v>27</v>
      </c>
      <c r="B933" s="495" t="s">
        <v>1394</v>
      </c>
      <c r="C933" s="496" t="s">
        <v>294</v>
      </c>
      <c r="D933" s="497" t="s">
        <v>1681</v>
      </c>
      <c r="E933" s="495" t="s">
        <v>1823</v>
      </c>
      <c r="F933" s="495" t="s">
        <v>1342</v>
      </c>
      <c r="G933" s="495"/>
      <c r="H933" s="495" t="s">
        <v>1544</v>
      </c>
      <c r="I933" s="502" t="s">
        <v>616</v>
      </c>
      <c r="J933" s="229" t="str">
        <f t="shared" si="14"/>
        <v>13</v>
      </c>
    </row>
    <row r="934" spans="1:10" ht="15.75" hidden="1">
      <c r="A934" s="495">
        <v>28</v>
      </c>
      <c r="B934" s="495" t="s">
        <v>1395</v>
      </c>
      <c r="C934" s="496" t="s">
        <v>1565</v>
      </c>
      <c r="D934" s="497" t="s">
        <v>2108</v>
      </c>
      <c r="E934" s="495" t="s">
        <v>2099</v>
      </c>
      <c r="F934" s="495" t="s">
        <v>1342</v>
      </c>
      <c r="G934" s="495"/>
      <c r="H934" s="495" t="s">
        <v>1544</v>
      </c>
      <c r="I934" s="501"/>
      <c r="J934" s="229" t="str">
        <f t="shared" si="14"/>
        <v>13</v>
      </c>
    </row>
    <row r="935" spans="1:10" ht="15.75" hidden="1">
      <c r="A935" s="495">
        <v>29</v>
      </c>
      <c r="B935" s="495" t="s">
        <v>1396</v>
      </c>
      <c r="C935" s="496" t="s">
        <v>1448</v>
      </c>
      <c r="D935" s="497" t="s">
        <v>1802</v>
      </c>
      <c r="E935" s="495" t="s">
        <v>1397</v>
      </c>
      <c r="F935" s="495" t="s">
        <v>1342</v>
      </c>
      <c r="G935" s="495"/>
      <c r="H935" s="495" t="s">
        <v>1544</v>
      </c>
      <c r="I935" s="501"/>
      <c r="J935" s="229" t="str">
        <f t="shared" si="14"/>
        <v>13</v>
      </c>
    </row>
    <row r="936" spans="1:10" ht="15.75" hidden="1">
      <c r="A936" s="495">
        <v>30</v>
      </c>
      <c r="B936" s="495" t="s">
        <v>1398</v>
      </c>
      <c r="C936" s="496" t="s">
        <v>1399</v>
      </c>
      <c r="D936" s="497" t="s">
        <v>137</v>
      </c>
      <c r="E936" s="495" t="s">
        <v>1176</v>
      </c>
      <c r="F936" s="495" t="s">
        <v>1342</v>
      </c>
      <c r="G936" s="495"/>
      <c r="H936" s="495" t="s">
        <v>1544</v>
      </c>
      <c r="I936" s="501"/>
      <c r="J936" s="229" t="str">
        <f t="shared" si="14"/>
        <v>13</v>
      </c>
    </row>
    <row r="937" spans="1:10" ht="15.75" hidden="1">
      <c r="A937" s="495">
        <v>31</v>
      </c>
      <c r="B937" s="495" t="s">
        <v>1400</v>
      </c>
      <c r="C937" s="496" t="s">
        <v>1430</v>
      </c>
      <c r="D937" s="497" t="s">
        <v>1476</v>
      </c>
      <c r="E937" s="495" t="s">
        <v>1685</v>
      </c>
      <c r="F937" s="495" t="s">
        <v>1342</v>
      </c>
      <c r="G937" s="495"/>
      <c r="H937" s="495"/>
      <c r="I937" s="501"/>
      <c r="J937" s="229" t="str">
        <f t="shared" si="14"/>
        <v>13</v>
      </c>
    </row>
    <row r="938" spans="1:10" ht="15.75" hidden="1">
      <c r="A938" s="495">
        <v>32</v>
      </c>
      <c r="B938" s="495" t="s">
        <v>1401</v>
      </c>
      <c r="C938" s="496" t="s">
        <v>1439</v>
      </c>
      <c r="D938" s="497" t="s">
        <v>1402</v>
      </c>
      <c r="E938" s="495" t="s">
        <v>1946</v>
      </c>
      <c r="F938" s="495" t="s">
        <v>1342</v>
      </c>
      <c r="G938" s="495"/>
      <c r="H938" s="495" t="s">
        <v>1544</v>
      </c>
      <c r="I938" s="501"/>
      <c r="J938" s="229" t="str">
        <f t="shared" si="14"/>
        <v>13</v>
      </c>
    </row>
    <row r="939" spans="1:10" ht="15.75" hidden="1">
      <c r="A939" s="495">
        <v>33</v>
      </c>
      <c r="B939" s="495" t="s">
        <v>1403</v>
      </c>
      <c r="C939" s="496" t="s">
        <v>1404</v>
      </c>
      <c r="D939" s="497" t="s">
        <v>1691</v>
      </c>
      <c r="E939" s="495" t="s">
        <v>455</v>
      </c>
      <c r="F939" s="495" t="s">
        <v>1342</v>
      </c>
      <c r="G939" s="495"/>
      <c r="H939" s="495" t="s">
        <v>1544</v>
      </c>
      <c r="I939" s="501"/>
      <c r="J939" s="229" t="str">
        <f t="shared" si="14"/>
        <v>13</v>
      </c>
    </row>
    <row r="940" spans="1:10" ht="15.75" hidden="1">
      <c r="A940" s="495">
        <v>34</v>
      </c>
      <c r="B940" s="495" t="s">
        <v>1405</v>
      </c>
      <c r="C940" s="496" t="s">
        <v>1406</v>
      </c>
      <c r="D940" s="497" t="s">
        <v>1691</v>
      </c>
      <c r="E940" s="495" t="s">
        <v>994</v>
      </c>
      <c r="F940" s="495" t="s">
        <v>1342</v>
      </c>
      <c r="G940" s="495"/>
      <c r="H940" s="495" t="s">
        <v>1544</v>
      </c>
      <c r="I940" s="501"/>
      <c r="J940" s="229" t="str">
        <f t="shared" si="14"/>
        <v>13</v>
      </c>
    </row>
    <row r="941" spans="1:10" ht="15.75" hidden="1">
      <c r="A941" s="495">
        <v>35</v>
      </c>
      <c r="B941" s="495" t="s">
        <v>1407</v>
      </c>
      <c r="C941" s="496" t="s">
        <v>1408</v>
      </c>
      <c r="D941" s="497" t="s">
        <v>1481</v>
      </c>
      <c r="E941" s="495" t="s">
        <v>1627</v>
      </c>
      <c r="F941" s="495" t="s">
        <v>1342</v>
      </c>
      <c r="G941" s="495" t="s">
        <v>1551</v>
      </c>
      <c r="H941" s="495" t="s">
        <v>851</v>
      </c>
      <c r="I941" s="501"/>
      <c r="J941" s="229" t="str">
        <f t="shared" si="14"/>
        <v>13</v>
      </c>
    </row>
    <row r="942" spans="1:10" ht="15.75" hidden="1">
      <c r="A942" s="495">
        <v>36</v>
      </c>
      <c r="B942" s="495" t="s">
        <v>1409</v>
      </c>
      <c r="C942" s="496" t="s">
        <v>1973</v>
      </c>
      <c r="D942" s="497" t="s">
        <v>1483</v>
      </c>
      <c r="E942" s="495" t="s">
        <v>1410</v>
      </c>
      <c r="F942" s="495" t="s">
        <v>1342</v>
      </c>
      <c r="G942" s="495"/>
      <c r="H942" s="495" t="s">
        <v>851</v>
      </c>
      <c r="I942" s="501"/>
      <c r="J942" s="229" t="str">
        <f t="shared" si="14"/>
        <v>13</v>
      </c>
    </row>
    <row r="943" spans="1:10" ht="15.75" hidden="1">
      <c r="A943" s="495">
        <v>37</v>
      </c>
      <c r="B943" s="495" t="s">
        <v>1411</v>
      </c>
      <c r="C943" s="496" t="s">
        <v>1412</v>
      </c>
      <c r="D943" s="497" t="s">
        <v>1413</v>
      </c>
      <c r="E943" s="495" t="s">
        <v>1414</v>
      </c>
      <c r="F943" s="495" t="s">
        <v>1342</v>
      </c>
      <c r="G943" s="495"/>
      <c r="H943" s="495" t="s">
        <v>1544</v>
      </c>
      <c r="I943" s="515" t="s">
        <v>922</v>
      </c>
      <c r="J943" s="229" t="str">
        <f t="shared" si="14"/>
        <v>13</v>
      </c>
    </row>
    <row r="944" spans="1:10" ht="15.75" hidden="1">
      <c r="A944" s="495">
        <v>38</v>
      </c>
      <c r="B944" s="495" t="s">
        <v>1415</v>
      </c>
      <c r="C944" s="496" t="s">
        <v>1416</v>
      </c>
      <c r="D944" s="497" t="s">
        <v>1417</v>
      </c>
      <c r="E944" s="503" t="s">
        <v>2227</v>
      </c>
      <c r="F944" s="495" t="s">
        <v>1342</v>
      </c>
      <c r="G944" s="495" t="s">
        <v>1551</v>
      </c>
      <c r="H944" s="495" t="s">
        <v>1544</v>
      </c>
      <c r="I944" s="501" t="s">
        <v>1630</v>
      </c>
      <c r="J944" s="229" t="str">
        <f t="shared" si="14"/>
        <v>13</v>
      </c>
    </row>
    <row r="945" spans="1:9" ht="15.75">
      <c r="A945" s="498"/>
      <c r="B945" s="498"/>
      <c r="C945" s="499"/>
      <c r="D945" s="500"/>
      <c r="E945" s="498"/>
      <c r="F945" s="498"/>
      <c r="G945" s="498"/>
      <c r="H945" s="498"/>
      <c r="I945" s="502"/>
    </row>
    <row r="946" spans="1:9" ht="15.75">
      <c r="A946" s="498"/>
      <c r="B946" s="498"/>
      <c r="C946" s="499"/>
      <c r="D946" s="500"/>
      <c r="E946" s="498"/>
      <c r="F946" s="498"/>
      <c r="G946" s="498"/>
      <c r="H946" s="498"/>
      <c r="I946" s="515"/>
    </row>
    <row r="947" spans="1:9" ht="15.75">
      <c r="A947" s="498"/>
      <c r="B947" s="498"/>
      <c r="C947" s="499"/>
      <c r="D947" s="500"/>
      <c r="E947" s="498"/>
      <c r="F947" s="498"/>
      <c r="G947" s="498"/>
      <c r="H947" s="498"/>
      <c r="I947" s="502"/>
    </row>
    <row r="948" spans="1:9" ht="15.75">
      <c r="A948" s="498"/>
      <c r="B948" s="498"/>
      <c r="C948" s="499"/>
      <c r="D948" s="500"/>
      <c r="E948" s="498"/>
      <c r="F948" s="498"/>
      <c r="G948" s="498"/>
      <c r="H948" s="498"/>
      <c r="I948" s="502"/>
    </row>
    <row r="949" spans="1:9" ht="15.75">
      <c r="A949" s="498"/>
      <c r="B949" s="498"/>
      <c r="C949" s="499"/>
      <c r="D949" s="500"/>
      <c r="E949" s="498"/>
      <c r="F949" s="498"/>
      <c r="G949" s="498"/>
      <c r="H949" s="498"/>
      <c r="I949" s="502"/>
    </row>
    <row r="950" spans="1:9" ht="15.75">
      <c r="A950" s="498"/>
      <c r="B950" s="498"/>
      <c r="C950" s="499"/>
      <c r="D950" s="500"/>
      <c r="E950" s="498"/>
      <c r="F950" s="498"/>
      <c r="G950" s="498"/>
      <c r="H950" s="498"/>
      <c r="I950" s="502"/>
    </row>
    <row r="951" spans="1:9" ht="15.75">
      <c r="A951" s="498"/>
      <c r="B951" s="498"/>
      <c r="C951" s="499"/>
      <c r="D951" s="500"/>
      <c r="E951" s="498"/>
      <c r="F951" s="498"/>
      <c r="G951" s="498"/>
      <c r="H951" s="498"/>
      <c r="I951" s="502"/>
    </row>
    <row r="952" spans="1:9" ht="15.75">
      <c r="A952" s="498"/>
      <c r="B952" s="498"/>
      <c r="C952" s="499"/>
      <c r="D952" s="500"/>
      <c r="E952" s="498"/>
      <c r="F952" s="498"/>
      <c r="G952" s="498"/>
      <c r="H952" s="498"/>
      <c r="I952" s="502"/>
    </row>
    <row r="953" spans="1:9" ht="15.75">
      <c r="A953" s="498"/>
      <c r="B953" s="498"/>
      <c r="C953" s="499"/>
      <c r="D953" s="500"/>
      <c r="E953" s="498"/>
      <c r="F953" s="498"/>
      <c r="G953" s="498"/>
      <c r="H953" s="498"/>
      <c r="I953" s="502"/>
    </row>
    <row r="954" spans="1:9" ht="15.75">
      <c r="A954" s="498"/>
      <c r="B954" s="498"/>
      <c r="C954" s="499"/>
      <c r="D954" s="500"/>
      <c r="E954" s="498"/>
      <c r="F954" s="498"/>
      <c r="G954" s="498"/>
      <c r="H954" s="498"/>
      <c r="I954" s="502"/>
    </row>
    <row r="955" spans="1:9" ht="15.75">
      <c r="A955" s="498"/>
      <c r="B955" s="498"/>
      <c r="C955" s="499"/>
      <c r="D955" s="500"/>
      <c r="E955" s="498"/>
      <c r="F955" s="498"/>
      <c r="G955" s="498"/>
      <c r="H955" s="498"/>
      <c r="I955" s="502"/>
    </row>
    <row r="956" spans="1:9" ht="15.75">
      <c r="A956" s="498"/>
      <c r="B956" s="498"/>
      <c r="C956" s="499"/>
      <c r="D956" s="500"/>
      <c r="E956" s="498"/>
      <c r="F956" s="498"/>
      <c r="G956" s="498"/>
      <c r="H956" s="498"/>
      <c r="I956" s="502"/>
    </row>
    <row r="957" spans="1:9" ht="15.75">
      <c r="A957" s="498"/>
      <c r="B957" s="498"/>
      <c r="C957" s="499"/>
      <c r="D957" s="500"/>
      <c r="E957" s="498"/>
      <c r="F957" s="498"/>
      <c r="G957" s="498"/>
      <c r="H957" s="498"/>
      <c r="I957" s="502"/>
    </row>
    <row r="958" spans="1:9" ht="15.75">
      <c r="A958" s="498"/>
      <c r="B958" s="498"/>
      <c r="C958" s="499"/>
      <c r="D958" s="500"/>
      <c r="E958" s="498"/>
      <c r="F958" s="498"/>
      <c r="G958" s="498"/>
      <c r="H958" s="498"/>
      <c r="I958" s="502"/>
    </row>
    <row r="959" spans="1:9" ht="15.75">
      <c r="A959" s="498"/>
      <c r="B959" s="498"/>
      <c r="C959" s="499"/>
      <c r="D959" s="500"/>
      <c r="E959" s="498"/>
      <c r="F959" s="498"/>
      <c r="G959" s="498"/>
      <c r="H959" s="498"/>
      <c r="I959" s="502"/>
    </row>
    <row r="960" spans="1:9" ht="15.75">
      <c r="A960" s="498"/>
      <c r="B960" s="498"/>
      <c r="C960" s="499"/>
      <c r="D960" s="500"/>
      <c r="E960" s="498"/>
      <c r="F960" s="498"/>
      <c r="G960" s="498"/>
      <c r="H960" s="498"/>
      <c r="I960" s="502"/>
    </row>
    <row r="961" spans="1:9" ht="15.75">
      <c r="A961" s="498"/>
      <c r="B961" s="498"/>
      <c r="C961" s="499"/>
      <c r="D961" s="500"/>
      <c r="E961" s="498"/>
      <c r="F961" s="498"/>
      <c r="G961" s="498"/>
      <c r="H961" s="498"/>
      <c r="I961" s="502"/>
    </row>
    <row r="962" spans="1:9" ht="15.75">
      <c r="A962" s="498"/>
      <c r="B962" s="498"/>
      <c r="C962" s="499"/>
      <c r="D962" s="500"/>
      <c r="E962" s="498"/>
      <c r="F962" s="498"/>
      <c r="G962" s="498"/>
      <c r="H962" s="498"/>
      <c r="I962" s="502"/>
    </row>
    <row r="963" spans="1:9" ht="15.75">
      <c r="A963" s="498"/>
      <c r="B963" s="498"/>
      <c r="C963" s="499"/>
      <c r="D963" s="500"/>
      <c r="E963" s="498"/>
      <c r="F963" s="498"/>
      <c r="G963" s="498"/>
      <c r="H963" s="498"/>
      <c r="I963" s="502"/>
    </row>
    <row r="964" spans="1:9" ht="15.75">
      <c r="A964" s="498"/>
      <c r="B964" s="498"/>
      <c r="C964" s="499"/>
      <c r="D964" s="500"/>
      <c r="E964" s="498"/>
      <c r="F964" s="498"/>
      <c r="G964" s="498"/>
      <c r="H964" s="498"/>
      <c r="I964" s="502"/>
    </row>
    <row r="965" spans="1:9" ht="15.75">
      <c r="A965" s="498"/>
      <c r="B965" s="498"/>
      <c r="C965" s="499"/>
      <c r="D965" s="500"/>
      <c r="E965" s="498"/>
      <c r="F965" s="498"/>
      <c r="G965" s="498"/>
      <c r="H965" s="498"/>
      <c r="I965" s="502"/>
    </row>
    <row r="966" spans="1:9" ht="15.75">
      <c r="A966" s="498"/>
      <c r="B966" s="498"/>
      <c r="C966" s="499"/>
      <c r="D966" s="500"/>
      <c r="E966" s="498"/>
      <c r="F966" s="498"/>
      <c r="G966" s="498"/>
      <c r="H966" s="498"/>
      <c r="I966" s="502"/>
    </row>
    <row r="967" spans="1:9" ht="15.75">
      <c r="A967" s="498"/>
      <c r="B967" s="498"/>
      <c r="C967" s="499"/>
      <c r="D967" s="500"/>
      <c r="E967" s="498"/>
      <c r="F967" s="498"/>
      <c r="G967" s="498"/>
      <c r="H967" s="498"/>
      <c r="I967" s="513"/>
    </row>
    <row r="968" spans="1:9" ht="15.75">
      <c r="A968" s="498"/>
      <c r="B968" s="498"/>
      <c r="C968" s="499"/>
      <c r="D968" s="500"/>
      <c r="E968" s="498"/>
      <c r="F968" s="498"/>
      <c r="G968" s="498"/>
      <c r="H968" s="498"/>
      <c r="I968" s="502"/>
    </row>
    <row r="969" spans="1:9" ht="15.75">
      <c r="A969" s="498"/>
      <c r="B969" s="498"/>
      <c r="C969" s="499"/>
      <c r="D969" s="500"/>
      <c r="E969" s="498"/>
      <c r="F969" s="498"/>
      <c r="G969" s="498"/>
      <c r="H969" s="498"/>
      <c r="I969" s="502"/>
    </row>
    <row r="970" spans="1:9" ht="15.75">
      <c r="A970" s="498"/>
      <c r="B970" s="498"/>
      <c r="C970" s="499"/>
      <c r="D970" s="500"/>
      <c r="E970" s="498"/>
      <c r="F970" s="498"/>
      <c r="G970" s="498"/>
      <c r="H970" s="498"/>
      <c r="I970" s="502"/>
    </row>
    <row r="971" spans="1:9" ht="15.75">
      <c r="A971" s="498"/>
      <c r="B971" s="498"/>
      <c r="C971" s="499"/>
      <c r="D971" s="500"/>
      <c r="E971" s="498"/>
      <c r="F971" s="498"/>
      <c r="G971" s="498"/>
      <c r="H971" s="498"/>
      <c r="I971" s="502"/>
    </row>
    <row r="972" spans="1:9" ht="15.75">
      <c r="A972" s="498"/>
      <c r="B972" s="498"/>
      <c r="C972" s="499"/>
      <c r="D972" s="500"/>
      <c r="E972" s="498"/>
      <c r="F972" s="498"/>
      <c r="G972" s="498"/>
      <c r="H972" s="498"/>
      <c r="I972" s="502"/>
    </row>
    <row r="973" spans="1:9" ht="15.75">
      <c r="A973" s="498"/>
      <c r="B973" s="498"/>
      <c r="C973" s="499"/>
      <c r="D973" s="500"/>
      <c r="E973" s="498"/>
      <c r="F973" s="498"/>
      <c r="G973" s="498"/>
      <c r="H973" s="498"/>
      <c r="I973" s="502"/>
    </row>
    <row r="974" spans="1:9" ht="15.75">
      <c r="A974" s="498"/>
      <c r="B974" s="498"/>
      <c r="C974" s="499"/>
      <c r="D974" s="500"/>
      <c r="E974" s="498"/>
      <c r="F974" s="498"/>
      <c r="G974" s="498"/>
      <c r="H974" s="498"/>
      <c r="I974" s="502"/>
    </row>
    <row r="975" spans="1:9" ht="15.75">
      <c r="A975" s="498"/>
      <c r="B975" s="498"/>
      <c r="C975" s="499"/>
      <c r="D975" s="500"/>
      <c r="E975" s="498"/>
      <c r="F975" s="498"/>
      <c r="G975" s="498"/>
      <c r="H975" s="498"/>
      <c r="I975" s="502"/>
    </row>
    <row r="976" spans="1:9" ht="15.75">
      <c r="A976" s="498"/>
      <c r="B976" s="498"/>
      <c r="C976" s="499"/>
      <c r="D976" s="500"/>
      <c r="E976" s="498"/>
      <c r="F976" s="498"/>
      <c r="G976" s="498"/>
      <c r="H976" s="498"/>
      <c r="I976" s="502"/>
    </row>
    <row r="977" spans="1:9" ht="15.75">
      <c r="A977" s="498"/>
      <c r="B977" s="498"/>
      <c r="C977" s="499"/>
      <c r="D977" s="500"/>
      <c r="E977" s="498"/>
      <c r="F977" s="498"/>
      <c r="G977" s="498"/>
      <c r="H977" s="498"/>
      <c r="I977" s="502"/>
    </row>
    <row r="978" spans="1:9" ht="15.75">
      <c r="A978" s="498"/>
      <c r="B978" s="498"/>
      <c r="C978" s="499"/>
      <c r="D978" s="500"/>
      <c r="E978" s="498"/>
      <c r="F978" s="498"/>
      <c r="G978" s="498"/>
      <c r="H978" s="498"/>
      <c r="I978" s="502"/>
    </row>
    <row r="979" spans="1:9" ht="15.75">
      <c r="A979" s="498"/>
      <c r="B979" s="498"/>
      <c r="C979" s="499"/>
      <c r="D979" s="500"/>
      <c r="E979" s="498"/>
      <c r="F979" s="498"/>
      <c r="G979" s="498"/>
      <c r="H979" s="498"/>
      <c r="I979" s="502"/>
    </row>
    <row r="980" spans="1:9" ht="15.75">
      <c r="A980" s="498"/>
      <c r="B980" s="498"/>
      <c r="C980" s="499"/>
      <c r="D980" s="500"/>
      <c r="E980" s="498"/>
      <c r="F980" s="498"/>
      <c r="G980" s="498"/>
      <c r="H980" s="498"/>
      <c r="I980" s="502"/>
    </row>
    <row r="981" spans="1:9" ht="15.75">
      <c r="A981" s="498"/>
      <c r="B981" s="498"/>
      <c r="C981" s="499"/>
      <c r="D981" s="500"/>
      <c r="E981" s="498"/>
      <c r="F981" s="498"/>
      <c r="G981" s="498"/>
      <c r="H981" s="498"/>
      <c r="I981" s="502"/>
    </row>
    <row r="982" spans="1:9" ht="15.75">
      <c r="A982" s="498"/>
      <c r="B982" s="498"/>
      <c r="C982" s="499"/>
      <c r="D982" s="500"/>
      <c r="E982" s="498"/>
      <c r="F982" s="498"/>
      <c r="G982" s="498"/>
      <c r="H982" s="498"/>
      <c r="I982" s="502"/>
    </row>
    <row r="983" spans="1:9" ht="15.75">
      <c r="A983" s="498"/>
      <c r="B983" s="498"/>
      <c r="C983" s="499"/>
      <c r="D983" s="500"/>
      <c r="E983" s="498"/>
      <c r="F983" s="498"/>
      <c r="G983" s="498"/>
      <c r="H983" s="498"/>
      <c r="I983" s="502"/>
    </row>
    <row r="984" spans="1:9" ht="15.75">
      <c r="A984" s="498"/>
      <c r="B984" s="498"/>
      <c r="C984" s="499"/>
      <c r="D984" s="500"/>
      <c r="E984" s="498"/>
      <c r="F984" s="498"/>
      <c r="G984" s="498"/>
      <c r="H984" s="498"/>
      <c r="I984" s="502"/>
    </row>
    <row r="985" spans="1:9" ht="15.75">
      <c r="A985" s="498"/>
      <c r="B985" s="498"/>
      <c r="C985" s="499"/>
      <c r="D985" s="500"/>
      <c r="E985" s="498"/>
      <c r="F985" s="498"/>
      <c r="G985" s="498"/>
      <c r="H985" s="498"/>
      <c r="I985" s="502"/>
    </row>
    <row r="986" spans="1:9" ht="15.75">
      <c r="A986" s="498"/>
      <c r="B986" s="498"/>
      <c r="C986" s="499"/>
      <c r="D986" s="500"/>
      <c r="E986" s="498"/>
      <c r="F986" s="498"/>
      <c r="G986" s="498"/>
      <c r="H986" s="498"/>
      <c r="I986" s="502"/>
    </row>
    <row r="987" spans="1:9" ht="15.75">
      <c r="A987" s="498"/>
      <c r="B987" s="498"/>
      <c r="C987" s="499"/>
      <c r="D987" s="500"/>
      <c r="E987" s="498"/>
      <c r="F987" s="498"/>
      <c r="G987" s="498"/>
      <c r="H987" s="498"/>
      <c r="I987" s="502"/>
    </row>
    <row r="988" spans="1:9" ht="15.75">
      <c r="A988" s="498"/>
      <c r="B988" s="498"/>
      <c r="C988" s="499"/>
      <c r="D988" s="500"/>
      <c r="E988" s="498"/>
      <c r="F988" s="498"/>
      <c r="G988" s="498"/>
      <c r="H988" s="498"/>
      <c r="I988" s="513"/>
    </row>
    <row r="989" spans="1:9" ht="15.75">
      <c r="A989" s="498"/>
      <c r="B989" s="498"/>
      <c r="C989" s="499"/>
      <c r="D989" s="500"/>
      <c r="E989" s="498"/>
      <c r="F989" s="498"/>
      <c r="G989" s="498"/>
      <c r="H989" s="498"/>
      <c r="I989" s="502"/>
    </row>
    <row r="990" spans="1:9" ht="15.75">
      <c r="A990" s="498"/>
      <c r="B990" s="498"/>
      <c r="C990" s="499"/>
      <c r="D990" s="500"/>
      <c r="E990" s="498"/>
      <c r="F990" s="498"/>
      <c r="G990" s="498"/>
      <c r="H990" s="498"/>
      <c r="I990" s="502"/>
    </row>
    <row r="991" spans="1:9" ht="15.75">
      <c r="A991" s="498"/>
      <c r="B991" s="498"/>
      <c r="C991" s="499"/>
      <c r="D991" s="500"/>
      <c r="E991" s="498"/>
      <c r="F991" s="498"/>
      <c r="G991" s="498"/>
      <c r="H991" s="498"/>
      <c r="I991" s="513"/>
    </row>
    <row r="992" spans="1:9" ht="15.75">
      <c r="A992" s="498"/>
      <c r="B992" s="498"/>
      <c r="C992" s="499"/>
      <c r="D992" s="500"/>
      <c r="E992" s="498"/>
      <c r="F992" s="498"/>
      <c r="G992" s="498"/>
      <c r="H992" s="498"/>
      <c r="I992" s="502"/>
    </row>
    <row r="993" spans="1:9" ht="15.75">
      <c r="A993" s="498"/>
      <c r="B993" s="498"/>
      <c r="C993" s="499"/>
      <c r="D993" s="500"/>
      <c r="E993" s="498"/>
      <c r="F993" s="498"/>
      <c r="G993" s="498"/>
      <c r="H993" s="498"/>
      <c r="I993" s="502"/>
    </row>
    <row r="994" spans="1:9" ht="15.75">
      <c r="A994" s="498"/>
      <c r="B994" s="498"/>
      <c r="C994" s="499"/>
      <c r="D994" s="500"/>
      <c r="E994" s="498"/>
      <c r="F994" s="498"/>
      <c r="G994" s="498"/>
      <c r="H994" s="498"/>
      <c r="I994" s="502"/>
    </row>
    <row r="995" spans="1:9" ht="15.75">
      <c r="A995" s="498"/>
      <c r="B995" s="498"/>
      <c r="C995" s="499"/>
      <c r="D995" s="500"/>
      <c r="E995" s="498"/>
      <c r="F995" s="498"/>
      <c r="G995" s="498"/>
      <c r="H995" s="498"/>
      <c r="I995" s="502"/>
    </row>
    <row r="996" spans="1:9" ht="15.75">
      <c r="A996" s="498"/>
      <c r="B996" s="498"/>
      <c r="C996" s="499"/>
      <c r="D996" s="500"/>
      <c r="E996" s="498"/>
      <c r="F996" s="498"/>
      <c r="G996" s="498"/>
      <c r="H996" s="498"/>
      <c r="I996" s="502"/>
    </row>
    <row r="997" spans="1:9" ht="15.75">
      <c r="A997" s="498"/>
      <c r="B997" s="498"/>
      <c r="C997" s="499"/>
      <c r="D997" s="500"/>
      <c r="E997" s="498"/>
      <c r="F997" s="498"/>
      <c r="G997" s="498"/>
      <c r="H997" s="498"/>
      <c r="I997" s="502"/>
    </row>
    <row r="998" spans="1:9" ht="15.75">
      <c r="A998" s="498"/>
      <c r="B998" s="498"/>
      <c r="C998" s="499"/>
      <c r="D998" s="500"/>
      <c r="E998" s="498"/>
      <c r="F998" s="498"/>
      <c r="G998" s="498"/>
      <c r="H998" s="498"/>
      <c r="I998" s="502"/>
    </row>
    <row r="999" spans="1:9" ht="15.75">
      <c r="A999" s="498"/>
      <c r="B999" s="498"/>
      <c r="C999" s="499"/>
      <c r="D999" s="500"/>
      <c r="E999" s="498"/>
      <c r="F999" s="498"/>
      <c r="G999" s="498"/>
      <c r="H999" s="498"/>
      <c r="I999" s="502"/>
    </row>
    <row r="1000" spans="1:9" ht="15.75">
      <c r="A1000" s="498"/>
      <c r="B1000" s="498"/>
      <c r="C1000" s="499"/>
      <c r="D1000" s="500"/>
      <c r="E1000" s="498"/>
      <c r="F1000" s="498"/>
      <c r="G1000" s="498"/>
      <c r="H1000" s="498"/>
      <c r="I1000" s="502"/>
    </row>
    <row r="1001" spans="1:9" ht="15.75">
      <c r="A1001" s="498"/>
      <c r="B1001" s="498"/>
      <c r="C1001" s="499"/>
      <c r="D1001" s="500"/>
      <c r="E1001" s="498"/>
      <c r="F1001" s="498"/>
      <c r="G1001" s="498"/>
      <c r="H1001" s="498"/>
      <c r="I1001" s="502"/>
    </row>
    <row r="1002" spans="1:9" ht="15.75">
      <c r="A1002" s="498"/>
      <c r="B1002" s="498"/>
      <c r="C1002" s="499"/>
      <c r="D1002" s="500"/>
      <c r="E1002" s="498"/>
      <c r="F1002" s="498"/>
      <c r="G1002" s="498"/>
      <c r="H1002" s="498"/>
      <c r="I1002" s="502"/>
    </row>
    <row r="1003" spans="1:9" ht="15.75">
      <c r="A1003" s="498"/>
      <c r="B1003" s="504"/>
      <c r="C1003" s="499"/>
      <c r="D1003" s="500"/>
      <c r="E1003" s="498"/>
      <c r="F1003" s="498"/>
      <c r="G1003" s="498"/>
      <c r="H1003" s="498"/>
      <c r="I1003" s="513"/>
    </row>
    <row r="1004" spans="1:9" ht="15.75">
      <c r="A1004" s="498"/>
      <c r="B1004" s="498"/>
      <c r="C1004" s="499"/>
      <c r="D1004" s="500"/>
      <c r="E1004" s="498"/>
      <c r="F1004" s="498"/>
      <c r="G1004" s="498"/>
      <c r="H1004" s="498"/>
      <c r="I1004" s="502"/>
    </row>
    <row r="1005" spans="1:9" ht="15.75">
      <c r="A1005" s="498"/>
      <c r="B1005" s="498"/>
      <c r="C1005" s="499"/>
      <c r="D1005" s="500"/>
      <c r="E1005" s="498"/>
      <c r="F1005" s="498"/>
      <c r="G1005" s="498"/>
      <c r="H1005" s="498"/>
      <c r="I1005" s="502"/>
    </row>
    <row r="1006" spans="1:9" ht="15.75">
      <c r="A1006" s="498"/>
      <c r="B1006" s="498"/>
      <c r="C1006" s="499"/>
      <c r="D1006" s="500"/>
      <c r="E1006" s="498"/>
      <c r="F1006" s="498"/>
      <c r="G1006" s="498"/>
      <c r="H1006" s="498"/>
      <c r="I1006" s="502"/>
    </row>
    <row r="1007" spans="1:9" ht="15.75">
      <c r="A1007" s="498"/>
      <c r="B1007" s="498"/>
      <c r="C1007" s="499"/>
      <c r="D1007" s="500"/>
      <c r="E1007" s="498"/>
      <c r="F1007" s="498"/>
      <c r="G1007" s="498"/>
      <c r="H1007" s="498"/>
      <c r="I1007" s="513"/>
    </row>
    <row r="1008" spans="1:9" ht="15.75">
      <c r="A1008" s="498"/>
      <c r="B1008" s="498"/>
      <c r="C1008" s="499"/>
      <c r="D1008" s="500"/>
      <c r="E1008" s="498"/>
      <c r="F1008" s="498"/>
      <c r="G1008" s="498"/>
      <c r="H1008" s="498"/>
      <c r="I1008" s="502"/>
    </row>
    <row r="1009" spans="1:9" ht="15.75">
      <c r="A1009" s="498"/>
      <c r="B1009" s="498"/>
      <c r="C1009" s="499"/>
      <c r="D1009" s="500"/>
      <c r="E1009" s="498"/>
      <c r="F1009" s="498"/>
      <c r="G1009" s="498"/>
      <c r="H1009" s="498"/>
      <c r="I1009" s="502"/>
    </row>
    <row r="1010" spans="1:9" ht="15.75">
      <c r="A1010" s="498"/>
      <c r="B1010" s="498"/>
      <c r="C1010" s="499"/>
      <c r="D1010" s="500"/>
      <c r="E1010" s="498"/>
      <c r="F1010" s="498"/>
      <c r="G1010" s="498"/>
      <c r="H1010" s="498"/>
      <c r="I1010" s="502"/>
    </row>
    <row r="1011" spans="1:9" ht="15.75">
      <c r="A1011" s="498"/>
      <c r="B1011" s="498"/>
      <c r="C1011" s="499"/>
      <c r="D1011" s="500"/>
      <c r="E1011" s="498"/>
      <c r="F1011" s="498"/>
      <c r="G1011" s="498"/>
      <c r="H1011" s="498"/>
      <c r="I1011" s="502"/>
    </row>
    <row r="1012" spans="1:9" ht="15.75">
      <c r="A1012" s="498"/>
      <c r="B1012" s="498"/>
      <c r="C1012" s="499"/>
      <c r="D1012" s="500"/>
      <c r="E1012" s="498"/>
      <c r="F1012" s="498"/>
      <c r="G1012" s="498"/>
      <c r="H1012" s="498"/>
      <c r="I1012" s="502"/>
    </row>
    <row r="1013" spans="1:9" ht="15.75">
      <c r="A1013" s="498"/>
      <c r="B1013" s="498"/>
      <c r="C1013" s="499"/>
      <c r="D1013" s="500"/>
      <c r="E1013" s="498"/>
      <c r="F1013" s="498"/>
      <c r="G1013" s="498"/>
      <c r="H1013" s="498"/>
      <c r="I1013" s="502"/>
    </row>
    <row r="1014" spans="1:9" ht="15.75">
      <c r="A1014" s="498"/>
      <c r="B1014" s="498"/>
      <c r="C1014" s="499"/>
      <c r="D1014" s="500"/>
      <c r="E1014" s="498"/>
      <c r="F1014" s="498"/>
      <c r="G1014" s="498"/>
      <c r="H1014" s="498"/>
      <c r="I1014" s="502"/>
    </row>
    <row r="1015" spans="1:9" ht="15.75">
      <c r="A1015" s="498"/>
      <c r="B1015" s="498"/>
      <c r="C1015" s="499"/>
      <c r="D1015" s="500"/>
      <c r="E1015" s="498"/>
      <c r="F1015" s="498"/>
      <c r="G1015" s="498"/>
      <c r="H1015" s="498"/>
      <c r="I1015" s="502"/>
    </row>
    <row r="1016" spans="1:9" ht="15.75">
      <c r="A1016" s="498"/>
      <c r="B1016" s="498"/>
      <c r="C1016" s="499"/>
      <c r="D1016" s="500"/>
      <c r="E1016" s="498"/>
      <c r="F1016" s="498"/>
      <c r="G1016" s="498"/>
      <c r="H1016" s="498"/>
      <c r="I1016" s="502"/>
    </row>
    <row r="1017" spans="1:9" ht="15.75">
      <c r="A1017" s="498"/>
      <c r="B1017" s="498"/>
      <c r="C1017" s="499"/>
      <c r="D1017" s="500"/>
      <c r="E1017" s="498"/>
      <c r="F1017" s="498"/>
      <c r="G1017" s="498"/>
      <c r="H1017" s="498"/>
      <c r="I1017" s="513"/>
    </row>
    <row r="1018" spans="1:9" ht="15.75">
      <c r="A1018" s="498"/>
      <c r="B1018" s="498"/>
      <c r="C1018" s="499"/>
      <c r="D1018" s="500"/>
      <c r="E1018" s="498"/>
      <c r="F1018" s="498"/>
      <c r="G1018" s="498"/>
      <c r="H1018" s="498"/>
      <c r="I1018" s="502"/>
    </row>
    <row r="1019" spans="1:9" ht="15.75">
      <c r="A1019" s="498"/>
      <c r="B1019" s="498"/>
      <c r="C1019" s="499"/>
      <c r="D1019" s="500"/>
      <c r="E1019" s="498"/>
      <c r="F1019" s="498"/>
      <c r="G1019" s="498"/>
      <c r="H1019" s="498"/>
      <c r="I1019" s="502"/>
    </row>
    <row r="1020" spans="1:9" ht="15.75">
      <c r="A1020" s="498"/>
      <c r="B1020" s="498"/>
      <c r="C1020" s="499"/>
      <c r="D1020" s="500"/>
      <c r="E1020" s="498"/>
      <c r="F1020" s="498"/>
      <c r="G1020" s="498"/>
      <c r="H1020" s="498"/>
      <c r="I1020" s="502"/>
    </row>
    <row r="1021" spans="1:9" ht="15.75">
      <c r="A1021" s="498"/>
      <c r="B1021" s="498"/>
      <c r="C1021" s="499"/>
      <c r="D1021" s="500"/>
      <c r="E1021" s="498"/>
      <c r="F1021" s="498"/>
      <c r="G1021" s="498"/>
      <c r="H1021" s="498"/>
      <c r="I1021" s="502"/>
    </row>
    <row r="1022" spans="1:9" ht="15.75">
      <c r="A1022" s="498"/>
      <c r="B1022" s="498"/>
      <c r="C1022" s="499"/>
      <c r="D1022" s="500"/>
      <c r="E1022" s="498"/>
      <c r="F1022" s="498"/>
      <c r="G1022" s="498"/>
      <c r="H1022" s="498"/>
      <c r="I1022" s="502"/>
    </row>
    <row r="1023" spans="1:9" ht="15.75">
      <c r="A1023" s="498"/>
      <c r="B1023" s="498"/>
      <c r="C1023" s="499"/>
      <c r="D1023" s="500"/>
      <c r="E1023" s="498"/>
      <c r="F1023" s="498"/>
      <c r="G1023" s="498"/>
      <c r="H1023" s="498"/>
      <c r="I1023" s="502"/>
    </row>
    <row r="1024" spans="1:9" ht="15.75">
      <c r="A1024" s="498"/>
      <c r="B1024" s="498"/>
      <c r="C1024" s="499"/>
      <c r="D1024" s="500"/>
      <c r="E1024" s="498"/>
      <c r="F1024" s="498"/>
      <c r="G1024" s="498"/>
      <c r="H1024" s="498"/>
      <c r="I1024" s="502"/>
    </row>
    <row r="1025" spans="1:9" ht="15.75">
      <c r="A1025" s="498"/>
      <c r="B1025" s="498"/>
      <c r="C1025" s="499"/>
      <c r="D1025" s="500"/>
      <c r="E1025" s="498"/>
      <c r="F1025" s="498"/>
      <c r="G1025" s="498"/>
      <c r="H1025" s="498"/>
      <c r="I1025" s="502"/>
    </row>
    <row r="1026" spans="1:9" ht="15.75">
      <c r="A1026" s="498"/>
      <c r="B1026" s="498"/>
      <c r="C1026" s="499"/>
      <c r="D1026" s="500"/>
      <c r="E1026" s="498"/>
      <c r="F1026" s="498"/>
      <c r="G1026" s="498"/>
      <c r="H1026" s="498"/>
      <c r="I1026" s="502"/>
    </row>
    <row r="1027" spans="1:9" ht="15.75">
      <c r="A1027" s="498"/>
      <c r="B1027" s="498"/>
      <c r="C1027" s="499"/>
      <c r="D1027" s="500"/>
      <c r="E1027" s="498"/>
      <c r="F1027" s="498"/>
      <c r="G1027" s="498"/>
      <c r="H1027" s="498"/>
      <c r="I1027" s="502"/>
    </row>
    <row r="1028" spans="1:9" ht="15.75">
      <c r="A1028" s="498"/>
      <c r="B1028" s="498"/>
      <c r="C1028" s="499"/>
      <c r="D1028" s="500"/>
      <c r="E1028" s="498"/>
      <c r="F1028" s="498"/>
      <c r="G1028" s="498"/>
      <c r="H1028" s="498"/>
      <c r="I1028" s="502"/>
    </row>
    <row r="1029" spans="1:9" ht="15.75">
      <c r="A1029" s="498"/>
      <c r="B1029" s="498"/>
      <c r="C1029" s="499"/>
      <c r="D1029" s="500"/>
      <c r="E1029" s="498"/>
      <c r="F1029" s="498"/>
      <c r="G1029" s="498"/>
      <c r="H1029" s="498"/>
      <c r="I1029" s="502"/>
    </row>
    <row r="1030" spans="1:9" ht="15.75">
      <c r="A1030" s="498"/>
      <c r="B1030" s="498"/>
      <c r="C1030" s="499"/>
      <c r="D1030" s="500"/>
      <c r="E1030" s="498"/>
      <c r="F1030" s="498"/>
      <c r="G1030" s="498"/>
      <c r="H1030" s="498"/>
      <c r="I1030" s="502"/>
    </row>
    <row r="1031" spans="1:9" ht="15.75">
      <c r="A1031" s="498"/>
      <c r="B1031" s="498"/>
      <c r="C1031" s="499"/>
      <c r="D1031" s="500"/>
      <c r="E1031" s="498"/>
      <c r="F1031" s="498"/>
      <c r="G1031" s="498"/>
      <c r="H1031" s="498"/>
      <c r="I1031" s="502"/>
    </row>
    <row r="1032" spans="1:9" ht="15.75">
      <c r="A1032" s="498"/>
      <c r="B1032" s="498"/>
      <c r="C1032" s="499"/>
      <c r="D1032" s="500"/>
      <c r="E1032" s="498"/>
      <c r="F1032" s="498"/>
      <c r="G1032" s="498"/>
      <c r="H1032" s="498"/>
      <c r="I1032" s="502"/>
    </row>
    <row r="1033" spans="1:9" ht="15.75">
      <c r="A1033" s="498"/>
      <c r="B1033" s="498"/>
      <c r="C1033" s="499"/>
      <c r="D1033" s="500"/>
      <c r="E1033" s="498"/>
      <c r="F1033" s="498"/>
      <c r="G1033" s="498"/>
      <c r="H1033" s="498"/>
      <c r="I1033" s="502"/>
    </row>
    <row r="1034" spans="1:9" ht="15.75">
      <c r="A1034" s="498"/>
      <c r="B1034" s="498"/>
      <c r="C1034" s="499"/>
      <c r="D1034" s="500"/>
      <c r="E1034" s="498"/>
      <c r="F1034" s="498"/>
      <c r="G1034" s="498"/>
      <c r="H1034" s="498"/>
      <c r="I1034" s="502"/>
    </row>
    <row r="1035" spans="1:9" ht="15.75">
      <c r="A1035" s="498"/>
      <c r="B1035" s="498"/>
      <c r="C1035" s="499"/>
      <c r="D1035" s="500"/>
      <c r="E1035" s="498"/>
      <c r="F1035" s="498"/>
      <c r="G1035" s="498"/>
      <c r="H1035" s="498"/>
      <c r="I1035" s="502"/>
    </row>
    <row r="1036" spans="1:9" ht="15.75">
      <c r="A1036" s="498"/>
      <c r="B1036" s="498"/>
      <c r="C1036" s="499"/>
      <c r="D1036" s="500"/>
      <c r="E1036" s="498"/>
      <c r="F1036" s="498"/>
      <c r="G1036" s="498"/>
      <c r="H1036" s="498"/>
      <c r="I1036" s="502"/>
    </row>
    <row r="1037" spans="1:9" ht="15.75">
      <c r="A1037" s="498"/>
      <c r="B1037" s="498"/>
      <c r="C1037" s="499"/>
      <c r="D1037" s="500"/>
      <c r="E1037" s="498"/>
      <c r="F1037" s="498"/>
      <c r="G1037" s="498"/>
      <c r="H1037" s="498"/>
      <c r="I1037" s="502"/>
    </row>
    <row r="1038" spans="1:9" ht="15.75">
      <c r="A1038" s="498"/>
      <c r="B1038" s="498"/>
      <c r="C1038" s="499"/>
      <c r="D1038" s="500"/>
      <c r="E1038" s="498"/>
      <c r="F1038" s="498"/>
      <c r="G1038" s="498"/>
      <c r="H1038" s="498"/>
      <c r="I1038" s="502"/>
    </row>
    <row r="1039" spans="1:9" ht="15.75">
      <c r="A1039" s="498"/>
      <c r="B1039" s="498"/>
      <c r="C1039" s="499"/>
      <c r="D1039" s="500"/>
      <c r="E1039" s="498"/>
      <c r="F1039" s="498"/>
      <c r="G1039" s="498"/>
      <c r="H1039" s="498"/>
      <c r="I1039" s="502"/>
    </row>
    <row r="1040" spans="1:9" ht="15.75">
      <c r="A1040" s="498"/>
      <c r="B1040" s="498"/>
      <c r="C1040" s="499"/>
      <c r="D1040" s="500"/>
      <c r="E1040" s="498"/>
      <c r="F1040" s="498"/>
      <c r="G1040" s="498"/>
      <c r="H1040" s="498"/>
      <c r="I1040" s="502"/>
    </row>
    <row r="1041" spans="1:9" ht="15.75">
      <c r="A1041" s="498"/>
      <c r="B1041" s="498"/>
      <c r="C1041" s="499"/>
      <c r="D1041" s="500"/>
      <c r="E1041" s="498"/>
      <c r="F1041" s="498"/>
      <c r="G1041" s="498"/>
      <c r="H1041" s="498"/>
      <c r="I1041" s="502"/>
    </row>
    <row r="1042" spans="1:9" ht="15.75">
      <c r="A1042" s="498"/>
      <c r="B1042" s="498"/>
      <c r="C1042" s="499"/>
      <c r="D1042" s="500"/>
      <c r="E1042" s="498"/>
      <c r="F1042" s="498"/>
      <c r="G1042" s="498"/>
      <c r="H1042" s="498"/>
      <c r="I1042" s="502"/>
    </row>
    <row r="1043" spans="1:9" ht="15.75">
      <c r="A1043" s="498"/>
      <c r="B1043" s="498"/>
      <c r="C1043" s="499"/>
      <c r="D1043" s="500"/>
      <c r="E1043" s="498"/>
      <c r="F1043" s="498"/>
      <c r="G1043" s="498"/>
      <c r="H1043" s="498"/>
      <c r="I1043" s="502"/>
    </row>
    <row r="1044" spans="1:9" ht="15.75">
      <c r="A1044" s="498"/>
      <c r="B1044" s="498"/>
      <c r="C1044" s="499"/>
      <c r="D1044" s="500"/>
      <c r="E1044" s="498"/>
      <c r="F1044" s="498"/>
      <c r="G1044" s="498"/>
      <c r="H1044" s="498"/>
      <c r="I1044" s="502"/>
    </row>
    <row r="1045" spans="1:9" ht="15.75">
      <c r="A1045" s="498"/>
      <c r="B1045" s="498"/>
      <c r="C1045" s="499"/>
      <c r="D1045" s="500"/>
      <c r="E1045" s="498"/>
      <c r="F1045" s="498"/>
      <c r="G1045" s="498"/>
      <c r="H1045" s="498"/>
      <c r="I1045" s="502"/>
    </row>
    <row r="1046" spans="1:9" ht="15.75">
      <c r="A1046" s="498"/>
      <c r="B1046" s="498"/>
      <c r="C1046" s="499"/>
      <c r="D1046" s="500"/>
      <c r="E1046" s="498"/>
      <c r="F1046" s="498"/>
      <c r="G1046" s="498"/>
      <c r="H1046" s="498"/>
      <c r="I1046" s="502"/>
    </row>
    <row r="1047" spans="1:9" ht="15.75">
      <c r="A1047" s="498"/>
      <c r="B1047" s="498"/>
      <c r="C1047" s="499"/>
      <c r="D1047" s="500"/>
      <c r="E1047" s="498"/>
      <c r="F1047" s="498"/>
      <c r="G1047" s="498"/>
      <c r="H1047" s="498"/>
      <c r="I1047" s="513"/>
    </row>
    <row r="1048" spans="1:9" ht="15.75">
      <c r="A1048" s="498"/>
      <c r="B1048" s="498"/>
      <c r="C1048" s="499"/>
      <c r="D1048" s="500"/>
      <c r="E1048" s="498"/>
      <c r="F1048" s="498"/>
      <c r="G1048" s="498"/>
      <c r="H1048" s="498"/>
      <c r="I1048" s="502"/>
    </row>
    <row r="1049" spans="1:9" ht="15.75">
      <c r="A1049" s="498"/>
      <c r="B1049" s="498"/>
      <c r="C1049" s="499"/>
      <c r="D1049" s="500"/>
      <c r="E1049" s="498"/>
      <c r="F1049" s="498"/>
      <c r="G1049" s="498"/>
      <c r="H1049" s="498"/>
      <c r="I1049" s="502"/>
    </row>
    <row r="1050" spans="1:9" ht="15.75">
      <c r="A1050" s="498"/>
      <c r="B1050" s="498"/>
      <c r="C1050" s="499"/>
      <c r="D1050" s="500"/>
      <c r="E1050" s="498"/>
      <c r="F1050" s="498"/>
      <c r="G1050" s="498"/>
      <c r="H1050" s="498"/>
      <c r="I1050" s="502"/>
    </row>
    <row r="1051" spans="1:9" ht="15.75">
      <c r="A1051" s="498"/>
      <c r="B1051" s="498"/>
      <c r="C1051" s="499"/>
      <c r="D1051" s="500"/>
      <c r="E1051" s="498"/>
      <c r="F1051" s="498"/>
      <c r="G1051" s="498"/>
      <c r="H1051" s="498"/>
      <c r="I1051" s="502"/>
    </row>
    <row r="1052" spans="1:9" ht="15.75">
      <c r="A1052" s="498"/>
      <c r="B1052" s="498"/>
      <c r="C1052" s="499"/>
      <c r="D1052" s="500"/>
      <c r="E1052" s="498"/>
      <c r="F1052" s="498"/>
      <c r="G1052" s="498"/>
      <c r="H1052" s="498"/>
      <c r="I1052" s="502"/>
    </row>
    <row r="1053" spans="1:9" ht="15.75">
      <c r="A1053" s="498"/>
      <c r="B1053" s="498"/>
      <c r="C1053" s="499"/>
      <c r="D1053" s="500"/>
      <c r="E1053" s="498"/>
      <c r="F1053" s="498"/>
      <c r="G1053" s="498"/>
      <c r="H1053" s="498"/>
      <c r="I1053" s="502"/>
    </row>
    <row r="1054" spans="1:9" ht="15.75">
      <c r="A1054" s="498"/>
      <c r="B1054" s="498"/>
      <c r="C1054" s="499"/>
      <c r="D1054" s="500"/>
      <c r="E1054" s="498"/>
      <c r="F1054" s="498"/>
      <c r="G1054" s="498"/>
      <c r="H1054" s="498"/>
      <c r="I1054" s="502"/>
    </row>
    <row r="1055" spans="1:9" ht="15.75">
      <c r="A1055" s="498"/>
      <c r="B1055" s="498"/>
      <c r="C1055" s="499"/>
      <c r="D1055" s="500"/>
      <c r="E1055" s="498"/>
      <c r="F1055" s="498"/>
      <c r="G1055" s="498"/>
      <c r="H1055" s="498"/>
      <c r="I1055" s="502"/>
    </row>
    <row r="1056" spans="1:9" ht="15.75">
      <c r="A1056" s="498"/>
      <c r="B1056" s="498"/>
      <c r="C1056" s="499"/>
      <c r="D1056" s="500"/>
      <c r="E1056" s="498"/>
      <c r="F1056" s="498"/>
      <c r="G1056" s="498"/>
      <c r="H1056" s="498"/>
      <c r="I1056" s="502"/>
    </row>
    <row r="1057" spans="1:9" ht="15.75">
      <c r="A1057" s="498"/>
      <c r="B1057" s="498"/>
      <c r="C1057" s="499"/>
      <c r="D1057" s="500"/>
      <c r="E1057" s="498"/>
      <c r="F1057" s="498"/>
      <c r="G1057" s="498"/>
      <c r="H1057" s="498"/>
      <c r="I1057" s="513"/>
    </row>
    <row r="1058" spans="1:9" ht="15.75">
      <c r="A1058" s="498"/>
      <c r="B1058" s="498"/>
      <c r="C1058" s="499"/>
      <c r="D1058" s="500"/>
      <c r="E1058" s="498"/>
      <c r="F1058" s="498"/>
      <c r="G1058" s="498"/>
      <c r="H1058" s="498"/>
      <c r="I1058" s="502"/>
    </row>
    <row r="1059" spans="1:9" ht="15.75">
      <c r="A1059" s="498"/>
      <c r="B1059" s="498"/>
      <c r="C1059" s="499"/>
      <c r="D1059" s="500"/>
      <c r="E1059" s="498"/>
      <c r="F1059" s="498"/>
      <c r="G1059" s="498"/>
      <c r="H1059" s="498"/>
      <c r="I1059" s="502"/>
    </row>
    <row r="1060" spans="1:9" ht="15.75">
      <c r="A1060" s="498"/>
      <c r="B1060" s="498"/>
      <c r="C1060" s="499"/>
      <c r="D1060" s="500"/>
      <c r="E1060" s="498"/>
      <c r="F1060" s="498"/>
      <c r="G1060" s="498"/>
      <c r="H1060" s="498"/>
      <c r="I1060" s="502"/>
    </row>
    <row r="1061" spans="1:9" ht="15.75">
      <c r="A1061" s="498"/>
      <c r="B1061" s="498"/>
      <c r="C1061" s="499"/>
      <c r="D1061" s="500"/>
      <c r="E1061" s="498"/>
      <c r="F1061" s="498"/>
      <c r="G1061" s="498"/>
      <c r="H1061" s="498"/>
      <c r="I1061" s="502"/>
    </row>
    <row r="1062" spans="1:9" ht="15.75">
      <c r="A1062" s="498"/>
      <c r="B1062" s="498"/>
      <c r="C1062" s="499"/>
      <c r="D1062" s="500"/>
      <c r="E1062" s="498"/>
      <c r="F1062" s="498"/>
      <c r="G1062" s="498"/>
      <c r="H1062" s="498"/>
      <c r="I1062" s="502"/>
    </row>
    <row r="1063" spans="1:9" ht="15.75">
      <c r="A1063" s="498"/>
      <c r="B1063" s="498"/>
      <c r="C1063" s="499"/>
      <c r="D1063" s="500"/>
      <c r="E1063" s="498"/>
      <c r="F1063" s="498"/>
      <c r="G1063" s="498"/>
      <c r="H1063" s="498"/>
      <c r="I1063" s="502"/>
    </row>
    <row r="1064" spans="1:9" ht="15.75">
      <c r="A1064" s="498"/>
      <c r="B1064" s="498"/>
      <c r="C1064" s="499"/>
      <c r="D1064" s="500"/>
      <c r="E1064" s="498"/>
      <c r="F1064" s="498"/>
      <c r="G1064" s="498"/>
      <c r="H1064" s="498"/>
      <c r="I1064" s="502"/>
    </row>
    <row r="1065" spans="1:9" ht="15.75">
      <c r="A1065" s="498"/>
      <c r="B1065" s="498"/>
      <c r="C1065" s="499"/>
      <c r="D1065" s="500"/>
      <c r="E1065" s="498"/>
      <c r="F1065" s="498"/>
      <c r="G1065" s="498"/>
      <c r="H1065" s="498"/>
      <c r="I1065" s="502"/>
    </row>
    <row r="1066" spans="1:9" ht="15.75">
      <c r="A1066" s="498"/>
      <c r="B1066" s="498"/>
      <c r="C1066" s="499"/>
      <c r="D1066" s="500"/>
      <c r="E1066" s="498"/>
      <c r="F1066" s="498"/>
      <c r="G1066" s="498"/>
      <c r="H1066" s="498"/>
      <c r="I1066" s="513"/>
    </row>
    <row r="1067" spans="1:9" ht="15.75">
      <c r="A1067" s="498"/>
      <c r="B1067" s="498"/>
      <c r="C1067" s="499"/>
      <c r="D1067" s="500"/>
      <c r="E1067" s="498"/>
      <c r="F1067" s="498"/>
      <c r="G1067" s="498"/>
      <c r="H1067" s="498"/>
      <c r="I1067" s="502"/>
    </row>
    <row r="1068" spans="1:9" ht="15.75">
      <c r="A1068" s="498"/>
      <c r="B1068" s="498"/>
      <c r="C1068" s="499"/>
      <c r="D1068" s="500"/>
      <c r="E1068" s="498"/>
      <c r="F1068" s="498"/>
      <c r="G1068" s="498"/>
      <c r="H1068" s="498"/>
      <c r="I1068" s="502"/>
    </row>
    <row r="1069" spans="1:9" ht="15.75">
      <c r="A1069" s="498"/>
      <c r="B1069" s="498"/>
      <c r="C1069" s="499"/>
      <c r="D1069" s="500"/>
      <c r="E1069" s="498"/>
      <c r="F1069" s="498"/>
      <c r="G1069" s="498"/>
      <c r="H1069" s="498"/>
      <c r="I1069" s="502"/>
    </row>
    <row r="1070" spans="1:9" ht="15.75">
      <c r="A1070" s="498"/>
      <c r="B1070" s="498"/>
      <c r="C1070" s="499"/>
      <c r="D1070" s="500"/>
      <c r="E1070" s="498"/>
      <c r="F1070" s="498"/>
      <c r="G1070" s="498"/>
      <c r="H1070" s="498"/>
      <c r="I1070" s="502"/>
    </row>
    <row r="1071" spans="1:9" ht="15.75">
      <c r="A1071" s="498"/>
      <c r="B1071" s="498"/>
      <c r="C1071" s="499"/>
      <c r="D1071" s="500"/>
      <c r="E1071" s="498"/>
      <c r="F1071" s="498"/>
      <c r="G1071" s="498"/>
      <c r="H1071" s="498"/>
      <c r="I1071" s="502"/>
    </row>
    <row r="1072" spans="1:9" ht="15.75">
      <c r="A1072" s="498"/>
      <c r="B1072" s="498"/>
      <c r="C1072" s="499"/>
      <c r="D1072" s="500"/>
      <c r="E1072" s="498"/>
      <c r="F1072" s="498"/>
      <c r="G1072" s="498"/>
      <c r="H1072" s="498"/>
      <c r="I1072" s="502"/>
    </row>
    <row r="1073" spans="1:9" ht="15.75">
      <c r="A1073" s="498"/>
      <c r="B1073" s="498"/>
      <c r="C1073" s="499"/>
      <c r="D1073" s="500"/>
      <c r="E1073" s="498"/>
      <c r="F1073" s="498"/>
      <c r="G1073" s="498"/>
      <c r="H1073" s="498"/>
      <c r="I1073" s="502"/>
    </row>
    <row r="1074" spans="1:9" ht="15.75">
      <c r="A1074" s="498"/>
      <c r="B1074" s="498"/>
      <c r="C1074" s="499"/>
      <c r="D1074" s="500"/>
      <c r="E1074" s="498"/>
      <c r="F1074" s="498"/>
      <c r="G1074" s="498"/>
      <c r="H1074" s="498"/>
      <c r="I1074" s="502"/>
    </row>
    <row r="1075" spans="1:9" ht="15.75">
      <c r="A1075" s="498"/>
      <c r="B1075" s="498"/>
      <c r="C1075" s="499"/>
      <c r="D1075" s="500"/>
      <c r="E1075" s="498"/>
      <c r="F1075" s="498"/>
      <c r="G1075" s="498"/>
      <c r="H1075" s="498"/>
      <c r="I1075" s="502"/>
    </row>
    <row r="1076" spans="1:9" ht="15.75">
      <c r="A1076" s="498"/>
      <c r="B1076" s="498"/>
      <c r="C1076" s="499"/>
      <c r="D1076" s="500"/>
      <c r="E1076" s="498"/>
      <c r="F1076" s="498"/>
      <c r="G1076" s="498"/>
      <c r="H1076" s="498"/>
      <c r="I1076" s="502"/>
    </row>
    <row r="1077" spans="1:9" ht="15.75">
      <c r="A1077" s="498"/>
      <c r="B1077" s="498"/>
      <c r="C1077" s="499"/>
      <c r="D1077" s="500"/>
      <c r="E1077" s="498"/>
      <c r="F1077" s="498"/>
      <c r="G1077" s="498"/>
      <c r="H1077" s="498"/>
      <c r="I1077" s="515"/>
    </row>
    <row r="1078" spans="1:9" ht="15.75">
      <c r="A1078" s="498"/>
      <c r="B1078" s="498"/>
      <c r="C1078" s="499"/>
      <c r="D1078" s="500"/>
      <c r="E1078" s="498"/>
      <c r="F1078" s="498"/>
      <c r="G1078" s="498"/>
      <c r="H1078" s="498"/>
      <c r="I1078" s="502"/>
    </row>
    <row r="1079" spans="1:9" ht="15.75">
      <c r="A1079" s="498"/>
      <c r="B1079" s="498"/>
      <c r="C1079" s="499"/>
      <c r="D1079" s="500"/>
      <c r="E1079" s="498"/>
      <c r="F1079" s="498"/>
      <c r="G1079" s="498"/>
      <c r="H1079" s="498"/>
      <c r="I1079" s="502"/>
    </row>
    <row r="1080" spans="1:9" ht="15.75">
      <c r="A1080" s="498"/>
      <c r="B1080" s="498"/>
      <c r="C1080" s="499"/>
      <c r="D1080" s="500"/>
      <c r="E1080" s="498"/>
      <c r="F1080" s="498"/>
      <c r="G1080" s="498"/>
      <c r="H1080" s="498"/>
      <c r="I1080" s="502"/>
    </row>
    <row r="1081" spans="1:9" ht="15.75">
      <c r="A1081" s="498"/>
      <c r="B1081" s="498"/>
      <c r="C1081" s="499"/>
      <c r="D1081" s="500"/>
      <c r="E1081" s="498"/>
      <c r="F1081" s="498"/>
      <c r="G1081" s="498"/>
      <c r="H1081" s="498"/>
      <c r="I1081" s="502"/>
    </row>
    <row r="1082" spans="1:9" ht="15.75">
      <c r="A1082" s="498"/>
      <c r="B1082" s="498"/>
      <c r="C1082" s="499"/>
      <c r="D1082" s="500"/>
      <c r="E1082" s="498"/>
      <c r="F1082" s="498"/>
      <c r="G1082" s="498"/>
      <c r="H1082" s="498"/>
      <c r="I1082" s="513"/>
    </row>
    <row r="1083" spans="1:9" ht="15.75">
      <c r="A1083" s="498"/>
      <c r="B1083" s="498"/>
      <c r="C1083" s="499"/>
      <c r="D1083" s="500"/>
      <c r="E1083" s="498"/>
      <c r="F1083" s="498"/>
      <c r="G1083" s="498"/>
      <c r="H1083" s="498"/>
      <c r="I1083" s="502"/>
    </row>
    <row r="1084" spans="1:9" ht="15.75">
      <c r="A1084" s="498"/>
      <c r="B1084" s="498"/>
      <c r="C1084" s="499"/>
      <c r="D1084" s="500"/>
      <c r="E1084" s="498"/>
      <c r="F1084" s="498"/>
      <c r="G1084" s="498"/>
      <c r="H1084" s="498"/>
      <c r="I1084" s="502"/>
    </row>
    <row r="1085" spans="1:9" ht="15.75">
      <c r="A1085" s="498"/>
      <c r="B1085" s="498"/>
      <c r="C1085" s="499"/>
      <c r="D1085" s="500"/>
      <c r="E1085" s="498"/>
      <c r="F1085" s="498"/>
      <c r="G1085" s="498"/>
      <c r="H1085" s="498"/>
      <c r="I1085" s="502"/>
    </row>
    <row r="1086" spans="1:9" ht="15.75">
      <c r="A1086" s="498"/>
      <c r="B1086" s="498"/>
      <c r="C1086" s="499"/>
      <c r="D1086" s="500"/>
      <c r="E1086" s="498"/>
      <c r="F1086" s="498"/>
      <c r="G1086" s="498"/>
      <c r="H1086" s="498"/>
      <c r="I1086" s="502"/>
    </row>
    <row r="1087" spans="1:9" ht="15.75">
      <c r="A1087" s="498"/>
      <c r="B1087" s="498"/>
      <c r="C1087" s="499"/>
      <c r="D1087" s="500"/>
      <c r="E1087" s="498"/>
      <c r="F1087" s="498"/>
      <c r="G1087" s="498"/>
      <c r="H1087" s="498"/>
      <c r="I1087" s="502"/>
    </row>
    <row r="1088" spans="1:9" ht="15.75">
      <c r="A1088" s="498"/>
      <c r="B1088" s="498"/>
      <c r="C1088" s="499"/>
      <c r="D1088" s="500"/>
      <c r="E1088" s="498"/>
      <c r="F1088" s="498"/>
      <c r="G1088" s="498"/>
      <c r="H1088" s="498"/>
      <c r="I1088" s="502"/>
    </row>
    <row r="1089" spans="1:9" ht="15.75">
      <c r="A1089" s="498"/>
      <c r="B1089" s="498"/>
      <c r="C1089" s="499"/>
      <c r="D1089" s="500"/>
      <c r="E1089" s="498"/>
      <c r="F1089" s="498"/>
      <c r="G1089" s="498"/>
      <c r="H1089" s="498"/>
      <c r="I1089" s="502"/>
    </row>
    <row r="1090" spans="1:9" ht="15.75">
      <c r="A1090" s="498"/>
      <c r="B1090" s="498"/>
      <c r="C1090" s="499"/>
      <c r="D1090" s="500"/>
      <c r="E1090" s="498"/>
      <c r="F1090" s="498"/>
      <c r="G1090" s="498"/>
      <c r="H1090" s="498"/>
      <c r="I1090" s="502"/>
    </row>
    <row r="1091" spans="1:9" ht="15.75">
      <c r="A1091" s="498"/>
      <c r="B1091" s="498"/>
      <c r="C1091" s="499"/>
      <c r="D1091" s="500"/>
      <c r="E1091" s="498"/>
      <c r="F1091" s="498"/>
      <c r="G1091" s="498"/>
      <c r="H1091" s="498"/>
      <c r="I1091" s="502"/>
    </row>
    <row r="1092" spans="1:9" ht="15.75">
      <c r="A1092" s="498"/>
      <c r="B1092" s="498"/>
      <c r="C1092" s="499"/>
      <c r="D1092" s="500"/>
      <c r="E1092" s="498"/>
      <c r="F1092" s="498"/>
      <c r="G1092" s="498"/>
      <c r="H1092" s="498"/>
      <c r="I1092" s="502"/>
    </row>
    <row r="1093" spans="1:9" ht="15.75">
      <c r="A1093" s="498"/>
      <c r="B1093" s="498"/>
      <c r="C1093" s="499"/>
      <c r="D1093" s="500"/>
      <c r="E1093" s="498"/>
      <c r="F1093" s="498"/>
      <c r="G1093" s="498"/>
      <c r="H1093" s="498"/>
      <c r="I1093" s="502"/>
    </row>
    <row r="1094" spans="1:9" ht="15.75">
      <c r="A1094" s="498"/>
      <c r="B1094" s="498"/>
      <c r="C1094" s="499"/>
      <c r="D1094" s="500"/>
      <c r="E1094" s="498"/>
      <c r="F1094" s="498"/>
      <c r="G1094" s="498"/>
      <c r="H1094" s="498"/>
      <c r="I1094" s="502"/>
    </row>
    <row r="1095" spans="1:9" ht="15.75">
      <c r="A1095" s="498"/>
      <c r="B1095" s="498"/>
      <c r="C1095" s="499"/>
      <c r="D1095" s="500"/>
      <c r="E1095" s="498"/>
      <c r="F1095" s="498"/>
      <c r="G1095" s="498"/>
      <c r="H1095" s="498"/>
      <c r="I1095" s="502"/>
    </row>
    <row r="1096" spans="1:9" ht="15.75">
      <c r="A1096" s="498"/>
      <c r="B1096" s="498"/>
      <c r="C1096" s="499"/>
      <c r="D1096" s="500"/>
      <c r="E1096" s="498"/>
      <c r="F1096" s="498"/>
      <c r="G1096" s="498"/>
      <c r="H1096" s="498"/>
      <c r="I1096" s="502"/>
    </row>
    <row r="1097" spans="1:9" ht="15.75">
      <c r="A1097" s="498"/>
      <c r="B1097" s="498"/>
      <c r="C1097" s="499"/>
      <c r="D1097" s="500"/>
      <c r="E1097" s="498"/>
      <c r="F1097" s="498"/>
      <c r="G1097" s="498"/>
      <c r="H1097" s="498"/>
      <c r="I1097" s="515"/>
    </row>
    <row r="1098" spans="1:9" ht="15.75">
      <c r="A1098" s="498"/>
      <c r="B1098" s="498"/>
      <c r="C1098" s="499"/>
      <c r="D1098" s="500"/>
      <c r="E1098" s="498"/>
      <c r="F1098" s="498"/>
      <c r="G1098" s="498"/>
      <c r="H1098" s="498"/>
      <c r="I1098" s="502"/>
    </row>
    <row r="1099" spans="1:9" ht="15.75">
      <c r="A1099" s="498"/>
      <c r="B1099" s="498"/>
      <c r="C1099" s="499"/>
      <c r="D1099" s="500"/>
      <c r="E1099" s="498"/>
      <c r="F1099" s="498"/>
      <c r="G1099" s="498"/>
      <c r="H1099" s="498"/>
      <c r="I1099" s="502"/>
    </row>
    <row r="1100" spans="1:9" ht="15.75">
      <c r="A1100" s="498"/>
      <c r="B1100" s="498"/>
      <c r="C1100" s="499"/>
      <c r="D1100" s="500"/>
      <c r="E1100" s="498"/>
      <c r="F1100" s="498"/>
      <c r="G1100" s="498"/>
      <c r="H1100" s="498"/>
      <c r="I1100" s="502"/>
    </row>
    <row r="1101" spans="1:9" ht="15.75">
      <c r="A1101" s="498"/>
      <c r="B1101" s="498"/>
      <c r="C1101" s="499"/>
      <c r="D1101" s="500"/>
      <c r="E1101" s="498"/>
      <c r="F1101" s="498"/>
      <c r="G1101" s="498"/>
      <c r="H1101" s="498"/>
      <c r="I1101" s="515"/>
    </row>
    <row r="1102" spans="1:9" ht="15.75">
      <c r="A1102" s="498"/>
      <c r="B1102" s="498"/>
      <c r="C1102" s="499"/>
      <c r="D1102" s="500"/>
      <c r="E1102" s="498"/>
      <c r="F1102" s="498"/>
      <c r="G1102" s="498"/>
      <c r="H1102" s="498"/>
      <c r="I1102" s="502"/>
    </row>
    <row r="1103" spans="1:9" ht="15.75">
      <c r="A1103" s="498"/>
      <c r="B1103" s="498"/>
      <c r="C1103" s="499"/>
      <c r="D1103" s="500"/>
      <c r="E1103" s="498"/>
      <c r="F1103" s="498"/>
      <c r="G1103" s="498"/>
      <c r="H1103" s="498"/>
      <c r="I1103" s="502"/>
    </row>
    <row r="1104" spans="1:9" ht="15.75">
      <c r="A1104" s="498"/>
      <c r="B1104" s="498"/>
      <c r="C1104" s="499"/>
      <c r="D1104" s="500"/>
      <c r="E1104" s="498"/>
      <c r="F1104" s="498"/>
      <c r="G1104" s="498"/>
      <c r="H1104" s="498"/>
      <c r="I1104" s="502"/>
    </row>
    <row r="1105" spans="1:9" ht="15.75">
      <c r="A1105" s="498"/>
      <c r="B1105" s="498"/>
      <c r="C1105" s="499"/>
      <c r="D1105" s="500"/>
      <c r="E1105" s="498"/>
      <c r="F1105" s="498"/>
      <c r="G1105" s="498"/>
      <c r="H1105" s="498"/>
      <c r="I1105" s="502"/>
    </row>
    <row r="1106" spans="1:9" ht="15.75">
      <c r="A1106" s="498"/>
      <c r="B1106" s="498"/>
      <c r="C1106" s="499"/>
      <c r="D1106" s="500"/>
      <c r="E1106" s="498"/>
      <c r="F1106" s="498"/>
      <c r="G1106" s="498"/>
      <c r="H1106" s="498"/>
      <c r="I1106" s="513"/>
    </row>
    <row r="1107" spans="1:9" ht="15.75">
      <c r="A1107" s="498"/>
      <c r="B1107" s="498"/>
      <c r="C1107" s="499"/>
      <c r="D1107" s="500"/>
      <c r="E1107" s="498"/>
      <c r="F1107" s="498"/>
      <c r="G1107" s="498"/>
      <c r="H1107" s="498"/>
      <c r="I1107" s="502"/>
    </row>
    <row r="1108" spans="1:9" ht="15.75">
      <c r="A1108" s="498"/>
      <c r="B1108" s="498"/>
      <c r="C1108" s="499"/>
      <c r="D1108" s="500"/>
      <c r="E1108" s="498"/>
      <c r="F1108" s="498"/>
      <c r="G1108" s="498"/>
      <c r="H1108" s="498"/>
      <c r="I1108" s="502"/>
    </row>
    <row r="1109" spans="1:9" ht="15.75">
      <c r="A1109" s="498"/>
      <c r="B1109" s="498"/>
      <c r="C1109" s="499"/>
      <c r="D1109" s="500"/>
      <c r="E1109" s="498"/>
      <c r="F1109" s="498"/>
      <c r="G1109" s="498"/>
      <c r="H1109" s="498"/>
      <c r="I1109" s="502"/>
    </row>
    <row r="1110" spans="1:9" ht="15.75">
      <c r="A1110" s="498"/>
      <c r="B1110" s="498"/>
      <c r="C1110" s="499"/>
      <c r="D1110" s="500"/>
      <c r="E1110" s="498"/>
      <c r="F1110" s="498"/>
      <c r="G1110" s="498"/>
      <c r="H1110" s="498"/>
      <c r="I1110" s="502"/>
    </row>
    <row r="1111" spans="1:9" ht="15.75">
      <c r="A1111" s="498"/>
      <c r="B1111" s="498"/>
      <c r="C1111" s="499"/>
      <c r="D1111" s="500"/>
      <c r="E1111" s="498"/>
      <c r="F1111" s="498"/>
      <c r="G1111" s="498"/>
      <c r="H1111" s="498"/>
      <c r="I1111" s="502"/>
    </row>
    <row r="1112" spans="1:9" ht="15.75">
      <c r="A1112" s="498"/>
      <c r="B1112" s="498"/>
      <c r="C1112" s="499"/>
      <c r="D1112" s="500"/>
      <c r="E1112" s="498"/>
      <c r="F1112" s="498"/>
      <c r="G1112" s="498"/>
      <c r="H1112" s="498"/>
      <c r="I1112" s="502"/>
    </row>
    <row r="1113" spans="1:9" ht="15.75">
      <c r="A1113" s="498"/>
      <c r="B1113" s="498"/>
      <c r="C1113" s="499"/>
      <c r="D1113" s="500"/>
      <c r="E1113" s="498"/>
      <c r="F1113" s="498"/>
      <c r="G1113" s="498"/>
      <c r="H1113" s="498"/>
      <c r="I1113" s="502"/>
    </row>
    <row r="1114" spans="1:9" ht="15.75">
      <c r="A1114" s="498"/>
      <c r="B1114" s="498"/>
      <c r="C1114" s="499"/>
      <c r="D1114" s="500"/>
      <c r="E1114" s="498"/>
      <c r="F1114" s="498"/>
      <c r="G1114" s="498"/>
      <c r="H1114" s="498"/>
      <c r="I1114" s="513"/>
    </row>
    <row r="1115" spans="1:9" ht="15.75">
      <c r="A1115" s="498"/>
      <c r="B1115" s="498"/>
      <c r="C1115" s="499"/>
      <c r="D1115" s="500"/>
      <c r="E1115" s="498"/>
      <c r="F1115" s="498"/>
      <c r="G1115" s="498"/>
      <c r="H1115" s="498"/>
      <c r="I1115" s="515"/>
    </row>
    <row r="1116" spans="1:9" ht="15.75">
      <c r="A1116" s="498"/>
      <c r="B1116" s="498"/>
      <c r="C1116" s="499"/>
      <c r="D1116" s="500"/>
      <c r="E1116" s="498"/>
      <c r="F1116" s="498"/>
      <c r="G1116" s="498"/>
      <c r="H1116" s="498"/>
      <c r="I1116" s="502"/>
    </row>
    <row r="1117" spans="1:9" ht="15.75">
      <c r="A1117" s="498"/>
      <c r="B1117" s="498"/>
      <c r="C1117" s="499"/>
      <c r="D1117" s="500"/>
      <c r="E1117" s="498"/>
      <c r="F1117" s="498"/>
      <c r="G1117" s="498"/>
      <c r="H1117" s="498"/>
      <c r="I1117" s="502"/>
    </row>
    <row r="1118" spans="1:9" ht="15.75">
      <c r="A1118" s="498"/>
      <c r="B1118" s="498"/>
      <c r="C1118" s="499"/>
      <c r="D1118" s="500"/>
      <c r="E1118" s="498"/>
      <c r="F1118" s="498"/>
      <c r="G1118" s="498"/>
      <c r="H1118" s="498"/>
      <c r="I1118" s="502"/>
    </row>
    <row r="1119" spans="1:9" ht="15.75">
      <c r="A1119" s="498"/>
      <c r="B1119" s="498"/>
      <c r="C1119" s="499"/>
      <c r="D1119" s="500"/>
      <c r="E1119" s="498"/>
      <c r="F1119" s="498"/>
      <c r="G1119" s="498"/>
      <c r="H1119" s="498"/>
      <c r="I1119" s="513"/>
    </row>
    <row r="1120" spans="1:9" ht="15.75">
      <c r="A1120" s="498"/>
      <c r="B1120" s="498"/>
      <c r="C1120" s="499"/>
      <c r="D1120" s="500"/>
      <c r="E1120" s="498"/>
      <c r="F1120" s="498"/>
      <c r="G1120" s="498"/>
      <c r="H1120" s="498"/>
      <c r="I1120" s="502"/>
    </row>
    <row r="1121" spans="1:9" ht="15.75">
      <c r="A1121" s="498"/>
      <c r="B1121" s="498"/>
      <c r="C1121" s="499"/>
      <c r="D1121" s="500"/>
      <c r="E1121" s="498"/>
      <c r="F1121" s="498"/>
      <c r="G1121" s="498"/>
      <c r="H1121" s="498"/>
      <c r="I1121" s="513"/>
    </row>
    <row r="1122" spans="1:9" ht="15.75">
      <c r="A1122" s="498"/>
      <c r="B1122" s="498"/>
      <c r="C1122" s="499"/>
      <c r="D1122" s="500"/>
      <c r="E1122" s="498"/>
      <c r="F1122" s="498"/>
      <c r="G1122" s="498"/>
      <c r="H1122" s="498"/>
      <c r="I1122" s="502"/>
    </row>
    <row r="1123" spans="1:9" ht="15.75">
      <c r="A1123" s="498"/>
      <c r="B1123" s="498"/>
      <c r="C1123" s="499"/>
      <c r="D1123" s="500"/>
      <c r="E1123" s="498"/>
      <c r="F1123" s="498"/>
      <c r="G1123" s="498"/>
      <c r="H1123" s="498"/>
      <c r="I1123" s="502"/>
    </row>
    <row r="1124" spans="1:9" ht="15.75">
      <c r="A1124" s="498"/>
      <c r="B1124" s="498"/>
      <c r="C1124" s="499"/>
      <c r="D1124" s="500"/>
      <c r="E1124" s="498"/>
      <c r="F1124" s="498"/>
      <c r="G1124" s="498"/>
      <c r="H1124" s="498"/>
      <c r="I1124" s="502"/>
    </row>
    <row r="1125" spans="1:9" ht="15.75">
      <c r="A1125" s="498"/>
      <c r="B1125" s="498"/>
      <c r="C1125" s="499"/>
      <c r="D1125" s="500"/>
      <c r="E1125" s="498"/>
      <c r="F1125" s="498"/>
      <c r="G1125" s="498"/>
      <c r="H1125" s="498"/>
      <c r="I1125" s="513"/>
    </row>
    <row r="1126" spans="1:9" ht="15.75">
      <c r="A1126" s="498"/>
      <c r="B1126" s="498"/>
      <c r="C1126" s="499"/>
      <c r="D1126" s="500"/>
      <c r="E1126" s="498"/>
      <c r="F1126" s="498"/>
      <c r="G1126" s="498"/>
      <c r="H1126" s="498"/>
      <c r="I1126" s="515"/>
    </row>
    <row r="1127" spans="1:9" ht="15.75">
      <c r="A1127" s="498"/>
      <c r="B1127" s="498"/>
      <c r="C1127" s="499"/>
      <c r="D1127" s="500"/>
      <c r="E1127" s="498"/>
      <c r="F1127" s="498"/>
      <c r="G1127" s="498"/>
      <c r="H1127" s="498"/>
      <c r="I1127" s="513"/>
    </row>
    <row r="1128" spans="1:9" ht="15.75">
      <c r="A1128" s="498"/>
      <c r="B1128" s="498"/>
      <c r="C1128" s="499"/>
      <c r="D1128" s="500"/>
      <c r="E1128" s="498"/>
      <c r="F1128" s="498"/>
      <c r="G1128" s="498"/>
      <c r="H1128" s="498"/>
      <c r="I1128" s="502"/>
    </row>
    <row r="1129" spans="1:9" ht="15.75">
      <c r="A1129" s="498"/>
      <c r="B1129" s="498"/>
      <c r="C1129" s="499"/>
      <c r="D1129" s="500"/>
      <c r="E1129" s="498"/>
      <c r="F1129" s="498"/>
      <c r="G1129" s="498"/>
      <c r="H1129" s="498"/>
      <c r="I1129" s="502"/>
    </row>
    <row r="1130" spans="1:9" ht="15.75">
      <c r="A1130" s="498"/>
      <c r="B1130" s="498"/>
      <c r="C1130" s="499"/>
      <c r="D1130" s="500"/>
      <c r="E1130" s="498"/>
      <c r="F1130" s="498"/>
      <c r="G1130" s="498"/>
      <c r="H1130" s="498"/>
      <c r="I1130" s="502"/>
    </row>
    <row r="1131" spans="1:9" ht="15.75">
      <c r="A1131" s="498"/>
      <c r="B1131" s="498"/>
      <c r="C1131" s="499"/>
      <c r="D1131" s="500"/>
      <c r="E1131" s="498"/>
      <c r="F1131" s="498"/>
      <c r="G1131" s="498"/>
      <c r="H1131" s="498"/>
      <c r="I1131" s="515"/>
    </row>
    <row r="1132" spans="1:9" ht="15.75">
      <c r="A1132" s="498"/>
      <c r="B1132" s="498"/>
      <c r="C1132" s="499"/>
      <c r="D1132" s="500"/>
      <c r="E1132" s="498"/>
      <c r="F1132" s="498"/>
      <c r="G1132" s="498"/>
      <c r="H1132" s="498"/>
      <c r="I1132" s="502"/>
    </row>
    <row r="1133" spans="1:9" ht="15.75">
      <c r="A1133" s="498"/>
      <c r="B1133" s="498"/>
      <c r="C1133" s="499"/>
      <c r="D1133" s="500"/>
      <c r="E1133" s="498"/>
      <c r="F1133" s="498"/>
      <c r="G1133" s="498"/>
      <c r="H1133" s="498"/>
      <c r="I1133" s="502"/>
    </row>
    <row r="1134" spans="1:9" ht="15.75">
      <c r="A1134" s="498"/>
      <c r="B1134" s="498"/>
      <c r="C1134" s="499"/>
      <c r="D1134" s="500"/>
      <c r="E1134" s="498"/>
      <c r="F1134" s="498"/>
      <c r="G1134" s="498"/>
      <c r="H1134" s="498"/>
      <c r="I1134" s="513"/>
    </row>
    <row r="1135" spans="1:9" ht="15.75">
      <c r="A1135" s="498"/>
      <c r="B1135" s="498"/>
      <c r="C1135" s="499"/>
      <c r="D1135" s="500"/>
      <c r="E1135" s="498"/>
      <c r="F1135" s="498"/>
      <c r="G1135" s="498"/>
      <c r="H1135" s="498"/>
      <c r="I1135" s="515"/>
    </row>
    <row r="1136" spans="1:9" ht="15.75">
      <c r="A1136" s="498"/>
      <c r="B1136" s="498"/>
      <c r="C1136" s="499"/>
      <c r="D1136" s="500"/>
      <c r="E1136" s="498"/>
      <c r="F1136" s="498"/>
      <c r="G1136" s="498"/>
      <c r="H1136" s="498"/>
      <c r="I1136" s="502"/>
    </row>
    <row r="1137" spans="1:9" ht="15.75">
      <c r="A1137" s="498"/>
      <c r="B1137" s="498"/>
      <c r="C1137" s="499"/>
      <c r="D1137" s="500"/>
      <c r="E1137" s="498"/>
      <c r="F1137" s="498"/>
      <c r="G1137" s="498"/>
      <c r="H1137" s="498"/>
      <c r="I1137" s="502"/>
    </row>
    <row r="1138" spans="1:9" ht="15.75">
      <c r="A1138" s="498"/>
      <c r="B1138" s="498"/>
      <c r="C1138" s="499"/>
      <c r="D1138" s="500"/>
      <c r="E1138" s="498"/>
      <c r="F1138" s="498"/>
      <c r="G1138" s="498"/>
      <c r="H1138" s="498"/>
      <c r="I1138" s="502"/>
    </row>
    <row r="1139" spans="1:9" ht="15.75">
      <c r="A1139" s="498"/>
      <c r="B1139" s="498"/>
      <c r="C1139" s="499"/>
      <c r="D1139" s="500"/>
      <c r="E1139" s="498"/>
      <c r="F1139" s="498"/>
      <c r="G1139" s="498"/>
      <c r="H1139" s="498"/>
      <c r="I1139" s="502"/>
    </row>
    <row r="1140" spans="1:9" ht="15.75">
      <c r="A1140" s="498"/>
      <c r="B1140" s="498"/>
      <c r="C1140" s="499"/>
      <c r="D1140" s="500"/>
      <c r="E1140" s="498"/>
      <c r="F1140" s="498"/>
      <c r="G1140" s="498"/>
      <c r="H1140" s="498"/>
      <c r="I1140" s="516"/>
    </row>
    <row r="1141" spans="1:9" ht="15.75">
      <c r="A1141" s="498"/>
      <c r="B1141" s="498"/>
      <c r="C1141" s="499"/>
      <c r="D1141" s="500"/>
      <c r="E1141" s="498"/>
      <c r="F1141" s="498"/>
      <c r="G1141" s="498"/>
      <c r="H1141" s="498"/>
      <c r="I1141" s="502"/>
    </row>
    <row r="1142" spans="1:9" ht="15.75">
      <c r="A1142" s="498"/>
      <c r="B1142" s="498"/>
      <c r="C1142" s="499"/>
      <c r="D1142" s="500"/>
      <c r="E1142" s="498"/>
      <c r="F1142" s="498"/>
      <c r="G1142" s="498"/>
      <c r="H1142" s="498"/>
      <c r="I1142" s="502"/>
    </row>
    <row r="1143" spans="1:9" ht="15.75">
      <c r="A1143" s="498"/>
      <c r="B1143" s="498"/>
      <c r="C1143" s="499"/>
      <c r="D1143" s="500"/>
      <c r="E1143" s="498"/>
      <c r="F1143" s="498"/>
      <c r="G1143" s="498"/>
      <c r="H1143" s="498"/>
      <c r="I1143" s="502"/>
    </row>
    <row r="1144" spans="1:9" ht="15.75">
      <c r="A1144" s="498"/>
      <c r="B1144" s="498"/>
      <c r="C1144" s="499"/>
      <c r="D1144" s="500"/>
      <c r="E1144" s="498"/>
      <c r="F1144" s="498"/>
      <c r="G1144" s="498"/>
      <c r="H1144" s="498"/>
      <c r="I1144" s="502"/>
    </row>
    <row r="1145" spans="1:9" ht="15.75">
      <c r="A1145" s="498"/>
      <c r="B1145" s="498"/>
      <c r="C1145" s="499"/>
      <c r="D1145" s="500"/>
      <c r="E1145" s="498"/>
      <c r="F1145" s="498"/>
      <c r="G1145" s="498"/>
      <c r="H1145" s="498"/>
      <c r="I1145" s="502"/>
    </row>
    <row r="1146" spans="1:9" ht="15.75">
      <c r="A1146" s="498"/>
      <c r="B1146" s="498"/>
      <c r="C1146" s="499"/>
      <c r="D1146" s="500"/>
      <c r="E1146" s="498"/>
      <c r="F1146" s="498"/>
      <c r="G1146" s="498"/>
      <c r="H1146" s="498"/>
      <c r="I1146" s="513"/>
    </row>
    <row r="1147" spans="1:9" ht="15.75">
      <c r="A1147" s="498"/>
      <c r="B1147" s="498"/>
      <c r="C1147" s="499"/>
      <c r="D1147" s="500"/>
      <c r="E1147" s="498"/>
      <c r="F1147" s="498"/>
      <c r="G1147" s="498"/>
      <c r="H1147" s="498"/>
      <c r="I1147" s="515"/>
    </row>
    <row r="1148" spans="1:9" ht="15.75">
      <c r="A1148" s="498"/>
      <c r="B1148" s="498"/>
      <c r="C1148" s="499"/>
      <c r="D1148" s="500"/>
      <c r="E1148" s="498"/>
      <c r="F1148" s="498"/>
      <c r="G1148" s="498"/>
      <c r="H1148" s="498"/>
      <c r="I1148" s="502"/>
    </row>
    <row r="1149" spans="1:9" ht="15.75">
      <c r="A1149" s="498"/>
      <c r="B1149" s="498"/>
      <c r="C1149" s="499"/>
      <c r="D1149" s="500"/>
      <c r="E1149" s="498"/>
      <c r="F1149" s="498"/>
      <c r="G1149" s="498"/>
      <c r="H1149" s="498"/>
      <c r="I1149" s="502"/>
    </row>
    <row r="1150" spans="1:9" ht="15.75">
      <c r="A1150" s="498"/>
      <c r="B1150" s="498"/>
      <c r="C1150" s="499"/>
      <c r="D1150" s="500"/>
      <c r="E1150" s="498"/>
      <c r="F1150" s="498"/>
      <c r="G1150" s="498"/>
      <c r="H1150" s="498"/>
      <c r="I1150" s="502"/>
    </row>
    <row r="1151" spans="1:9" ht="15.75">
      <c r="A1151" s="498"/>
      <c r="B1151" s="498"/>
      <c r="C1151" s="499"/>
      <c r="D1151" s="500"/>
      <c r="E1151" s="498"/>
      <c r="F1151" s="498"/>
      <c r="G1151" s="498"/>
      <c r="H1151" s="498"/>
      <c r="I1151" s="502"/>
    </row>
    <row r="1152" spans="1:9" ht="15.75">
      <c r="A1152" s="498"/>
      <c r="B1152" s="498"/>
      <c r="C1152" s="499"/>
      <c r="D1152" s="500"/>
      <c r="E1152" s="498"/>
      <c r="F1152" s="498"/>
      <c r="G1152" s="498"/>
      <c r="H1152" s="498"/>
      <c r="I1152" s="502"/>
    </row>
    <row r="1153" spans="1:9" ht="15.75">
      <c r="A1153" s="498"/>
      <c r="B1153" s="498"/>
      <c r="C1153" s="499"/>
      <c r="D1153" s="500"/>
      <c r="E1153" s="498"/>
      <c r="F1153" s="498"/>
      <c r="G1153" s="498"/>
      <c r="H1153" s="498"/>
      <c r="I1153" s="502"/>
    </row>
    <row r="1154" spans="1:9" ht="15.75">
      <c r="A1154" s="498"/>
      <c r="B1154" s="498"/>
      <c r="C1154" s="499"/>
      <c r="D1154" s="500"/>
      <c r="E1154" s="498"/>
      <c r="F1154" s="498"/>
      <c r="G1154" s="498"/>
      <c r="H1154" s="498"/>
      <c r="I1154" s="502"/>
    </row>
    <row r="1155" spans="1:9" ht="15.75">
      <c r="A1155" s="498"/>
      <c r="B1155" s="498"/>
      <c r="C1155" s="499"/>
      <c r="D1155" s="500"/>
      <c r="E1155" s="498"/>
      <c r="F1155" s="498"/>
      <c r="G1155" s="498"/>
      <c r="H1155" s="498"/>
      <c r="I1155" s="502"/>
    </row>
    <row r="1156" spans="1:9" ht="15.75">
      <c r="A1156" s="498"/>
      <c r="B1156" s="498"/>
      <c r="C1156" s="499"/>
      <c r="D1156" s="500"/>
      <c r="E1156" s="498"/>
      <c r="F1156" s="498"/>
      <c r="G1156" s="498"/>
      <c r="H1156" s="498"/>
      <c r="I1156" s="502"/>
    </row>
    <row r="1157" spans="1:9" ht="15.75">
      <c r="A1157" s="498"/>
      <c r="B1157" s="498"/>
      <c r="C1157" s="499"/>
      <c r="D1157" s="500"/>
      <c r="E1157" s="498"/>
      <c r="F1157" s="498"/>
      <c r="G1157" s="498"/>
      <c r="H1157" s="498"/>
      <c r="I1157" s="502"/>
    </row>
    <row r="1158" spans="1:9" ht="15.75">
      <c r="A1158" s="498"/>
      <c r="B1158" s="498"/>
      <c r="C1158" s="499"/>
      <c r="D1158" s="500"/>
      <c r="E1158" s="498"/>
      <c r="F1158" s="498"/>
      <c r="G1158" s="498"/>
      <c r="H1158" s="498"/>
      <c r="I1158" s="502"/>
    </row>
    <row r="1159" spans="1:9" ht="15.75">
      <c r="A1159" s="498"/>
      <c r="B1159" s="498"/>
      <c r="C1159" s="499"/>
      <c r="D1159" s="500"/>
      <c r="E1159" s="498"/>
      <c r="F1159" s="498"/>
      <c r="G1159" s="498"/>
      <c r="H1159" s="498"/>
      <c r="I1159" s="516"/>
    </row>
    <row r="1160" spans="1:9" ht="15.75">
      <c r="A1160" s="498"/>
      <c r="B1160" s="498"/>
      <c r="C1160" s="499"/>
      <c r="D1160" s="500"/>
      <c r="E1160" s="498"/>
      <c r="F1160" s="498"/>
      <c r="G1160" s="498"/>
      <c r="H1160" s="498"/>
      <c r="I1160" s="502"/>
    </row>
    <row r="1161" spans="1:9" ht="15.75">
      <c r="A1161" s="498"/>
      <c r="B1161" s="498"/>
      <c r="C1161" s="499"/>
      <c r="D1161" s="500"/>
      <c r="E1161" s="498"/>
      <c r="F1161" s="498"/>
      <c r="G1161" s="498"/>
      <c r="H1161" s="498"/>
      <c r="I1161" s="502"/>
    </row>
    <row r="1162" spans="1:9" ht="15.75">
      <c r="A1162" s="498"/>
      <c r="B1162" s="498"/>
      <c r="C1162" s="499"/>
      <c r="D1162" s="500"/>
      <c r="E1162" s="498"/>
      <c r="F1162" s="498"/>
      <c r="G1162" s="498"/>
      <c r="H1162" s="498"/>
      <c r="I1162" s="502"/>
    </row>
    <row r="1163" spans="1:9" ht="15.75">
      <c r="A1163" s="498"/>
      <c r="B1163" s="498"/>
      <c r="C1163" s="499"/>
      <c r="D1163" s="500"/>
      <c r="E1163" s="498"/>
      <c r="F1163" s="498"/>
      <c r="G1163" s="498"/>
      <c r="H1163" s="498"/>
      <c r="I1163" s="515"/>
    </row>
    <row r="1164" spans="1:9" ht="15.75">
      <c r="A1164" s="498"/>
      <c r="B1164" s="498"/>
      <c r="C1164" s="499"/>
      <c r="D1164" s="500"/>
      <c r="E1164" s="498"/>
      <c r="F1164" s="498"/>
      <c r="G1164" s="498"/>
      <c r="H1164" s="498"/>
      <c r="I1164" s="513"/>
    </row>
    <row r="1165" spans="1:9" ht="15.75">
      <c r="A1165" s="498"/>
      <c r="B1165" s="498"/>
      <c r="C1165" s="499"/>
      <c r="D1165" s="500"/>
      <c r="E1165" s="498"/>
      <c r="F1165" s="498"/>
      <c r="G1165" s="498"/>
      <c r="H1165" s="498"/>
      <c r="I1165" s="502"/>
    </row>
    <row r="1166" spans="1:9" ht="15.75">
      <c r="A1166" s="498"/>
      <c r="B1166" s="498"/>
      <c r="C1166" s="499"/>
      <c r="D1166" s="500"/>
      <c r="E1166" s="498"/>
      <c r="F1166" s="498"/>
      <c r="G1166" s="498"/>
      <c r="H1166" s="498"/>
      <c r="I1166" s="502"/>
    </row>
    <row r="1167" spans="1:9" ht="15.75">
      <c r="A1167" s="498"/>
      <c r="B1167" s="498"/>
      <c r="C1167" s="499"/>
      <c r="D1167" s="500"/>
      <c r="E1167" s="498"/>
      <c r="F1167" s="498"/>
      <c r="G1167" s="498"/>
      <c r="H1167" s="498"/>
      <c r="I1167" s="502"/>
    </row>
    <row r="1168" spans="1:9" ht="15.75">
      <c r="A1168" s="498"/>
      <c r="B1168" s="498"/>
      <c r="C1168" s="499"/>
      <c r="D1168" s="500"/>
      <c r="E1168" s="498"/>
      <c r="F1168" s="498"/>
      <c r="G1168" s="498"/>
      <c r="H1168" s="498"/>
      <c r="I1168" s="502"/>
    </row>
    <row r="1169" spans="1:9" ht="15.75">
      <c r="A1169" s="498"/>
      <c r="B1169" s="498"/>
      <c r="C1169" s="499"/>
      <c r="D1169" s="500"/>
      <c r="E1169" s="498"/>
      <c r="F1169" s="498"/>
      <c r="G1169" s="498"/>
      <c r="H1169" s="498"/>
      <c r="I1169" s="502"/>
    </row>
    <row r="1170" spans="1:9" ht="15.75">
      <c r="A1170" s="498"/>
      <c r="B1170" s="498"/>
      <c r="C1170" s="499"/>
      <c r="D1170" s="500"/>
      <c r="E1170" s="498"/>
      <c r="F1170" s="498"/>
      <c r="G1170" s="498"/>
      <c r="H1170" s="498"/>
      <c r="I1170" s="502"/>
    </row>
    <row r="1171" spans="1:9" ht="15.75">
      <c r="A1171" s="498"/>
      <c r="B1171" s="498"/>
      <c r="C1171" s="499"/>
      <c r="D1171" s="500"/>
      <c r="E1171" s="498"/>
      <c r="F1171" s="498"/>
      <c r="G1171" s="498"/>
      <c r="H1171" s="498"/>
      <c r="I1171" s="502"/>
    </row>
    <row r="1172" spans="1:9" ht="15.75">
      <c r="A1172" s="498"/>
      <c r="B1172" s="498"/>
      <c r="C1172" s="499"/>
      <c r="D1172" s="500"/>
      <c r="E1172" s="498"/>
      <c r="F1172" s="498"/>
      <c r="G1172" s="498"/>
      <c r="H1172" s="498"/>
      <c r="I1172" s="502"/>
    </row>
    <row r="1173" spans="1:9" ht="15.75">
      <c r="A1173" s="498"/>
      <c r="B1173" s="498"/>
      <c r="C1173" s="499"/>
      <c r="D1173" s="500"/>
      <c r="E1173" s="498"/>
      <c r="F1173" s="498"/>
      <c r="G1173" s="498"/>
      <c r="H1173" s="498"/>
      <c r="I1173" s="502"/>
    </row>
    <row r="1174" spans="1:9" ht="15.75">
      <c r="A1174" s="498"/>
      <c r="B1174" s="498"/>
      <c r="C1174" s="499"/>
      <c r="D1174" s="500"/>
      <c r="E1174" s="498"/>
      <c r="F1174" s="498"/>
      <c r="G1174" s="498"/>
      <c r="H1174" s="498"/>
      <c r="I1174" s="502"/>
    </row>
    <row r="1175" spans="1:9" ht="15.75">
      <c r="A1175" s="498"/>
      <c r="B1175" s="498"/>
      <c r="C1175" s="499"/>
      <c r="D1175" s="500"/>
      <c r="E1175" s="498"/>
      <c r="F1175" s="498"/>
      <c r="G1175" s="498"/>
      <c r="H1175" s="498"/>
      <c r="I1175" s="502"/>
    </row>
    <row r="1176" spans="1:9" ht="15.75">
      <c r="A1176" s="498"/>
      <c r="B1176" s="498"/>
      <c r="C1176" s="499"/>
      <c r="D1176" s="500"/>
      <c r="E1176" s="498"/>
      <c r="F1176" s="498"/>
      <c r="G1176" s="498"/>
      <c r="H1176" s="498"/>
      <c r="I1176" s="502"/>
    </row>
    <row r="1177" spans="1:9" ht="15.75">
      <c r="A1177" s="498"/>
      <c r="B1177" s="498"/>
      <c r="C1177" s="499"/>
      <c r="D1177" s="500"/>
      <c r="E1177" s="498"/>
      <c r="F1177" s="498"/>
      <c r="G1177" s="498"/>
      <c r="H1177" s="498"/>
      <c r="I1177" s="502"/>
    </row>
    <row r="1178" spans="1:9" ht="15.75">
      <c r="A1178" s="498"/>
      <c r="B1178" s="498"/>
      <c r="C1178" s="499"/>
      <c r="D1178" s="500"/>
      <c r="E1178" s="498"/>
      <c r="F1178" s="498"/>
      <c r="G1178" s="498"/>
      <c r="H1178" s="498"/>
      <c r="I1178" s="502"/>
    </row>
    <row r="1179" spans="1:9" ht="15.75">
      <c r="A1179" s="498"/>
      <c r="B1179" s="498"/>
      <c r="C1179" s="499"/>
      <c r="D1179" s="500"/>
      <c r="E1179" s="498"/>
      <c r="F1179" s="498"/>
      <c r="G1179" s="498"/>
      <c r="H1179" s="498"/>
      <c r="I1179" s="502"/>
    </row>
    <row r="1180" spans="1:9" ht="15.75">
      <c r="A1180" s="498"/>
      <c r="B1180" s="504"/>
      <c r="C1180" s="499"/>
      <c r="D1180" s="500"/>
      <c r="E1180" s="498"/>
      <c r="F1180" s="498"/>
      <c r="G1180" s="498"/>
      <c r="H1180" s="498"/>
      <c r="I1180" s="502"/>
    </row>
    <row r="1181" spans="1:9" ht="15.75">
      <c r="A1181" s="498"/>
      <c r="B1181" s="498"/>
      <c r="C1181" s="499"/>
      <c r="D1181" s="500"/>
      <c r="E1181" s="498"/>
      <c r="F1181" s="498"/>
      <c r="G1181" s="498"/>
      <c r="H1181" s="498"/>
      <c r="I1181" s="502"/>
    </row>
    <row r="1182" spans="1:9" ht="15.75">
      <c r="A1182" s="498"/>
      <c r="B1182" s="498"/>
      <c r="C1182" s="499"/>
      <c r="D1182" s="500"/>
      <c r="E1182" s="498"/>
      <c r="F1182" s="498"/>
      <c r="G1182" s="498"/>
      <c r="H1182" s="498"/>
      <c r="I1182" s="502"/>
    </row>
    <row r="1183" spans="1:9" ht="15.75">
      <c r="A1183" s="498"/>
      <c r="B1183" s="498"/>
      <c r="C1183" s="499"/>
      <c r="D1183" s="500"/>
      <c r="E1183" s="498"/>
      <c r="F1183" s="498"/>
      <c r="G1183" s="498"/>
      <c r="H1183" s="498"/>
      <c r="I1183" s="502"/>
    </row>
    <row r="1184" spans="1:9" ht="15.75">
      <c r="A1184" s="498"/>
      <c r="B1184" s="498"/>
      <c r="C1184" s="499"/>
      <c r="D1184" s="500"/>
      <c r="E1184" s="498"/>
      <c r="F1184" s="498"/>
      <c r="G1184" s="498"/>
      <c r="H1184" s="498"/>
      <c r="I1184" s="502"/>
    </row>
    <row r="1185" spans="1:9" ht="15.75">
      <c r="A1185" s="498"/>
      <c r="B1185" s="498"/>
      <c r="C1185" s="499"/>
      <c r="D1185" s="500"/>
      <c r="E1185" s="498"/>
      <c r="F1185" s="498"/>
      <c r="G1185" s="498"/>
      <c r="H1185" s="498"/>
      <c r="I1185" s="502"/>
    </row>
    <row r="1186" spans="1:9" ht="15.75">
      <c r="A1186" s="498"/>
      <c r="B1186" s="498"/>
      <c r="C1186" s="499"/>
      <c r="D1186" s="500"/>
      <c r="E1186" s="498"/>
      <c r="F1186" s="498"/>
      <c r="G1186" s="498"/>
      <c r="H1186" s="498"/>
      <c r="I1186" s="502"/>
    </row>
    <row r="1187" spans="1:9" ht="15.75">
      <c r="A1187" s="498"/>
      <c r="B1187" s="498"/>
      <c r="C1187" s="499"/>
      <c r="D1187" s="500"/>
      <c r="E1187" s="498"/>
      <c r="F1187" s="498"/>
      <c r="G1187" s="498"/>
      <c r="H1187" s="498"/>
      <c r="I1187" s="502"/>
    </row>
    <row r="1188" spans="1:9" ht="15.75">
      <c r="A1188" s="498"/>
      <c r="B1188" s="498"/>
      <c r="C1188" s="499"/>
      <c r="D1188" s="500"/>
      <c r="E1188" s="498"/>
      <c r="F1188" s="498"/>
      <c r="G1188" s="498"/>
      <c r="H1188" s="498"/>
      <c r="I1188" s="502"/>
    </row>
    <row r="1189" spans="1:9" ht="15.75">
      <c r="A1189" s="498"/>
      <c r="B1189" s="498"/>
      <c r="C1189" s="499"/>
      <c r="D1189" s="500"/>
      <c r="E1189" s="498"/>
      <c r="F1189" s="498"/>
      <c r="G1189" s="498"/>
      <c r="H1189" s="498"/>
      <c r="I1189" s="502"/>
    </row>
    <row r="1190" spans="1:9" ht="15.75">
      <c r="A1190" s="498"/>
      <c r="B1190" s="498"/>
      <c r="C1190" s="499"/>
      <c r="D1190" s="500"/>
      <c r="E1190" s="498"/>
      <c r="F1190" s="498"/>
      <c r="G1190" s="498"/>
      <c r="H1190" s="498"/>
      <c r="I1190" s="502"/>
    </row>
    <row r="1191" spans="1:9" ht="15.75">
      <c r="A1191" s="498"/>
      <c r="B1191" s="498"/>
      <c r="C1191" s="499"/>
      <c r="D1191" s="500"/>
      <c r="E1191" s="498"/>
      <c r="F1191" s="498"/>
      <c r="G1191" s="498"/>
      <c r="H1191" s="498"/>
      <c r="I1191" s="502"/>
    </row>
    <row r="1192" spans="1:9" ht="15.75">
      <c r="A1192" s="498"/>
      <c r="B1192" s="498"/>
      <c r="C1192" s="499"/>
      <c r="D1192" s="500"/>
      <c r="E1192" s="498"/>
      <c r="F1192" s="498"/>
      <c r="G1192" s="498"/>
      <c r="H1192" s="498"/>
      <c r="I1192" s="502"/>
    </row>
    <row r="1193" spans="1:9" ht="15.75">
      <c r="A1193" s="498"/>
      <c r="B1193" s="498"/>
      <c r="C1193" s="499"/>
      <c r="D1193" s="500"/>
      <c r="E1193" s="498"/>
      <c r="F1193" s="498"/>
      <c r="G1193" s="498"/>
      <c r="H1193" s="498"/>
      <c r="I1193" s="502"/>
    </row>
    <row r="1194" spans="1:9" ht="15.75">
      <c r="A1194" s="498"/>
      <c r="B1194" s="498"/>
      <c r="C1194" s="499"/>
      <c r="D1194" s="500"/>
      <c r="E1194" s="498"/>
      <c r="F1194" s="498"/>
      <c r="G1194" s="498"/>
      <c r="H1194" s="498"/>
      <c r="I1194" s="502"/>
    </row>
    <row r="1195" spans="1:9" ht="15.75">
      <c r="A1195" s="498"/>
      <c r="B1195" s="498"/>
      <c r="C1195" s="499"/>
      <c r="D1195" s="500"/>
      <c r="E1195" s="498"/>
      <c r="F1195" s="498"/>
      <c r="G1195" s="498"/>
      <c r="H1195" s="498"/>
      <c r="I1195" s="502"/>
    </row>
    <row r="1196" spans="1:9" ht="15.75">
      <c r="A1196" s="498"/>
      <c r="B1196" s="498"/>
      <c r="C1196" s="499"/>
      <c r="D1196" s="500"/>
      <c r="E1196" s="498"/>
      <c r="F1196" s="498"/>
      <c r="G1196" s="498"/>
      <c r="H1196" s="498"/>
      <c r="I1196" s="502"/>
    </row>
    <row r="1197" spans="1:9" ht="15.75">
      <c r="A1197" s="498"/>
      <c r="B1197" s="498"/>
      <c r="C1197" s="499"/>
      <c r="D1197" s="500"/>
      <c r="E1197" s="498"/>
      <c r="F1197" s="498"/>
      <c r="G1197" s="498"/>
      <c r="H1197" s="498"/>
      <c r="I1197" s="515"/>
    </row>
    <row r="1198" spans="1:9" ht="15.75">
      <c r="A1198" s="498"/>
      <c r="B1198" s="498"/>
      <c r="C1198" s="499"/>
      <c r="D1198" s="500"/>
      <c r="E1198" s="498"/>
      <c r="F1198" s="498"/>
      <c r="G1198" s="498"/>
      <c r="H1198" s="498"/>
      <c r="I1198" s="502"/>
    </row>
    <row r="1199" spans="1:9" ht="15.75">
      <c r="A1199" s="498"/>
      <c r="B1199" s="498"/>
      <c r="C1199" s="499"/>
      <c r="D1199" s="500"/>
      <c r="E1199" s="498"/>
      <c r="F1199" s="498"/>
      <c r="G1199" s="498"/>
      <c r="H1199" s="498"/>
      <c r="I1199" s="502"/>
    </row>
    <row r="1200" spans="1:9" ht="15.75">
      <c r="A1200" s="498"/>
      <c r="B1200" s="498"/>
      <c r="C1200" s="499"/>
      <c r="D1200" s="500"/>
      <c r="E1200" s="498"/>
      <c r="F1200" s="498"/>
      <c r="G1200" s="498"/>
      <c r="H1200" s="498"/>
      <c r="I1200" s="502"/>
    </row>
    <row r="1201" spans="1:9" ht="15.75">
      <c r="A1201" s="498"/>
      <c r="B1201" s="498"/>
      <c r="C1201" s="499"/>
      <c r="D1201" s="500"/>
      <c r="E1201" s="498"/>
      <c r="F1201" s="498"/>
      <c r="G1201" s="498"/>
      <c r="H1201" s="498"/>
      <c r="I1201" s="502"/>
    </row>
    <row r="1202" spans="1:9" ht="15.75">
      <c r="A1202" s="498"/>
      <c r="B1202" s="498"/>
      <c r="C1202" s="499"/>
      <c r="D1202" s="500"/>
      <c r="E1202" s="498"/>
      <c r="F1202" s="498"/>
      <c r="G1202" s="498"/>
      <c r="H1202" s="498"/>
      <c r="I1202" s="502"/>
    </row>
    <row r="1203" spans="1:9" ht="15.75">
      <c r="A1203" s="498"/>
      <c r="B1203" s="498"/>
      <c r="C1203" s="499"/>
      <c r="D1203" s="500"/>
      <c r="E1203" s="498"/>
      <c r="F1203" s="498"/>
      <c r="G1203" s="498"/>
      <c r="H1203" s="498"/>
      <c r="I1203" s="502"/>
    </row>
    <row r="1204" spans="1:9" ht="15.75">
      <c r="A1204" s="498"/>
      <c r="B1204" s="498"/>
      <c r="C1204" s="499"/>
      <c r="D1204" s="500"/>
      <c r="E1204" s="498"/>
      <c r="F1204" s="498"/>
      <c r="G1204" s="498"/>
      <c r="H1204" s="498"/>
      <c r="I1204" s="502"/>
    </row>
    <row r="1205" spans="1:9" ht="15.75">
      <c r="A1205" s="498"/>
      <c r="B1205" s="498"/>
      <c r="C1205" s="499"/>
      <c r="D1205" s="500"/>
      <c r="E1205" s="498"/>
      <c r="F1205" s="498"/>
      <c r="G1205" s="498"/>
      <c r="H1205" s="498"/>
      <c r="I1205" s="502"/>
    </row>
    <row r="1206" spans="1:9" ht="15.75">
      <c r="A1206" s="498"/>
      <c r="B1206" s="498"/>
      <c r="C1206" s="499"/>
      <c r="D1206" s="500"/>
      <c r="E1206" s="498"/>
      <c r="F1206" s="498"/>
      <c r="G1206" s="498"/>
      <c r="H1206" s="498"/>
      <c r="I1206" s="502"/>
    </row>
    <row r="1207" spans="1:9" ht="15.75">
      <c r="A1207" s="498"/>
      <c r="B1207" s="498"/>
      <c r="C1207" s="499"/>
      <c r="D1207" s="500"/>
      <c r="E1207" s="498"/>
      <c r="F1207" s="498"/>
      <c r="G1207" s="498"/>
      <c r="H1207" s="498"/>
      <c r="I1207" s="502"/>
    </row>
    <row r="1208" spans="1:9" ht="15.75">
      <c r="A1208" s="498"/>
      <c r="B1208" s="498"/>
      <c r="C1208" s="499"/>
      <c r="D1208" s="500"/>
      <c r="E1208" s="498"/>
      <c r="F1208" s="498"/>
      <c r="G1208" s="498"/>
      <c r="H1208" s="498"/>
      <c r="I1208" s="502"/>
    </row>
    <row r="1209" spans="1:9" ht="15.75">
      <c r="A1209" s="498"/>
      <c r="B1209" s="498"/>
      <c r="C1209" s="499"/>
      <c r="D1209" s="500"/>
      <c r="E1209" s="498"/>
      <c r="F1209" s="498"/>
      <c r="G1209" s="498"/>
      <c r="H1209" s="498"/>
      <c r="I1209" s="502"/>
    </row>
    <row r="1210" spans="1:9" ht="15.75">
      <c r="A1210" s="498"/>
      <c r="B1210" s="498"/>
      <c r="C1210" s="499"/>
      <c r="D1210" s="500"/>
      <c r="E1210" s="498"/>
      <c r="F1210" s="498"/>
      <c r="G1210" s="498"/>
      <c r="H1210" s="498"/>
      <c r="I1210" s="502"/>
    </row>
    <row r="1211" spans="1:9" ht="15.75">
      <c r="A1211" s="498"/>
      <c r="B1211" s="498"/>
      <c r="C1211" s="499"/>
      <c r="D1211" s="500"/>
      <c r="E1211" s="498"/>
      <c r="F1211" s="498"/>
      <c r="G1211" s="498"/>
      <c r="H1211" s="498"/>
      <c r="I1211" s="502"/>
    </row>
    <row r="1212" spans="1:9" ht="15.75">
      <c r="A1212" s="498"/>
      <c r="B1212" s="498"/>
      <c r="C1212" s="499"/>
      <c r="D1212" s="500"/>
      <c r="E1212" s="498"/>
      <c r="F1212" s="498"/>
      <c r="G1212" s="498"/>
      <c r="H1212" s="498"/>
      <c r="I1212" s="502"/>
    </row>
    <row r="1213" spans="1:9" ht="15.75">
      <c r="A1213" s="498"/>
      <c r="B1213" s="498"/>
      <c r="C1213" s="505"/>
      <c r="D1213" s="500"/>
      <c r="E1213" s="498"/>
      <c r="F1213" s="498"/>
      <c r="G1213" s="498"/>
      <c r="H1213" s="498"/>
      <c r="I1213" s="513"/>
    </row>
    <row r="1214" spans="1:9" ht="15.75">
      <c r="A1214" s="498"/>
      <c r="B1214" s="498"/>
      <c r="C1214" s="499"/>
      <c r="D1214" s="500"/>
      <c r="E1214" s="498"/>
      <c r="F1214" s="498"/>
      <c r="G1214" s="498"/>
      <c r="H1214" s="498"/>
      <c r="I1214" s="502"/>
    </row>
    <row r="1215" spans="1:9" ht="15.75">
      <c r="A1215" s="498"/>
      <c r="B1215" s="498"/>
      <c r="C1215" s="499"/>
      <c r="D1215" s="500"/>
      <c r="E1215" s="498"/>
      <c r="F1215" s="498"/>
      <c r="G1215" s="498"/>
      <c r="H1215" s="498"/>
      <c r="I1215" s="502"/>
    </row>
    <row r="1216" spans="1:9" ht="15.75">
      <c r="A1216" s="498"/>
      <c r="B1216" s="498"/>
      <c r="C1216" s="499"/>
      <c r="D1216" s="500"/>
      <c r="E1216" s="498"/>
      <c r="F1216" s="498"/>
      <c r="G1216" s="498"/>
      <c r="H1216" s="498"/>
      <c r="I1216" s="502"/>
    </row>
    <row r="1217" spans="1:9" ht="15.75">
      <c r="A1217" s="498"/>
      <c r="B1217" s="498"/>
      <c r="C1217" s="499"/>
      <c r="D1217" s="500"/>
      <c r="E1217" s="498"/>
      <c r="F1217" s="498"/>
      <c r="G1217" s="498"/>
      <c r="H1217" s="498"/>
      <c r="I1217" s="502"/>
    </row>
    <row r="1218" spans="1:9" ht="15.75">
      <c r="A1218" s="498"/>
      <c r="B1218" s="498"/>
      <c r="C1218" s="499"/>
      <c r="D1218" s="500"/>
      <c r="E1218" s="498"/>
      <c r="F1218" s="498"/>
      <c r="G1218" s="498"/>
      <c r="H1218" s="498"/>
      <c r="I1218" s="502"/>
    </row>
    <row r="1219" spans="1:9" ht="15.75">
      <c r="A1219" s="498"/>
      <c r="B1219" s="498"/>
      <c r="C1219" s="499"/>
      <c r="D1219" s="500"/>
      <c r="E1219" s="498"/>
      <c r="F1219" s="498"/>
      <c r="G1219" s="498"/>
      <c r="H1219" s="498"/>
      <c r="I1219" s="502"/>
    </row>
    <row r="1220" spans="1:9" ht="15.75">
      <c r="A1220" s="498"/>
      <c r="B1220" s="498"/>
      <c r="C1220" s="499"/>
      <c r="D1220" s="500"/>
      <c r="E1220" s="498"/>
      <c r="F1220" s="498"/>
      <c r="G1220" s="498"/>
      <c r="H1220" s="498"/>
      <c r="I1220" s="502"/>
    </row>
    <row r="1221" spans="1:9" ht="15.75">
      <c r="A1221" s="498"/>
      <c r="B1221" s="498"/>
      <c r="C1221" s="499"/>
      <c r="D1221" s="500"/>
      <c r="E1221" s="498"/>
      <c r="F1221" s="498"/>
      <c r="G1221" s="498"/>
      <c r="H1221" s="498"/>
      <c r="I1221" s="515"/>
    </row>
    <row r="1222" spans="1:9" ht="15.75">
      <c r="A1222" s="498"/>
      <c r="B1222" s="498"/>
      <c r="C1222" s="499"/>
      <c r="D1222" s="500"/>
      <c r="E1222" s="498"/>
      <c r="F1222" s="498"/>
      <c r="G1222" s="498"/>
      <c r="H1222" s="498"/>
      <c r="I1222" s="502"/>
    </row>
    <row r="1223" spans="1:9" ht="15.75">
      <c r="A1223" s="498"/>
      <c r="B1223" s="498"/>
      <c r="C1223" s="499"/>
      <c r="D1223" s="500"/>
      <c r="E1223" s="498"/>
      <c r="F1223" s="498"/>
      <c r="G1223" s="498"/>
      <c r="H1223" s="498"/>
      <c r="I1223" s="502"/>
    </row>
    <row r="1224" spans="1:9" ht="15.75">
      <c r="A1224" s="498"/>
      <c r="B1224" s="498"/>
      <c r="C1224" s="499"/>
      <c r="D1224" s="500"/>
      <c r="E1224" s="498"/>
      <c r="F1224" s="498"/>
      <c r="G1224" s="498"/>
      <c r="H1224" s="498"/>
      <c r="I1224" s="502"/>
    </row>
    <row r="1225" spans="1:9" ht="15.75">
      <c r="A1225" s="498"/>
      <c r="B1225" s="498"/>
      <c r="C1225" s="499"/>
      <c r="D1225" s="500"/>
      <c r="E1225" s="498"/>
      <c r="F1225" s="498"/>
      <c r="G1225" s="498"/>
      <c r="H1225" s="498"/>
      <c r="I1225" s="502"/>
    </row>
    <row r="1226" spans="1:9" ht="15.75">
      <c r="A1226" s="498"/>
      <c r="B1226" s="498"/>
      <c r="C1226" s="499"/>
      <c r="D1226" s="500"/>
      <c r="E1226" s="498"/>
      <c r="F1226" s="498"/>
      <c r="G1226" s="498"/>
      <c r="H1226" s="498"/>
      <c r="I1226" s="502"/>
    </row>
    <row r="1227" spans="1:9" ht="15.75">
      <c r="A1227" s="498"/>
      <c r="B1227" s="498"/>
      <c r="C1227" s="499"/>
      <c r="D1227" s="500"/>
      <c r="E1227" s="498"/>
      <c r="F1227" s="498"/>
      <c r="G1227" s="498"/>
      <c r="H1227" s="498"/>
      <c r="I1227" s="502"/>
    </row>
    <row r="1228" spans="1:9" ht="15.75">
      <c r="A1228" s="498"/>
      <c r="B1228" s="498"/>
      <c r="C1228" s="499"/>
      <c r="D1228" s="500"/>
      <c r="E1228" s="498"/>
      <c r="F1228" s="498"/>
      <c r="G1228" s="498"/>
      <c r="H1228" s="498"/>
      <c r="I1228" s="502"/>
    </row>
    <row r="1229" spans="1:9" ht="15.75">
      <c r="A1229" s="498"/>
      <c r="B1229" s="498"/>
      <c r="C1229" s="499"/>
      <c r="D1229" s="500"/>
      <c r="E1229" s="498"/>
      <c r="F1229" s="498"/>
      <c r="G1229" s="498"/>
      <c r="H1229" s="498"/>
      <c r="I1229" s="502"/>
    </row>
    <row r="1230" spans="1:9" ht="15.75">
      <c r="A1230" s="498"/>
      <c r="B1230" s="498"/>
      <c r="C1230" s="499"/>
      <c r="D1230" s="500"/>
      <c r="E1230" s="498"/>
      <c r="F1230" s="498"/>
      <c r="G1230" s="498"/>
      <c r="H1230" s="498"/>
      <c r="I1230" s="502"/>
    </row>
    <row r="1231" spans="1:9" ht="15.75">
      <c r="A1231" s="498"/>
      <c r="B1231" s="498"/>
      <c r="C1231" s="499"/>
      <c r="D1231" s="500"/>
      <c r="E1231" s="498"/>
      <c r="F1231" s="498"/>
      <c r="G1231" s="498"/>
      <c r="H1231" s="498"/>
      <c r="I1231" s="502"/>
    </row>
    <row r="1232" spans="1:9" ht="15.75">
      <c r="A1232" s="498"/>
      <c r="B1232" s="498"/>
      <c r="C1232" s="499"/>
      <c r="D1232" s="500"/>
      <c r="E1232" s="498"/>
      <c r="F1232" s="498"/>
      <c r="G1232" s="498"/>
      <c r="H1232" s="498"/>
      <c r="I1232" s="502"/>
    </row>
    <row r="1233" spans="1:9" ht="15.75">
      <c r="A1233" s="498"/>
      <c r="B1233" s="498"/>
      <c r="C1233" s="499"/>
      <c r="D1233" s="500"/>
      <c r="E1233" s="498"/>
      <c r="F1233" s="498"/>
      <c r="G1233" s="498"/>
      <c r="H1233" s="498"/>
      <c r="I1233" s="502"/>
    </row>
    <row r="1234" spans="1:9" ht="15.75">
      <c r="A1234" s="498"/>
      <c r="B1234" s="498"/>
      <c r="C1234" s="499"/>
      <c r="D1234" s="500"/>
      <c r="E1234" s="498"/>
      <c r="F1234" s="498"/>
      <c r="G1234" s="498"/>
      <c r="H1234" s="498"/>
      <c r="I1234" s="502"/>
    </row>
    <row r="1235" spans="1:9" ht="15.75">
      <c r="A1235" s="498"/>
      <c r="B1235" s="498"/>
      <c r="C1235" s="499"/>
      <c r="D1235" s="500"/>
      <c r="E1235" s="498"/>
      <c r="F1235" s="498"/>
      <c r="G1235" s="498"/>
      <c r="H1235" s="498"/>
      <c r="I1235" s="502"/>
    </row>
    <row r="1236" spans="1:9" ht="15.75">
      <c r="A1236" s="498"/>
      <c r="B1236" s="498"/>
      <c r="C1236" s="499"/>
      <c r="D1236" s="500"/>
      <c r="E1236" s="498"/>
      <c r="F1236" s="498"/>
      <c r="G1236" s="498"/>
      <c r="H1236" s="498"/>
      <c r="I1236" s="502"/>
    </row>
    <row r="1237" spans="1:9" ht="15.75">
      <c r="A1237" s="498"/>
      <c r="B1237" s="498"/>
      <c r="C1237" s="499"/>
      <c r="D1237" s="500"/>
      <c r="E1237" s="498"/>
      <c r="F1237" s="498"/>
      <c r="G1237" s="498"/>
      <c r="H1237" s="498"/>
      <c r="I1237" s="502"/>
    </row>
    <row r="1238" spans="1:9" ht="15.75">
      <c r="A1238" s="498"/>
      <c r="B1238" s="498"/>
      <c r="C1238" s="499"/>
      <c r="D1238" s="500"/>
      <c r="E1238" s="498"/>
      <c r="F1238" s="498"/>
      <c r="G1238" s="498"/>
      <c r="H1238" s="498"/>
      <c r="I1238" s="502"/>
    </row>
    <row r="1239" spans="1:9" ht="15.75">
      <c r="A1239" s="498"/>
      <c r="B1239" s="498"/>
      <c r="C1239" s="499"/>
      <c r="D1239" s="500"/>
      <c r="E1239" s="498"/>
      <c r="F1239" s="498"/>
      <c r="G1239" s="498"/>
      <c r="H1239" s="498"/>
      <c r="I1239" s="502"/>
    </row>
    <row r="1240" spans="1:9" ht="15.75">
      <c r="A1240" s="498"/>
      <c r="B1240" s="498"/>
      <c r="C1240" s="499"/>
      <c r="D1240" s="500"/>
      <c r="E1240" s="498"/>
      <c r="F1240" s="498"/>
      <c r="G1240" s="498"/>
      <c r="H1240" s="498"/>
      <c r="I1240" s="502"/>
    </row>
    <row r="1241" spans="1:9" ht="15.75">
      <c r="A1241" s="498"/>
      <c r="B1241" s="498"/>
      <c r="C1241" s="499"/>
      <c r="D1241" s="500"/>
      <c r="E1241" s="498"/>
      <c r="F1241" s="498"/>
      <c r="G1241" s="498"/>
      <c r="H1241" s="498"/>
      <c r="I1241" s="502"/>
    </row>
    <row r="1242" spans="1:9" ht="15.75">
      <c r="A1242" s="498"/>
      <c r="B1242" s="498"/>
      <c r="C1242" s="499"/>
      <c r="D1242" s="500"/>
      <c r="E1242" s="498"/>
      <c r="F1242" s="498"/>
      <c r="G1242" s="498"/>
      <c r="H1242" s="498"/>
      <c r="I1242" s="502"/>
    </row>
    <row r="1243" spans="1:9" ht="15.75">
      <c r="A1243" s="498"/>
      <c r="B1243" s="498"/>
      <c r="C1243" s="499"/>
      <c r="D1243" s="500"/>
      <c r="E1243" s="498"/>
      <c r="F1243" s="498"/>
      <c r="G1243" s="498"/>
      <c r="H1243" s="498"/>
      <c r="I1243" s="502"/>
    </row>
    <row r="1244" spans="1:9" ht="15.75">
      <c r="A1244" s="498"/>
      <c r="B1244" s="498"/>
      <c r="C1244" s="499"/>
      <c r="D1244" s="500"/>
      <c r="E1244" s="498"/>
      <c r="F1244" s="498"/>
      <c r="G1244" s="498"/>
      <c r="H1244" s="498"/>
      <c r="I1244" s="502"/>
    </row>
    <row r="1245" spans="1:9" ht="15.75">
      <c r="A1245" s="498"/>
      <c r="B1245" s="498"/>
      <c r="C1245" s="499"/>
      <c r="D1245" s="500"/>
      <c r="E1245" s="498"/>
      <c r="F1245" s="498"/>
      <c r="G1245" s="498"/>
      <c r="H1245" s="498"/>
      <c r="I1245" s="502"/>
    </row>
    <row r="1246" spans="1:9" ht="15.75">
      <c r="A1246" s="498"/>
      <c r="B1246" s="498"/>
      <c r="C1246" s="499"/>
      <c r="D1246" s="500"/>
      <c r="E1246" s="498"/>
      <c r="F1246" s="498"/>
      <c r="G1246" s="498"/>
      <c r="H1246" s="498"/>
      <c r="I1246" s="502"/>
    </row>
    <row r="1247" spans="1:9" ht="15.75">
      <c r="A1247" s="498"/>
      <c r="B1247" s="498"/>
      <c r="C1247" s="499"/>
      <c r="D1247" s="500"/>
      <c r="E1247" s="498"/>
      <c r="F1247" s="498"/>
      <c r="G1247" s="498"/>
      <c r="H1247" s="498"/>
      <c r="I1247" s="502"/>
    </row>
    <row r="1248" spans="1:9" ht="15.75">
      <c r="A1248" s="498"/>
      <c r="B1248" s="498"/>
      <c r="C1248" s="499"/>
      <c r="D1248" s="500"/>
      <c r="E1248" s="498"/>
      <c r="F1248" s="498"/>
      <c r="G1248" s="498"/>
      <c r="H1248" s="498"/>
      <c r="I1248" s="502"/>
    </row>
    <row r="1249" spans="1:9" ht="15.75">
      <c r="A1249" s="498"/>
      <c r="B1249" s="498"/>
      <c r="C1249" s="499"/>
      <c r="D1249" s="500"/>
      <c r="E1249" s="498"/>
      <c r="F1249" s="498"/>
      <c r="G1249" s="498"/>
      <c r="H1249" s="498"/>
      <c r="I1249" s="502"/>
    </row>
    <row r="1250" spans="1:9" ht="15.75">
      <c r="A1250" s="498"/>
      <c r="B1250" s="498"/>
      <c r="C1250" s="499"/>
      <c r="D1250" s="500"/>
      <c r="E1250" s="498"/>
      <c r="F1250" s="498"/>
      <c r="G1250" s="498"/>
      <c r="H1250" s="498"/>
      <c r="I1250" s="502"/>
    </row>
    <row r="1251" spans="1:9" ht="15.75">
      <c r="A1251" s="498"/>
      <c r="B1251" s="498"/>
      <c r="C1251" s="499"/>
      <c r="D1251" s="500"/>
      <c r="E1251" s="498"/>
      <c r="F1251" s="498"/>
      <c r="G1251" s="498"/>
      <c r="H1251" s="498"/>
      <c r="I1251" s="502"/>
    </row>
    <row r="1252" spans="1:9" ht="15.75">
      <c r="A1252" s="498"/>
      <c r="B1252" s="498"/>
      <c r="C1252" s="499"/>
      <c r="D1252" s="500"/>
      <c r="E1252" s="498"/>
      <c r="F1252" s="498"/>
      <c r="G1252" s="498"/>
      <c r="H1252" s="498"/>
      <c r="I1252" s="502"/>
    </row>
    <row r="1253" spans="1:9" ht="15.75">
      <c r="A1253" s="498"/>
      <c r="B1253" s="498"/>
      <c r="C1253" s="499"/>
      <c r="D1253" s="500"/>
      <c r="E1253" s="498"/>
      <c r="F1253" s="498"/>
      <c r="G1253" s="498"/>
      <c r="H1253" s="498"/>
      <c r="I1253" s="513"/>
    </row>
    <row r="1254" spans="1:9" ht="15.75">
      <c r="A1254" s="498"/>
      <c r="B1254" s="498"/>
      <c r="C1254" s="499"/>
      <c r="D1254" s="500"/>
      <c r="E1254" s="498"/>
      <c r="F1254" s="498"/>
      <c r="G1254" s="498"/>
      <c r="H1254" s="498"/>
      <c r="I1254" s="502"/>
    </row>
    <row r="1255" spans="1:9" ht="15.75">
      <c r="A1255" s="498"/>
      <c r="B1255" s="498"/>
      <c r="C1255" s="499"/>
      <c r="D1255" s="500"/>
      <c r="E1255" s="498"/>
      <c r="F1255" s="498"/>
      <c r="G1255" s="498"/>
      <c r="H1255" s="498"/>
      <c r="I1255" s="502"/>
    </row>
    <row r="1256" spans="1:9" ht="15.75">
      <c r="A1256" s="498"/>
      <c r="B1256" s="498"/>
      <c r="C1256" s="499"/>
      <c r="D1256" s="500"/>
      <c r="E1256" s="498"/>
      <c r="F1256" s="498"/>
      <c r="G1256" s="498"/>
      <c r="H1256" s="498"/>
      <c r="I1256" s="502"/>
    </row>
    <row r="1257" spans="1:9" ht="15.75">
      <c r="A1257" s="498"/>
      <c r="B1257" s="498"/>
      <c r="C1257" s="499"/>
      <c r="D1257" s="500"/>
      <c r="E1257" s="498"/>
      <c r="F1257" s="498"/>
      <c r="G1257" s="498"/>
      <c r="H1257" s="498"/>
      <c r="I1257" s="502"/>
    </row>
    <row r="1258" spans="1:9" ht="15.75">
      <c r="A1258" s="498"/>
      <c r="B1258" s="498"/>
      <c r="C1258" s="499"/>
      <c r="D1258" s="500"/>
      <c r="E1258" s="498"/>
      <c r="F1258" s="498"/>
      <c r="G1258" s="498"/>
      <c r="H1258" s="498"/>
      <c r="I1258" s="515"/>
    </row>
    <row r="1259" spans="1:9" ht="15.75">
      <c r="A1259" s="498"/>
      <c r="B1259" s="498"/>
      <c r="C1259" s="499"/>
      <c r="D1259" s="500"/>
      <c r="E1259" s="498"/>
      <c r="F1259" s="498"/>
      <c r="G1259" s="498"/>
      <c r="H1259" s="498"/>
      <c r="I1259" s="502"/>
    </row>
    <row r="1260" spans="1:9" ht="15.75">
      <c r="A1260" s="498"/>
      <c r="B1260" s="498"/>
      <c r="C1260" s="499"/>
      <c r="D1260" s="500"/>
      <c r="E1260" s="498"/>
      <c r="F1260" s="498"/>
      <c r="G1260" s="498"/>
      <c r="H1260" s="498"/>
      <c r="I1260" s="502"/>
    </row>
    <row r="1261" spans="1:9" ht="15.75">
      <c r="A1261" s="498"/>
      <c r="B1261" s="498"/>
      <c r="C1261" s="499"/>
      <c r="D1261" s="500"/>
      <c r="E1261" s="498"/>
      <c r="F1261" s="498"/>
      <c r="G1261" s="498"/>
      <c r="H1261" s="498"/>
      <c r="I1261" s="502"/>
    </row>
    <row r="1262" spans="1:9" ht="15.75">
      <c r="A1262" s="498"/>
      <c r="B1262" s="498"/>
      <c r="C1262" s="499"/>
      <c r="D1262" s="500"/>
      <c r="E1262" s="498"/>
      <c r="F1262" s="498"/>
      <c r="G1262" s="498"/>
      <c r="H1262" s="498"/>
      <c r="I1262" s="502"/>
    </row>
    <row r="1263" spans="1:9" ht="15.75">
      <c r="A1263" s="498"/>
      <c r="B1263" s="498"/>
      <c r="C1263" s="499"/>
      <c r="D1263" s="500"/>
      <c r="E1263" s="498"/>
      <c r="F1263" s="498"/>
      <c r="G1263" s="498"/>
      <c r="H1263" s="498"/>
      <c r="I1263" s="502"/>
    </row>
    <row r="1264" spans="1:9" ht="15.75">
      <c r="A1264" s="498"/>
      <c r="B1264" s="498"/>
      <c r="C1264" s="499"/>
      <c r="D1264" s="500"/>
      <c r="E1264" s="498"/>
      <c r="F1264" s="498"/>
      <c r="G1264" s="498"/>
      <c r="H1264" s="498"/>
      <c r="I1264" s="502"/>
    </row>
    <row r="1265" spans="1:9" ht="15.75">
      <c r="A1265" s="498"/>
      <c r="B1265" s="498"/>
      <c r="C1265" s="499"/>
      <c r="D1265" s="500"/>
      <c r="E1265" s="498"/>
      <c r="F1265" s="498"/>
      <c r="G1265" s="498"/>
      <c r="H1265" s="498"/>
      <c r="I1265" s="502"/>
    </row>
    <row r="1266" spans="1:9" ht="15.75">
      <c r="A1266" s="498"/>
      <c r="B1266" s="498"/>
      <c r="C1266" s="499"/>
      <c r="D1266" s="500"/>
      <c r="E1266" s="498"/>
      <c r="F1266" s="498"/>
      <c r="G1266" s="498"/>
      <c r="H1266" s="498"/>
      <c r="I1266" s="502"/>
    </row>
    <row r="1267" spans="1:9" ht="15.75">
      <c r="A1267" s="498"/>
      <c r="B1267" s="498"/>
      <c r="C1267" s="499"/>
      <c r="D1267" s="500"/>
      <c r="E1267" s="498"/>
      <c r="F1267" s="498"/>
      <c r="G1267" s="498"/>
      <c r="H1267" s="498"/>
      <c r="I1267" s="502"/>
    </row>
    <row r="1268" spans="1:9" ht="15.75">
      <c r="A1268" s="498"/>
      <c r="B1268" s="498"/>
      <c r="C1268" s="499"/>
      <c r="D1268" s="500"/>
      <c r="E1268" s="498"/>
      <c r="F1268" s="498"/>
      <c r="G1268" s="498"/>
      <c r="H1268" s="498"/>
      <c r="I1268" s="502"/>
    </row>
    <row r="1269" spans="1:9" ht="15.75">
      <c r="A1269" s="498"/>
      <c r="B1269" s="498"/>
      <c r="C1269" s="499"/>
      <c r="D1269" s="500"/>
      <c r="E1269" s="498"/>
      <c r="F1269" s="498"/>
      <c r="G1269" s="498"/>
      <c r="H1269" s="498"/>
      <c r="I1269" s="502"/>
    </row>
    <row r="1270" spans="1:9" ht="15.75">
      <c r="A1270" s="498"/>
      <c r="B1270" s="498"/>
      <c r="C1270" s="499"/>
      <c r="D1270" s="500"/>
      <c r="E1270" s="498"/>
      <c r="F1270" s="498"/>
      <c r="G1270" s="498"/>
      <c r="H1270" s="498"/>
      <c r="I1270" s="502"/>
    </row>
    <row r="1271" spans="1:9" ht="15.75">
      <c r="A1271" s="498"/>
      <c r="B1271" s="498"/>
      <c r="C1271" s="499"/>
      <c r="D1271" s="500"/>
      <c r="E1271" s="498"/>
      <c r="F1271" s="498"/>
      <c r="G1271" s="498"/>
      <c r="H1271" s="498"/>
      <c r="I1271" s="502"/>
    </row>
    <row r="1272" spans="1:9" ht="15.75">
      <c r="A1272" s="498"/>
      <c r="B1272" s="498"/>
      <c r="C1272" s="499"/>
      <c r="D1272" s="500"/>
      <c r="E1272" s="498"/>
      <c r="F1272" s="498"/>
      <c r="G1272" s="498"/>
      <c r="H1272" s="498"/>
      <c r="I1272" s="502"/>
    </row>
    <row r="1273" spans="1:9" ht="15.75">
      <c r="A1273" s="498"/>
      <c r="B1273" s="498"/>
      <c r="C1273" s="499"/>
      <c r="D1273" s="500"/>
      <c r="E1273" s="498"/>
      <c r="F1273" s="498"/>
      <c r="G1273" s="498"/>
      <c r="H1273" s="498"/>
      <c r="I1273" s="502"/>
    </row>
    <row r="1274" spans="1:9" ht="15.75">
      <c r="A1274" s="498"/>
      <c r="B1274" s="498"/>
      <c r="C1274" s="499"/>
      <c r="D1274" s="500"/>
      <c r="E1274" s="498"/>
      <c r="F1274" s="498"/>
      <c r="G1274" s="498"/>
      <c r="H1274" s="498"/>
      <c r="I1274" s="502"/>
    </row>
    <row r="1275" spans="1:9" ht="15.75">
      <c r="A1275" s="498"/>
      <c r="B1275" s="498"/>
      <c r="C1275" s="499"/>
      <c r="D1275" s="500"/>
      <c r="E1275" s="498"/>
      <c r="F1275" s="498"/>
      <c r="G1275" s="498"/>
      <c r="H1275" s="498"/>
      <c r="I1275" s="502"/>
    </row>
    <row r="1276" spans="1:9" ht="15.75">
      <c r="A1276" s="498"/>
      <c r="B1276" s="498"/>
      <c r="C1276" s="499"/>
      <c r="D1276" s="500"/>
      <c r="E1276" s="498"/>
      <c r="F1276" s="498"/>
      <c r="G1276" s="498"/>
      <c r="H1276" s="498"/>
      <c r="I1276" s="502"/>
    </row>
    <row r="1277" spans="1:9" ht="15.75">
      <c r="A1277" s="498"/>
      <c r="B1277" s="498"/>
      <c r="C1277" s="499"/>
      <c r="D1277" s="500"/>
      <c r="E1277" s="498"/>
      <c r="F1277" s="498"/>
      <c r="G1277" s="498"/>
      <c r="H1277" s="498"/>
      <c r="I1277" s="502"/>
    </row>
    <row r="1278" spans="1:9" ht="15.75">
      <c r="A1278" s="498"/>
      <c r="B1278" s="498"/>
      <c r="C1278" s="499"/>
      <c r="D1278" s="500"/>
      <c r="E1278" s="498"/>
      <c r="F1278" s="498"/>
      <c r="G1278" s="498"/>
      <c r="H1278" s="498"/>
      <c r="I1278" s="502"/>
    </row>
    <row r="1279" spans="1:9" ht="15.75">
      <c r="A1279" s="498"/>
      <c r="B1279" s="498"/>
      <c r="C1279" s="499"/>
      <c r="D1279" s="500"/>
      <c r="E1279" s="498"/>
      <c r="F1279" s="498"/>
      <c r="G1279" s="498"/>
      <c r="H1279" s="498"/>
      <c r="I1279" s="502"/>
    </row>
    <row r="1280" spans="1:9" ht="15.75">
      <c r="A1280" s="498"/>
      <c r="B1280" s="498"/>
      <c r="C1280" s="499"/>
      <c r="D1280" s="500"/>
      <c r="E1280" s="498"/>
      <c r="F1280" s="498"/>
      <c r="G1280" s="498"/>
      <c r="H1280" s="498"/>
      <c r="I1280" s="502"/>
    </row>
    <row r="1281" spans="1:9" ht="15.75">
      <c r="A1281" s="498"/>
      <c r="B1281" s="498"/>
      <c r="C1281" s="499"/>
      <c r="D1281" s="500"/>
      <c r="E1281" s="498"/>
      <c r="F1281" s="498"/>
      <c r="G1281" s="498"/>
      <c r="H1281" s="498"/>
      <c r="I1281" s="502"/>
    </row>
    <row r="1282" spans="1:9" ht="15.75">
      <c r="A1282" s="498"/>
      <c r="B1282" s="498"/>
      <c r="C1282" s="499"/>
      <c r="D1282" s="500"/>
      <c r="E1282" s="498"/>
      <c r="F1282" s="498"/>
      <c r="G1282" s="498"/>
      <c r="H1282" s="498"/>
      <c r="I1282" s="502"/>
    </row>
    <row r="1283" spans="1:9" ht="15.75">
      <c r="A1283" s="498"/>
      <c r="B1283" s="498"/>
      <c r="C1283" s="499"/>
      <c r="D1283" s="500"/>
      <c r="E1283" s="498"/>
      <c r="F1283" s="498"/>
      <c r="G1283" s="498"/>
      <c r="H1283" s="498"/>
      <c r="I1283" s="502"/>
    </row>
    <row r="1284" spans="1:9" ht="15.75">
      <c r="A1284" s="498"/>
      <c r="B1284" s="498"/>
      <c r="C1284" s="499"/>
      <c r="D1284" s="500"/>
      <c r="E1284" s="498"/>
      <c r="F1284" s="498"/>
      <c r="G1284" s="498"/>
      <c r="H1284" s="498"/>
      <c r="I1284" s="502"/>
    </row>
    <row r="1285" spans="1:9" ht="15.75">
      <c r="A1285" s="498"/>
      <c r="B1285" s="498"/>
      <c r="C1285" s="499"/>
      <c r="D1285" s="500"/>
      <c r="E1285" s="498"/>
      <c r="F1285" s="498"/>
      <c r="G1285" s="498"/>
      <c r="H1285" s="498"/>
      <c r="I1285" s="502"/>
    </row>
    <row r="1286" spans="1:9" ht="15.75">
      <c r="A1286" s="498"/>
      <c r="B1286" s="498"/>
      <c r="C1286" s="499"/>
      <c r="D1286" s="500"/>
      <c r="E1286" s="498"/>
      <c r="F1286" s="498"/>
      <c r="G1286" s="498"/>
      <c r="H1286" s="498"/>
      <c r="I1286" s="502"/>
    </row>
    <row r="1287" spans="1:9" ht="15.75">
      <c r="A1287" s="498"/>
      <c r="B1287" s="498"/>
      <c r="C1287" s="499"/>
      <c r="D1287" s="500"/>
      <c r="E1287" s="498"/>
      <c r="F1287" s="498"/>
      <c r="G1287" s="498"/>
      <c r="H1287" s="498"/>
      <c r="I1287" s="502"/>
    </row>
    <row r="1288" spans="1:9" ht="15.75">
      <c r="A1288" s="498"/>
      <c r="B1288" s="498"/>
      <c r="C1288" s="499"/>
      <c r="D1288" s="500"/>
      <c r="E1288" s="498"/>
      <c r="F1288" s="498"/>
      <c r="G1288" s="498"/>
      <c r="H1288" s="498"/>
      <c r="I1288" s="502"/>
    </row>
    <row r="1289" spans="1:9" ht="15.75">
      <c r="A1289" s="498"/>
      <c r="B1289" s="498"/>
      <c r="C1289" s="499"/>
      <c r="D1289" s="500"/>
      <c r="E1289" s="498"/>
      <c r="F1289" s="498"/>
      <c r="G1289" s="498"/>
      <c r="H1289" s="498"/>
      <c r="I1289" s="515"/>
    </row>
    <row r="1290" spans="1:9" ht="15.75">
      <c r="A1290" s="498"/>
      <c r="B1290" s="498"/>
      <c r="C1290" s="499"/>
      <c r="D1290" s="500"/>
      <c r="E1290" s="498"/>
      <c r="F1290" s="498"/>
      <c r="G1290" s="498"/>
      <c r="H1290" s="498"/>
      <c r="I1290" s="502"/>
    </row>
    <row r="1291" spans="1:9" ht="15.75">
      <c r="A1291" s="498"/>
      <c r="B1291" s="498"/>
      <c r="C1291" s="499"/>
      <c r="D1291" s="500"/>
      <c r="E1291" s="498"/>
      <c r="F1291" s="498"/>
      <c r="G1291" s="498"/>
      <c r="H1291" s="498"/>
      <c r="I1291" s="502"/>
    </row>
    <row r="1292" spans="1:9" ht="15.75">
      <c r="A1292" s="498"/>
      <c r="B1292" s="498"/>
      <c r="C1292" s="499"/>
      <c r="D1292" s="500"/>
      <c r="E1292" s="498"/>
      <c r="F1292" s="498"/>
      <c r="G1292" s="498"/>
      <c r="H1292" s="498"/>
      <c r="I1292" s="502"/>
    </row>
    <row r="1293" spans="1:9" ht="15.75">
      <c r="A1293" s="498"/>
      <c r="B1293" s="498"/>
      <c r="C1293" s="499"/>
      <c r="D1293" s="500"/>
      <c r="E1293" s="498"/>
      <c r="F1293" s="498"/>
      <c r="G1293" s="498"/>
      <c r="H1293" s="498"/>
      <c r="I1293" s="502"/>
    </row>
    <row r="1294" spans="1:9" ht="15.75">
      <c r="A1294" s="498"/>
      <c r="B1294" s="498"/>
      <c r="C1294" s="499"/>
      <c r="D1294" s="500"/>
      <c r="E1294" s="498"/>
      <c r="F1294" s="498"/>
      <c r="G1294" s="498"/>
      <c r="H1294" s="498"/>
      <c r="I1294" s="502"/>
    </row>
    <row r="1295" spans="1:9" ht="15.75">
      <c r="A1295" s="498"/>
      <c r="B1295" s="498"/>
      <c r="C1295" s="499"/>
      <c r="D1295" s="500"/>
      <c r="E1295" s="498"/>
      <c r="F1295" s="498"/>
      <c r="G1295" s="498"/>
      <c r="H1295" s="498"/>
      <c r="I1295" s="502"/>
    </row>
    <row r="1296" spans="1:9" ht="15.75">
      <c r="A1296" s="498"/>
      <c r="B1296" s="498"/>
      <c r="C1296" s="499"/>
      <c r="D1296" s="500"/>
      <c r="E1296" s="498"/>
      <c r="F1296" s="498"/>
      <c r="G1296" s="498"/>
      <c r="H1296" s="498"/>
      <c r="I1296" s="502"/>
    </row>
    <row r="1297" spans="1:9" ht="15.75">
      <c r="A1297" s="498"/>
      <c r="B1297" s="498"/>
      <c r="C1297" s="499"/>
      <c r="D1297" s="500"/>
      <c r="E1297" s="498"/>
      <c r="F1297" s="498"/>
      <c r="G1297" s="498"/>
      <c r="H1297" s="498"/>
      <c r="I1297" s="502"/>
    </row>
    <row r="1298" spans="1:9" ht="15.75">
      <c r="A1298" s="498"/>
      <c r="B1298" s="498"/>
      <c r="C1298" s="499"/>
      <c r="D1298" s="500"/>
      <c r="E1298" s="498"/>
      <c r="F1298" s="498"/>
      <c r="G1298" s="498"/>
      <c r="H1298" s="498"/>
      <c r="I1298" s="502"/>
    </row>
    <row r="1299" spans="1:9" ht="15.75">
      <c r="A1299" s="498"/>
      <c r="B1299" s="498"/>
      <c r="C1299" s="499"/>
      <c r="D1299" s="500"/>
      <c r="E1299" s="498"/>
      <c r="F1299" s="498"/>
      <c r="G1299" s="498"/>
      <c r="H1299" s="498"/>
      <c r="I1299" s="502"/>
    </row>
    <row r="1300" spans="1:9" ht="15.75">
      <c r="A1300" s="498"/>
      <c r="B1300" s="498"/>
      <c r="C1300" s="499"/>
      <c r="D1300" s="500"/>
      <c r="E1300" s="498"/>
      <c r="F1300" s="498"/>
      <c r="G1300" s="498"/>
      <c r="H1300" s="498"/>
      <c r="I1300" s="502"/>
    </row>
    <row r="1301" spans="1:9" ht="15.75">
      <c r="A1301" s="498"/>
      <c r="B1301" s="498"/>
      <c r="C1301" s="499"/>
      <c r="D1301" s="500"/>
      <c r="E1301" s="498"/>
      <c r="F1301" s="498"/>
      <c r="G1301" s="498"/>
      <c r="H1301" s="498"/>
      <c r="I1301" s="502"/>
    </row>
    <row r="1302" spans="1:9" ht="15.75">
      <c r="A1302" s="498"/>
      <c r="B1302" s="498"/>
      <c r="C1302" s="499"/>
      <c r="D1302" s="500"/>
      <c r="E1302" s="498"/>
      <c r="F1302" s="498"/>
      <c r="G1302" s="498"/>
      <c r="H1302" s="498"/>
      <c r="I1302" s="502"/>
    </row>
    <row r="1303" spans="1:9" ht="15.75">
      <c r="A1303" s="498"/>
      <c r="B1303" s="498"/>
      <c r="C1303" s="499"/>
      <c r="D1303" s="500"/>
      <c r="E1303" s="498"/>
      <c r="F1303" s="498"/>
      <c r="G1303" s="498"/>
      <c r="H1303" s="498"/>
      <c r="I1303" s="502"/>
    </row>
    <row r="1304" spans="1:9" ht="15.75">
      <c r="A1304" s="498"/>
      <c r="B1304" s="498"/>
      <c r="C1304" s="499"/>
      <c r="D1304" s="500"/>
      <c r="E1304" s="498"/>
      <c r="F1304" s="498"/>
      <c r="G1304" s="498"/>
      <c r="H1304" s="498"/>
      <c r="I1304" s="502"/>
    </row>
    <row r="1305" spans="1:9" ht="15.75">
      <c r="A1305" s="498"/>
      <c r="B1305" s="498"/>
      <c r="C1305" s="499"/>
      <c r="D1305" s="500"/>
      <c r="E1305" s="498"/>
      <c r="F1305" s="498"/>
      <c r="G1305" s="498"/>
      <c r="H1305" s="498"/>
      <c r="I1305" s="502"/>
    </row>
    <row r="1306" spans="1:9" ht="15.75">
      <c r="A1306" s="498"/>
      <c r="B1306" s="498"/>
      <c r="C1306" s="499"/>
      <c r="D1306" s="500"/>
      <c r="E1306" s="498"/>
      <c r="F1306" s="498"/>
      <c r="G1306" s="498"/>
      <c r="H1306" s="498"/>
      <c r="I1306" s="502"/>
    </row>
    <row r="1307" spans="1:9" ht="15.75">
      <c r="A1307" s="498"/>
      <c r="B1307" s="498"/>
      <c r="C1307" s="499"/>
      <c r="D1307" s="500"/>
      <c r="E1307" s="498"/>
      <c r="F1307" s="498"/>
      <c r="G1307" s="498"/>
      <c r="H1307" s="498"/>
      <c r="I1307" s="502"/>
    </row>
    <row r="1308" spans="1:9" ht="15.75">
      <c r="A1308" s="498"/>
      <c r="B1308" s="498"/>
      <c r="C1308" s="499"/>
      <c r="D1308" s="500"/>
      <c r="E1308" s="498"/>
      <c r="F1308" s="498"/>
      <c r="G1308" s="498"/>
      <c r="H1308" s="498"/>
      <c r="I1308" s="502"/>
    </row>
    <row r="1309" spans="1:9" ht="15.75">
      <c r="A1309" s="498"/>
      <c r="B1309" s="498"/>
      <c r="C1309" s="499"/>
      <c r="D1309" s="500"/>
      <c r="E1309" s="498"/>
      <c r="F1309" s="498"/>
      <c r="G1309" s="498"/>
      <c r="H1309" s="498"/>
      <c r="I1309" s="502"/>
    </row>
    <row r="1310" spans="1:9" ht="15.75">
      <c r="A1310" s="498"/>
      <c r="B1310" s="498"/>
      <c r="C1310" s="499"/>
      <c r="D1310" s="500"/>
      <c r="E1310" s="498"/>
      <c r="F1310" s="498"/>
      <c r="G1310" s="498"/>
      <c r="H1310" s="498"/>
      <c r="I1310" s="502"/>
    </row>
    <row r="1311" spans="1:9" ht="15.75">
      <c r="A1311" s="498"/>
      <c r="B1311" s="498"/>
      <c r="C1311" s="499"/>
      <c r="D1311" s="500"/>
      <c r="E1311" s="498"/>
      <c r="F1311" s="498"/>
      <c r="G1311" s="498"/>
      <c r="H1311" s="498"/>
      <c r="I1311" s="502"/>
    </row>
    <row r="1312" spans="1:9" ht="15.75">
      <c r="A1312" s="498"/>
      <c r="B1312" s="498"/>
      <c r="C1312" s="499"/>
      <c r="D1312" s="500"/>
      <c r="E1312" s="498"/>
      <c r="F1312" s="498"/>
      <c r="G1312" s="498"/>
      <c r="H1312" s="498"/>
      <c r="I1312" s="502"/>
    </row>
    <row r="1313" spans="1:9" ht="15.75">
      <c r="A1313" s="498"/>
      <c r="B1313" s="498"/>
      <c r="C1313" s="499"/>
      <c r="D1313" s="500"/>
      <c r="E1313" s="498"/>
      <c r="F1313" s="498"/>
      <c r="G1313" s="498"/>
      <c r="H1313" s="498"/>
      <c r="I1313" s="515"/>
    </row>
    <row r="1314" spans="1:9" ht="15.75">
      <c r="A1314" s="498"/>
      <c r="B1314" s="498"/>
      <c r="C1314" s="499"/>
      <c r="D1314" s="500"/>
      <c r="E1314" s="498"/>
      <c r="F1314" s="498"/>
      <c r="G1314" s="498"/>
      <c r="H1314" s="498"/>
      <c r="I1314" s="502"/>
    </row>
    <row r="1315" spans="1:9" ht="15.75">
      <c r="A1315" s="498"/>
      <c r="B1315" s="498"/>
      <c r="C1315" s="499"/>
      <c r="D1315" s="500"/>
      <c r="E1315" s="498"/>
      <c r="F1315" s="498"/>
      <c r="G1315" s="498"/>
      <c r="H1315" s="498"/>
      <c r="I1315" s="502"/>
    </row>
    <row r="1316" spans="1:9" ht="15.75">
      <c r="A1316" s="498"/>
      <c r="B1316" s="498"/>
      <c r="C1316" s="499"/>
      <c r="D1316" s="500"/>
      <c r="E1316" s="498"/>
      <c r="F1316" s="498"/>
      <c r="G1316" s="498"/>
      <c r="H1316" s="498"/>
      <c r="I1316" s="502"/>
    </row>
    <row r="1317" spans="1:9" ht="15.75">
      <c r="A1317" s="498"/>
      <c r="B1317" s="498"/>
      <c r="C1317" s="499"/>
      <c r="D1317" s="500"/>
      <c r="E1317" s="498"/>
      <c r="F1317" s="498"/>
      <c r="G1317" s="498"/>
      <c r="H1317" s="498"/>
      <c r="I1317" s="502"/>
    </row>
    <row r="1318" spans="1:9" ht="15.75">
      <c r="A1318" s="498"/>
      <c r="B1318" s="498"/>
      <c r="C1318" s="499"/>
      <c r="D1318" s="500"/>
      <c r="E1318" s="498"/>
      <c r="F1318" s="498"/>
      <c r="G1318" s="498"/>
      <c r="H1318" s="498"/>
      <c r="I1318" s="502"/>
    </row>
    <row r="1319" spans="1:9" ht="15.75">
      <c r="A1319" s="498"/>
      <c r="B1319" s="498"/>
      <c r="C1319" s="499"/>
      <c r="D1319" s="500"/>
      <c r="E1319" s="498"/>
      <c r="F1319" s="498"/>
      <c r="G1319" s="498"/>
      <c r="H1319" s="498"/>
      <c r="I1319" s="502"/>
    </row>
    <row r="1320" spans="1:9" ht="15.75">
      <c r="A1320" s="498"/>
      <c r="B1320" s="498"/>
      <c r="C1320" s="499"/>
      <c r="D1320" s="500"/>
      <c r="E1320" s="498"/>
      <c r="F1320" s="498"/>
      <c r="G1320" s="498"/>
      <c r="H1320" s="498"/>
      <c r="I1320" s="502"/>
    </row>
    <row r="1321" spans="1:9" ht="15.75">
      <c r="A1321" s="498"/>
      <c r="B1321" s="498"/>
      <c r="C1321" s="499"/>
      <c r="D1321" s="500"/>
      <c r="E1321" s="498"/>
      <c r="F1321" s="498"/>
      <c r="G1321" s="498"/>
      <c r="H1321" s="498"/>
      <c r="I1321" s="502"/>
    </row>
    <row r="1322" spans="1:9" ht="15.75">
      <c r="A1322" s="498"/>
      <c r="B1322" s="498"/>
      <c r="C1322" s="499"/>
      <c r="D1322" s="500"/>
      <c r="E1322" s="498"/>
      <c r="F1322" s="498"/>
      <c r="G1322" s="498"/>
      <c r="H1322" s="498"/>
      <c r="I1322" s="502"/>
    </row>
    <row r="1323" spans="1:9" ht="15.75">
      <c r="A1323" s="498"/>
      <c r="B1323" s="498"/>
      <c r="C1323" s="499"/>
      <c r="D1323" s="500"/>
      <c r="E1323" s="498"/>
      <c r="F1323" s="498"/>
      <c r="G1323" s="498"/>
      <c r="H1323" s="498"/>
      <c r="I1323" s="502"/>
    </row>
    <row r="1324" spans="1:9" ht="15.75">
      <c r="A1324" s="498"/>
      <c r="B1324" s="498"/>
      <c r="C1324" s="499"/>
      <c r="D1324" s="500"/>
      <c r="E1324" s="498"/>
      <c r="F1324" s="498"/>
      <c r="G1324" s="498"/>
      <c r="H1324" s="498"/>
      <c r="I1324" s="502"/>
    </row>
    <row r="1325" spans="1:9" ht="15.75">
      <c r="A1325" s="498"/>
      <c r="B1325" s="498"/>
      <c r="C1325" s="499"/>
      <c r="D1325" s="500"/>
      <c r="E1325" s="498"/>
      <c r="F1325" s="498"/>
      <c r="G1325" s="498"/>
      <c r="H1325" s="498"/>
      <c r="I1325" s="502"/>
    </row>
    <row r="1326" spans="1:9" ht="15.75">
      <c r="A1326" s="498"/>
      <c r="B1326" s="498"/>
      <c r="C1326" s="499"/>
      <c r="D1326" s="500"/>
      <c r="E1326" s="498"/>
      <c r="F1326" s="498"/>
      <c r="G1326" s="498"/>
      <c r="H1326" s="498"/>
      <c r="I1326" s="502"/>
    </row>
    <row r="1327" spans="1:9" ht="15.75">
      <c r="A1327" s="498"/>
      <c r="B1327" s="498"/>
      <c r="C1327" s="499"/>
      <c r="D1327" s="500"/>
      <c r="E1327" s="498"/>
      <c r="F1327" s="498"/>
      <c r="G1327" s="498"/>
      <c r="H1327" s="498"/>
      <c r="I1327" s="502"/>
    </row>
    <row r="1328" spans="1:9" ht="15.75">
      <c r="A1328" s="498"/>
      <c r="B1328" s="498"/>
      <c r="C1328" s="499"/>
      <c r="D1328" s="500"/>
      <c r="E1328" s="498"/>
      <c r="F1328" s="498"/>
      <c r="G1328" s="498"/>
      <c r="H1328" s="498"/>
      <c r="I1328" s="502"/>
    </row>
    <row r="1329" spans="1:9" ht="15.75">
      <c r="A1329" s="498"/>
      <c r="B1329" s="498"/>
      <c r="C1329" s="499"/>
      <c r="D1329" s="500"/>
      <c r="E1329" s="498"/>
      <c r="F1329" s="498"/>
      <c r="G1329" s="498"/>
      <c r="H1329" s="498"/>
      <c r="I1329" s="502"/>
    </row>
    <row r="1330" spans="1:9" ht="15.75">
      <c r="A1330" s="498"/>
      <c r="B1330" s="498"/>
      <c r="C1330" s="499"/>
      <c r="D1330" s="500"/>
      <c r="E1330" s="498"/>
      <c r="F1330" s="498"/>
      <c r="G1330" s="498"/>
      <c r="H1330" s="498"/>
      <c r="I1330" s="502"/>
    </row>
    <row r="1331" spans="1:9" ht="15.75">
      <c r="A1331" s="498"/>
      <c r="B1331" s="498"/>
      <c r="C1331" s="499"/>
      <c r="D1331" s="500"/>
      <c r="E1331" s="498"/>
      <c r="F1331" s="498"/>
      <c r="G1331" s="498"/>
      <c r="H1331" s="498"/>
      <c r="I1331" s="502"/>
    </row>
    <row r="1332" spans="1:9" ht="15.75">
      <c r="A1332" s="498"/>
      <c r="B1332" s="498"/>
      <c r="C1332" s="499"/>
      <c r="D1332" s="500"/>
      <c r="E1332" s="498"/>
      <c r="F1332" s="498"/>
      <c r="G1332" s="498"/>
      <c r="H1332" s="498"/>
      <c r="I1332" s="502"/>
    </row>
    <row r="1333" spans="1:9" ht="15.75">
      <c r="A1333" s="498"/>
      <c r="B1333" s="498"/>
      <c r="C1333" s="499"/>
      <c r="D1333" s="500"/>
      <c r="E1333" s="498"/>
      <c r="F1333" s="498"/>
      <c r="G1333" s="498"/>
      <c r="H1333" s="498"/>
      <c r="I1333" s="502"/>
    </row>
    <row r="1334" spans="1:9" ht="15.75">
      <c r="A1334" s="498"/>
      <c r="B1334" s="498"/>
      <c r="C1334" s="499"/>
      <c r="D1334" s="500"/>
      <c r="E1334" s="498"/>
      <c r="F1334" s="498"/>
      <c r="G1334" s="498"/>
      <c r="H1334" s="498"/>
      <c r="I1334" s="502"/>
    </row>
    <row r="1335" spans="1:9" ht="15.75">
      <c r="A1335" s="498"/>
      <c r="B1335" s="498"/>
      <c r="C1335" s="499"/>
      <c r="D1335" s="500"/>
      <c r="E1335" s="498"/>
      <c r="F1335" s="498"/>
      <c r="G1335" s="498"/>
      <c r="H1335" s="498"/>
      <c r="I1335" s="502"/>
    </row>
    <row r="1336" spans="1:9" ht="15.75">
      <c r="A1336" s="498"/>
      <c r="B1336" s="498"/>
      <c r="C1336" s="499"/>
      <c r="D1336" s="500"/>
      <c r="E1336" s="498"/>
      <c r="F1336" s="498"/>
      <c r="G1336" s="498"/>
      <c r="H1336" s="498"/>
      <c r="I1336" s="502"/>
    </row>
    <row r="1337" spans="1:9" ht="15.75">
      <c r="A1337" s="498"/>
      <c r="B1337" s="498"/>
      <c r="C1337" s="499"/>
      <c r="D1337" s="500"/>
      <c r="E1337" s="498"/>
      <c r="F1337" s="498"/>
      <c r="G1337" s="498"/>
      <c r="H1337" s="498"/>
      <c r="I1337" s="502"/>
    </row>
    <row r="1338" spans="1:9" ht="15.75">
      <c r="A1338" s="498"/>
      <c r="B1338" s="498"/>
      <c r="C1338" s="499"/>
      <c r="D1338" s="500"/>
      <c r="E1338" s="498"/>
      <c r="F1338" s="498"/>
      <c r="G1338" s="498"/>
      <c r="H1338" s="498"/>
      <c r="I1338" s="502"/>
    </row>
    <row r="1339" spans="1:9" ht="15.75">
      <c r="A1339" s="498"/>
      <c r="B1339" s="498"/>
      <c r="C1339" s="499"/>
      <c r="D1339" s="500"/>
      <c r="E1339" s="498"/>
      <c r="F1339" s="498"/>
      <c r="G1339" s="498"/>
      <c r="H1339" s="498"/>
      <c r="I1339" s="502"/>
    </row>
    <row r="1340" spans="1:9" ht="15.75">
      <c r="A1340" s="498"/>
      <c r="B1340" s="498"/>
      <c r="C1340" s="499"/>
      <c r="D1340" s="500"/>
      <c r="E1340" s="498"/>
      <c r="F1340" s="498"/>
      <c r="G1340" s="498"/>
      <c r="H1340" s="498"/>
      <c r="I1340" s="502"/>
    </row>
    <row r="1341" spans="1:9" ht="15.75">
      <c r="A1341" s="498"/>
      <c r="B1341" s="498"/>
      <c r="C1341" s="499"/>
      <c r="D1341" s="500"/>
      <c r="E1341" s="498"/>
      <c r="F1341" s="498"/>
      <c r="G1341" s="498"/>
      <c r="H1341" s="498"/>
      <c r="I1341" s="502"/>
    </row>
    <row r="1342" spans="1:9" ht="15.75">
      <c r="A1342" s="498"/>
      <c r="B1342" s="504"/>
      <c r="C1342" s="499"/>
      <c r="D1342" s="500"/>
      <c r="E1342" s="498"/>
      <c r="F1342" s="498"/>
      <c r="G1342" s="498"/>
      <c r="H1342" s="498"/>
      <c r="I1342" s="502"/>
    </row>
    <row r="1343" spans="1:9" ht="15.75">
      <c r="A1343" s="498"/>
      <c r="B1343" s="498"/>
      <c r="C1343" s="499"/>
      <c r="D1343" s="500"/>
      <c r="E1343" s="498"/>
      <c r="F1343" s="498"/>
      <c r="G1343" s="498"/>
      <c r="H1343" s="498"/>
      <c r="I1343" s="513"/>
    </row>
    <row r="1344" spans="1:9" ht="15.75">
      <c r="A1344" s="498"/>
      <c r="B1344" s="498"/>
      <c r="C1344" s="499"/>
      <c r="D1344" s="500"/>
      <c r="E1344" s="498"/>
      <c r="F1344" s="498"/>
      <c r="G1344" s="498"/>
      <c r="H1344" s="498"/>
      <c r="I1344" s="502"/>
    </row>
    <row r="1345" spans="1:9" ht="15.75">
      <c r="A1345" s="498"/>
      <c r="B1345" s="498"/>
      <c r="C1345" s="499"/>
      <c r="D1345" s="500"/>
      <c r="E1345" s="498"/>
      <c r="F1345" s="498"/>
      <c r="G1345" s="498"/>
      <c r="H1345" s="498"/>
      <c r="I1345" s="515"/>
    </row>
    <row r="1346" spans="1:9" ht="15.75">
      <c r="A1346" s="498"/>
      <c r="B1346" s="498"/>
      <c r="C1346" s="499"/>
      <c r="D1346" s="500"/>
      <c r="E1346" s="498"/>
      <c r="F1346" s="498"/>
      <c r="G1346" s="498"/>
      <c r="H1346" s="498"/>
      <c r="I1346" s="515"/>
    </row>
    <row r="1347" spans="1:9" ht="15.75">
      <c r="A1347" s="498"/>
      <c r="B1347" s="498"/>
      <c r="C1347" s="499"/>
      <c r="D1347" s="500"/>
      <c r="E1347" s="498"/>
      <c r="F1347" s="498"/>
      <c r="G1347" s="498"/>
      <c r="H1347" s="498"/>
      <c r="I1347" s="502"/>
    </row>
    <row r="1348" spans="1:9" ht="15.75">
      <c r="A1348" s="498"/>
      <c r="B1348" s="498"/>
      <c r="C1348" s="499"/>
      <c r="D1348" s="500"/>
      <c r="E1348" s="498"/>
      <c r="F1348" s="498"/>
      <c r="G1348" s="498"/>
      <c r="H1348" s="498"/>
      <c r="I1348" s="502"/>
    </row>
    <row r="1349" spans="1:9" ht="15.75">
      <c r="A1349" s="498"/>
      <c r="B1349" s="498"/>
      <c r="C1349" s="499"/>
      <c r="D1349" s="500"/>
      <c r="E1349" s="498"/>
      <c r="F1349" s="498"/>
      <c r="G1349" s="498"/>
      <c r="H1349" s="498"/>
      <c r="I1349" s="502"/>
    </row>
    <row r="1350" spans="1:9" ht="15.75">
      <c r="A1350" s="498"/>
      <c r="B1350" s="498"/>
      <c r="C1350" s="499"/>
      <c r="D1350" s="500"/>
      <c r="E1350" s="498"/>
      <c r="F1350" s="498"/>
      <c r="G1350" s="498"/>
      <c r="H1350" s="498"/>
      <c r="I1350" s="513"/>
    </row>
    <row r="1351" spans="1:9" ht="15.75">
      <c r="A1351" s="498"/>
      <c r="B1351" s="498"/>
      <c r="C1351" s="499"/>
      <c r="D1351" s="500"/>
      <c r="E1351" s="498"/>
      <c r="F1351" s="498"/>
      <c r="G1351" s="498"/>
      <c r="H1351" s="498"/>
      <c r="I1351" s="515"/>
    </row>
    <row r="1352" spans="1:9" ht="15.75">
      <c r="A1352" s="498"/>
      <c r="B1352" s="498"/>
      <c r="C1352" s="499"/>
      <c r="D1352" s="500"/>
      <c r="E1352" s="498"/>
      <c r="F1352" s="498"/>
      <c r="G1352" s="498"/>
      <c r="H1352" s="498"/>
      <c r="I1352" s="502"/>
    </row>
    <row r="1353" spans="1:9" ht="15.75">
      <c r="A1353" s="498"/>
      <c r="B1353" s="498"/>
      <c r="C1353" s="499"/>
      <c r="D1353" s="500"/>
      <c r="E1353" s="498"/>
      <c r="F1353" s="498"/>
      <c r="G1353" s="498"/>
      <c r="H1353" s="498"/>
      <c r="I1353" s="502"/>
    </row>
    <row r="1354" spans="1:9" ht="15.75">
      <c r="A1354" s="498"/>
      <c r="B1354" s="498"/>
      <c r="C1354" s="499"/>
      <c r="D1354" s="500"/>
      <c r="E1354" s="498"/>
      <c r="F1354" s="498"/>
      <c r="G1354" s="498"/>
      <c r="H1354" s="498"/>
      <c r="I1354" s="502"/>
    </row>
    <row r="1355" spans="1:9" ht="15.75">
      <c r="A1355" s="498"/>
      <c r="B1355" s="498"/>
      <c r="C1355" s="499"/>
      <c r="D1355" s="500"/>
      <c r="E1355" s="498"/>
      <c r="F1355" s="498"/>
      <c r="G1355" s="498"/>
      <c r="H1355" s="498"/>
      <c r="I1355" s="502"/>
    </row>
    <row r="1356" spans="1:9" ht="15.75">
      <c r="A1356" s="498"/>
      <c r="B1356" s="498"/>
      <c r="C1356" s="499"/>
      <c r="D1356" s="500"/>
      <c r="E1356" s="498"/>
      <c r="F1356" s="498"/>
      <c r="G1356" s="498"/>
      <c r="H1356" s="498"/>
      <c r="I1356" s="502"/>
    </row>
    <row r="1357" spans="1:9" ht="15.75">
      <c r="A1357" s="498"/>
      <c r="B1357" s="498"/>
      <c r="C1357" s="499"/>
      <c r="D1357" s="500"/>
      <c r="E1357" s="498"/>
      <c r="F1357" s="498"/>
      <c r="G1357" s="498"/>
      <c r="H1357" s="498"/>
      <c r="I1357" s="502"/>
    </row>
    <row r="1358" spans="1:9" ht="15.75">
      <c r="A1358" s="498"/>
      <c r="B1358" s="498"/>
      <c r="C1358" s="499"/>
      <c r="D1358" s="500"/>
      <c r="E1358" s="498"/>
      <c r="F1358" s="498"/>
      <c r="G1358" s="498"/>
      <c r="H1358" s="498"/>
      <c r="I1358" s="513"/>
    </row>
    <row r="1359" spans="1:9" ht="15.75">
      <c r="A1359" s="498"/>
      <c r="B1359" s="498"/>
      <c r="C1359" s="499"/>
      <c r="D1359" s="500"/>
      <c r="E1359" s="498"/>
      <c r="F1359" s="498"/>
      <c r="G1359" s="498"/>
      <c r="H1359" s="498"/>
      <c r="I1359" s="513"/>
    </row>
    <row r="1360" spans="1:9" ht="15.75">
      <c r="A1360" s="498"/>
      <c r="B1360" s="498"/>
      <c r="C1360" s="499"/>
      <c r="D1360" s="500"/>
      <c r="E1360" s="498"/>
      <c r="F1360" s="498"/>
      <c r="G1360" s="498"/>
      <c r="H1360" s="498"/>
      <c r="I1360" s="502"/>
    </row>
    <row r="1361" spans="1:9" ht="15.75">
      <c r="A1361" s="498"/>
      <c r="B1361" s="498"/>
      <c r="C1361" s="499"/>
      <c r="D1361" s="500"/>
      <c r="E1361" s="498"/>
      <c r="F1361" s="498"/>
      <c r="G1361" s="498"/>
      <c r="H1361" s="498"/>
      <c r="I1361" s="515"/>
    </row>
    <row r="1362" spans="1:9" ht="15.75">
      <c r="A1362" s="498"/>
      <c r="B1362" s="498"/>
      <c r="C1362" s="499"/>
      <c r="D1362" s="500"/>
      <c r="E1362" s="498"/>
      <c r="F1362" s="498"/>
      <c r="G1362" s="498"/>
      <c r="H1362" s="498"/>
      <c r="I1362" s="502"/>
    </row>
    <row r="1363" spans="1:9" ht="15.75">
      <c r="A1363" s="498"/>
      <c r="B1363" s="498"/>
      <c r="C1363" s="499"/>
      <c r="D1363" s="500"/>
      <c r="E1363" s="498"/>
      <c r="F1363" s="498"/>
      <c r="G1363" s="498"/>
      <c r="H1363" s="498"/>
      <c r="I1363" s="513"/>
    </row>
    <row r="1364" spans="1:9" ht="15.75">
      <c r="A1364" s="498"/>
      <c r="B1364" s="498"/>
      <c r="C1364" s="499"/>
      <c r="D1364" s="500"/>
      <c r="E1364" s="498"/>
      <c r="F1364" s="498"/>
      <c r="G1364" s="498"/>
      <c r="H1364" s="498"/>
      <c r="I1364" s="502"/>
    </row>
    <row r="1365" spans="1:9" ht="15.75">
      <c r="A1365" s="498"/>
      <c r="B1365" s="498"/>
      <c r="C1365" s="499"/>
      <c r="D1365" s="500"/>
      <c r="E1365" s="498"/>
      <c r="F1365" s="498"/>
      <c r="G1365" s="498"/>
      <c r="H1365" s="498"/>
      <c r="I1365" s="502"/>
    </row>
    <row r="1366" spans="1:9" ht="15.75">
      <c r="A1366" s="498"/>
      <c r="B1366" s="498"/>
      <c r="C1366" s="499"/>
      <c r="D1366" s="500"/>
      <c r="E1366" s="498"/>
      <c r="F1366" s="498"/>
      <c r="G1366" s="498"/>
      <c r="H1366" s="498"/>
      <c r="I1366" s="502"/>
    </row>
    <row r="1367" spans="1:9" ht="15.75">
      <c r="A1367" s="498"/>
      <c r="B1367" s="498"/>
      <c r="C1367" s="499"/>
      <c r="D1367" s="500"/>
      <c r="E1367" s="498"/>
      <c r="F1367" s="498"/>
      <c r="G1367" s="498"/>
      <c r="H1367" s="498"/>
      <c r="I1367" s="502"/>
    </row>
    <row r="1368" spans="1:9" ht="15.75">
      <c r="A1368" s="498"/>
      <c r="B1368" s="498"/>
      <c r="C1368" s="499"/>
      <c r="D1368" s="500"/>
      <c r="E1368" s="498"/>
      <c r="F1368" s="498"/>
      <c r="G1368" s="498"/>
      <c r="H1368" s="498"/>
      <c r="I1368" s="502"/>
    </row>
    <row r="1369" spans="1:9" ht="15.75">
      <c r="A1369" s="498"/>
      <c r="B1369" s="498"/>
      <c r="C1369" s="499"/>
      <c r="D1369" s="500"/>
      <c r="E1369" s="498"/>
      <c r="F1369" s="498"/>
      <c r="G1369" s="498"/>
      <c r="H1369" s="498"/>
      <c r="I1369" s="502"/>
    </row>
    <row r="1370" spans="1:9" ht="15.75">
      <c r="A1370" s="498"/>
      <c r="B1370" s="498"/>
      <c r="C1370" s="499"/>
      <c r="D1370" s="500"/>
      <c r="E1370" s="498"/>
      <c r="F1370" s="498"/>
      <c r="G1370" s="498"/>
      <c r="H1370" s="498"/>
      <c r="I1370" s="513"/>
    </row>
    <row r="1371" spans="1:9" ht="15.75">
      <c r="A1371" s="498"/>
      <c r="B1371" s="498"/>
      <c r="C1371" s="499"/>
      <c r="D1371" s="500"/>
      <c r="E1371" s="498"/>
      <c r="F1371" s="498"/>
      <c r="G1371" s="498"/>
      <c r="H1371" s="498"/>
      <c r="I1371" s="513"/>
    </row>
    <row r="1372" spans="1:9" ht="15.75">
      <c r="A1372" s="498"/>
      <c r="B1372" s="498"/>
      <c r="C1372" s="499"/>
      <c r="D1372" s="500"/>
      <c r="E1372" s="498"/>
      <c r="F1372" s="498"/>
      <c r="G1372" s="498"/>
      <c r="H1372" s="498"/>
      <c r="I1372" s="502"/>
    </row>
    <row r="1373" spans="1:9" ht="15.75">
      <c r="A1373" s="498"/>
      <c r="B1373" s="498"/>
      <c r="C1373" s="499"/>
      <c r="D1373" s="500"/>
      <c r="E1373" s="498"/>
      <c r="F1373" s="498"/>
      <c r="G1373" s="498"/>
      <c r="H1373" s="498"/>
      <c r="I1373" s="502"/>
    </row>
    <row r="1374" spans="1:9" ht="15.75">
      <c r="A1374" s="498"/>
      <c r="B1374" s="498"/>
      <c r="C1374" s="499"/>
      <c r="D1374" s="500"/>
      <c r="E1374" s="498"/>
      <c r="F1374" s="498"/>
      <c r="G1374" s="498"/>
      <c r="H1374" s="498"/>
      <c r="I1374" s="502"/>
    </row>
    <row r="1375" spans="1:9" ht="15.75">
      <c r="A1375" s="498"/>
      <c r="B1375" s="498"/>
      <c r="C1375" s="499"/>
      <c r="D1375" s="500"/>
      <c r="E1375" s="498"/>
      <c r="F1375" s="498"/>
      <c r="G1375" s="498"/>
      <c r="H1375" s="498"/>
      <c r="I1375" s="513"/>
    </row>
    <row r="1376" spans="1:9" ht="15.75">
      <c r="A1376" s="498"/>
      <c r="B1376" s="498"/>
      <c r="C1376" s="499"/>
      <c r="D1376" s="500"/>
      <c r="E1376" s="498"/>
      <c r="F1376" s="498"/>
      <c r="G1376" s="498"/>
      <c r="H1376" s="498"/>
      <c r="I1376" s="502"/>
    </row>
    <row r="1377" spans="1:9" ht="15.75">
      <c r="A1377" s="498"/>
      <c r="B1377" s="498"/>
      <c r="C1377" s="499"/>
      <c r="D1377" s="500"/>
      <c r="E1377" s="498"/>
      <c r="F1377" s="498"/>
      <c r="G1377" s="498"/>
      <c r="H1377" s="498"/>
      <c r="I1377" s="502"/>
    </row>
    <row r="1378" spans="1:9" ht="15.75">
      <c r="A1378" s="498"/>
      <c r="B1378" s="498"/>
      <c r="C1378" s="499"/>
      <c r="D1378" s="500"/>
      <c r="E1378" s="498"/>
      <c r="F1378" s="498"/>
      <c r="G1378" s="498"/>
      <c r="H1378" s="498"/>
      <c r="I1378" s="502"/>
    </row>
    <row r="1379" spans="1:9" ht="15.75">
      <c r="A1379" s="498"/>
      <c r="B1379" s="498"/>
      <c r="C1379" s="499"/>
      <c r="D1379" s="500"/>
      <c r="E1379" s="498"/>
      <c r="F1379" s="498"/>
      <c r="G1379" s="498"/>
      <c r="H1379" s="498"/>
      <c r="I1379" s="502"/>
    </row>
    <row r="1380" spans="1:9" ht="15.75">
      <c r="A1380" s="498"/>
      <c r="B1380" s="498"/>
      <c r="C1380" s="499"/>
      <c r="D1380" s="500"/>
      <c r="E1380" s="498"/>
      <c r="F1380" s="498"/>
      <c r="G1380" s="498"/>
      <c r="H1380" s="498"/>
      <c r="I1380" s="502"/>
    </row>
    <row r="1381" spans="1:9" ht="15.75">
      <c r="A1381" s="498"/>
      <c r="B1381" s="498"/>
      <c r="C1381" s="499"/>
      <c r="D1381" s="500"/>
      <c r="E1381" s="498"/>
      <c r="F1381" s="498"/>
      <c r="G1381" s="498"/>
      <c r="H1381" s="498"/>
      <c r="I1381" s="502"/>
    </row>
    <row r="1382" spans="1:9" ht="15.75">
      <c r="A1382" s="498"/>
      <c r="B1382" s="498"/>
      <c r="C1382" s="499"/>
      <c r="D1382" s="500"/>
      <c r="E1382" s="498"/>
      <c r="F1382" s="498"/>
      <c r="G1382" s="498"/>
      <c r="H1382" s="498"/>
      <c r="I1382" s="502"/>
    </row>
    <row r="1383" spans="1:9" ht="15.75">
      <c r="A1383" s="498"/>
      <c r="B1383" s="498"/>
      <c r="C1383" s="499"/>
      <c r="D1383" s="500"/>
      <c r="E1383" s="498"/>
      <c r="F1383" s="498"/>
      <c r="G1383" s="498"/>
      <c r="H1383" s="498"/>
      <c r="I1383" s="513"/>
    </row>
    <row r="1384" spans="1:9" ht="15.75">
      <c r="A1384" s="498"/>
      <c r="B1384" s="498"/>
      <c r="C1384" s="499"/>
      <c r="D1384" s="500"/>
      <c r="E1384" s="498"/>
      <c r="F1384" s="498"/>
      <c r="G1384" s="498"/>
      <c r="H1384" s="498"/>
      <c r="I1384" s="502"/>
    </row>
    <row r="1385" spans="1:9" ht="15.75">
      <c r="A1385" s="498"/>
      <c r="B1385" s="498"/>
      <c r="C1385" s="499"/>
      <c r="D1385" s="500"/>
      <c r="E1385" s="498"/>
      <c r="F1385" s="498"/>
      <c r="G1385" s="498"/>
      <c r="H1385" s="498"/>
      <c r="I1385" s="502"/>
    </row>
    <row r="1386" spans="1:9" ht="15.75">
      <c r="A1386" s="498"/>
      <c r="B1386" s="498"/>
      <c r="C1386" s="499"/>
      <c r="D1386" s="500"/>
      <c r="E1386" s="498"/>
      <c r="F1386" s="498"/>
      <c r="G1386" s="498"/>
      <c r="H1386" s="498"/>
      <c r="I1386" s="502"/>
    </row>
    <row r="1387" spans="1:9" ht="15.75">
      <c r="A1387" s="498"/>
      <c r="B1387" s="498"/>
      <c r="C1387" s="499"/>
      <c r="D1387" s="500"/>
      <c r="E1387" s="498"/>
      <c r="F1387" s="498"/>
      <c r="G1387" s="498"/>
      <c r="H1387" s="498"/>
      <c r="I1387" s="502"/>
    </row>
    <row r="1388" spans="1:9" ht="15.75">
      <c r="A1388" s="498"/>
      <c r="B1388" s="498"/>
      <c r="C1388" s="499"/>
      <c r="D1388" s="500"/>
      <c r="E1388" s="498"/>
      <c r="F1388" s="498"/>
      <c r="G1388" s="498"/>
      <c r="H1388" s="498"/>
      <c r="I1388" s="502"/>
    </row>
    <row r="1389" spans="1:9" ht="15.75">
      <c r="A1389" s="498"/>
      <c r="B1389" s="498"/>
      <c r="C1389" s="499"/>
      <c r="D1389" s="500"/>
      <c r="E1389" s="498"/>
      <c r="F1389" s="498"/>
      <c r="G1389" s="498"/>
      <c r="H1389" s="498"/>
      <c r="I1389" s="502"/>
    </row>
    <row r="1390" spans="1:9" ht="15.75">
      <c r="A1390" s="498"/>
      <c r="B1390" s="498"/>
      <c r="C1390" s="499"/>
      <c r="D1390" s="500"/>
      <c r="E1390" s="498"/>
      <c r="F1390" s="498"/>
      <c r="G1390" s="498"/>
      <c r="H1390" s="498"/>
      <c r="I1390" s="502"/>
    </row>
    <row r="1391" spans="1:9" ht="15.75">
      <c r="A1391" s="498"/>
      <c r="B1391" s="498"/>
      <c r="C1391" s="499"/>
      <c r="D1391" s="500"/>
      <c r="E1391" s="498"/>
      <c r="F1391" s="498"/>
      <c r="G1391" s="498"/>
      <c r="H1391" s="498"/>
      <c r="I1391" s="502"/>
    </row>
    <row r="1392" spans="1:9" ht="15.75">
      <c r="A1392" s="498"/>
      <c r="B1392" s="498"/>
      <c r="C1392" s="499"/>
      <c r="D1392" s="500"/>
      <c r="E1392" s="498"/>
      <c r="F1392" s="498"/>
      <c r="G1392" s="498"/>
      <c r="H1392" s="498"/>
      <c r="I1392" s="502"/>
    </row>
    <row r="1393" spans="1:9" ht="15.75">
      <c r="A1393" s="498"/>
      <c r="B1393" s="498"/>
      <c r="C1393" s="499"/>
      <c r="D1393" s="500"/>
      <c r="E1393" s="498"/>
      <c r="F1393" s="498"/>
      <c r="G1393" s="498"/>
      <c r="H1393" s="498"/>
      <c r="I1393" s="502"/>
    </row>
    <row r="1394" spans="1:9" ht="15.75">
      <c r="A1394" s="498"/>
      <c r="B1394" s="498"/>
      <c r="C1394" s="499"/>
      <c r="D1394" s="500"/>
      <c r="E1394" s="498"/>
      <c r="F1394" s="498"/>
      <c r="G1394" s="498"/>
      <c r="H1394" s="498"/>
      <c r="I1394" s="502"/>
    </row>
    <row r="1395" spans="1:9" ht="15.75">
      <c r="A1395" s="498"/>
      <c r="B1395" s="498"/>
      <c r="C1395" s="499"/>
      <c r="D1395" s="500"/>
      <c r="E1395" s="498"/>
      <c r="F1395" s="498"/>
      <c r="G1395" s="498"/>
      <c r="H1395" s="498"/>
      <c r="I1395" s="502"/>
    </row>
    <row r="1396" spans="1:9" ht="15.75">
      <c r="A1396" s="498"/>
      <c r="B1396" s="498"/>
      <c r="C1396" s="499"/>
      <c r="D1396" s="500"/>
      <c r="E1396" s="498"/>
      <c r="F1396" s="498"/>
      <c r="G1396" s="498"/>
      <c r="H1396" s="498"/>
      <c r="I1396" s="502"/>
    </row>
    <row r="1397" spans="1:9" ht="15.75">
      <c r="A1397" s="498"/>
      <c r="B1397" s="498"/>
      <c r="C1397" s="499"/>
      <c r="D1397" s="500"/>
      <c r="E1397" s="498"/>
      <c r="F1397" s="498"/>
      <c r="G1397" s="498"/>
      <c r="H1397" s="498"/>
      <c r="I1397" s="502"/>
    </row>
    <row r="1398" spans="1:9" ht="15.75">
      <c r="A1398" s="498"/>
      <c r="B1398" s="498"/>
      <c r="C1398" s="499"/>
      <c r="D1398" s="500"/>
      <c r="E1398" s="498"/>
      <c r="F1398" s="498"/>
      <c r="G1398" s="498"/>
      <c r="H1398" s="498"/>
      <c r="I1398" s="502"/>
    </row>
    <row r="1399" spans="1:9" ht="15.75">
      <c r="A1399" s="498"/>
      <c r="B1399" s="498"/>
      <c r="C1399" s="499"/>
      <c r="D1399" s="500"/>
      <c r="E1399" s="498"/>
      <c r="F1399" s="498"/>
      <c r="G1399" s="498"/>
      <c r="H1399" s="498"/>
      <c r="I1399" s="502"/>
    </row>
    <row r="1400" spans="1:9" ht="15.75">
      <c r="A1400" s="498"/>
      <c r="B1400" s="498"/>
      <c r="C1400" s="499"/>
      <c r="D1400" s="500"/>
      <c r="E1400" s="498"/>
      <c r="F1400" s="498"/>
      <c r="G1400" s="498"/>
      <c r="H1400" s="498"/>
      <c r="I1400" s="502"/>
    </row>
    <row r="1401" spans="1:9" ht="15.75">
      <c r="A1401" s="498"/>
      <c r="B1401" s="498"/>
      <c r="C1401" s="499"/>
      <c r="D1401" s="500"/>
      <c r="E1401" s="498"/>
      <c r="F1401" s="498"/>
      <c r="G1401" s="498"/>
      <c r="H1401" s="498"/>
      <c r="I1401" s="502"/>
    </row>
    <row r="1402" spans="1:9" ht="15.75">
      <c r="A1402" s="498"/>
      <c r="B1402" s="498"/>
      <c r="C1402" s="499"/>
      <c r="D1402" s="500"/>
      <c r="E1402" s="498"/>
      <c r="F1402" s="498"/>
      <c r="G1402" s="498"/>
      <c r="H1402" s="498"/>
      <c r="I1402" s="502"/>
    </row>
    <row r="1403" spans="1:9" ht="15.75">
      <c r="A1403" s="498"/>
      <c r="B1403" s="498"/>
      <c r="C1403" s="499"/>
      <c r="D1403" s="500"/>
      <c r="E1403" s="498"/>
      <c r="F1403" s="498"/>
      <c r="G1403" s="498"/>
      <c r="H1403" s="498"/>
      <c r="I1403" s="502"/>
    </row>
    <row r="1404" spans="1:9" ht="15.75">
      <c r="A1404" s="498"/>
      <c r="B1404" s="498"/>
      <c r="C1404" s="499"/>
      <c r="D1404" s="500"/>
      <c r="E1404" s="498"/>
      <c r="F1404" s="498"/>
      <c r="G1404" s="498"/>
      <c r="H1404" s="498"/>
      <c r="I1404" s="502"/>
    </row>
    <row r="1405" spans="1:9" ht="15.75">
      <c r="A1405" s="498"/>
      <c r="B1405" s="498"/>
      <c r="C1405" s="499"/>
      <c r="D1405" s="500"/>
      <c r="E1405" s="498"/>
      <c r="F1405" s="498"/>
      <c r="G1405" s="498"/>
      <c r="H1405" s="498"/>
      <c r="I1405" s="502"/>
    </row>
    <row r="1406" spans="1:9" ht="15.75">
      <c r="A1406" s="498"/>
      <c r="B1406" s="498"/>
      <c r="C1406" s="499"/>
      <c r="D1406" s="500"/>
      <c r="E1406" s="498"/>
      <c r="F1406" s="498"/>
      <c r="G1406" s="498"/>
      <c r="H1406" s="498"/>
      <c r="I1406" s="502"/>
    </row>
    <row r="1407" spans="1:9" ht="15.75">
      <c r="A1407" s="498"/>
      <c r="B1407" s="498"/>
      <c r="C1407" s="499"/>
      <c r="D1407" s="500"/>
      <c r="E1407" s="498"/>
      <c r="F1407" s="498"/>
      <c r="G1407" s="498"/>
      <c r="H1407" s="498"/>
      <c r="I1407" s="502"/>
    </row>
    <row r="1408" spans="1:9" ht="15.75">
      <c r="A1408" s="498"/>
      <c r="B1408" s="498"/>
      <c r="C1408" s="499"/>
      <c r="D1408" s="500"/>
      <c r="E1408" s="498"/>
      <c r="F1408" s="498"/>
      <c r="G1408" s="498"/>
      <c r="H1408" s="498"/>
      <c r="I1408" s="502"/>
    </row>
    <row r="1409" spans="1:9" ht="15.75">
      <c r="A1409" s="498"/>
      <c r="B1409" s="498"/>
      <c r="C1409" s="499"/>
      <c r="D1409" s="500"/>
      <c r="E1409" s="498"/>
      <c r="F1409" s="498"/>
      <c r="G1409" s="498"/>
      <c r="H1409" s="498"/>
      <c r="I1409" s="502"/>
    </row>
    <row r="1410" spans="1:9" ht="15.75">
      <c r="A1410" s="498"/>
      <c r="B1410" s="498"/>
      <c r="C1410" s="499"/>
      <c r="D1410" s="500"/>
      <c r="E1410" s="498"/>
      <c r="F1410" s="498"/>
      <c r="G1410" s="498"/>
      <c r="H1410" s="498"/>
      <c r="I1410" s="502"/>
    </row>
    <row r="1411" spans="1:9" ht="15.75">
      <c r="A1411" s="498"/>
      <c r="B1411" s="498"/>
      <c r="C1411" s="499"/>
      <c r="D1411" s="500"/>
      <c r="E1411" s="498"/>
      <c r="F1411" s="498"/>
      <c r="G1411" s="498"/>
      <c r="H1411" s="498"/>
      <c r="I1411" s="502"/>
    </row>
    <row r="1412" spans="1:9" ht="15.75">
      <c r="A1412" s="498"/>
      <c r="B1412" s="498"/>
      <c r="C1412" s="499"/>
      <c r="D1412" s="500"/>
      <c r="E1412" s="498"/>
      <c r="F1412" s="498"/>
      <c r="G1412" s="498"/>
      <c r="H1412" s="498"/>
      <c r="I1412" s="513"/>
    </row>
    <row r="1413" spans="1:9" ht="15.75">
      <c r="A1413" s="498"/>
      <c r="B1413" s="498"/>
      <c r="C1413" s="499"/>
      <c r="D1413" s="500"/>
      <c r="E1413" s="498"/>
      <c r="F1413" s="498"/>
      <c r="G1413" s="498"/>
      <c r="H1413" s="498"/>
      <c r="I1413" s="502"/>
    </row>
    <row r="1414" spans="1:9" ht="15.75">
      <c r="A1414" s="498"/>
      <c r="B1414" s="498"/>
      <c r="C1414" s="499"/>
      <c r="D1414" s="500"/>
      <c r="E1414" s="498"/>
      <c r="F1414" s="498"/>
      <c r="G1414" s="498"/>
      <c r="H1414" s="498"/>
      <c r="I1414" s="502"/>
    </row>
    <row r="1415" spans="1:9" ht="15.75">
      <c r="A1415" s="498"/>
      <c r="B1415" s="498"/>
      <c r="C1415" s="499"/>
      <c r="D1415" s="500"/>
      <c r="E1415" s="498"/>
      <c r="F1415" s="498"/>
      <c r="G1415" s="498"/>
      <c r="H1415" s="498"/>
      <c r="I1415" s="502"/>
    </row>
    <row r="1416" spans="1:9" ht="15.75">
      <c r="A1416" s="498"/>
      <c r="B1416" s="498"/>
      <c r="C1416" s="499"/>
      <c r="D1416" s="500"/>
      <c r="E1416" s="498"/>
      <c r="F1416" s="498"/>
      <c r="G1416" s="498"/>
      <c r="H1416" s="498"/>
      <c r="I1416" s="502"/>
    </row>
    <row r="1417" spans="1:9" ht="15.75">
      <c r="A1417" s="498"/>
      <c r="B1417" s="498"/>
      <c r="C1417" s="499"/>
      <c r="D1417" s="500"/>
      <c r="E1417" s="498"/>
      <c r="F1417" s="498"/>
      <c r="G1417" s="498"/>
      <c r="H1417" s="498"/>
      <c r="I1417" s="502"/>
    </row>
    <row r="1418" spans="1:9" ht="15.75">
      <c r="A1418" s="498"/>
      <c r="B1418" s="498"/>
      <c r="C1418" s="499"/>
      <c r="D1418" s="500"/>
      <c r="E1418" s="498"/>
      <c r="F1418" s="498"/>
      <c r="G1418" s="498"/>
      <c r="H1418" s="498"/>
      <c r="I1418" s="502"/>
    </row>
    <row r="1419" spans="1:9" ht="15.75">
      <c r="A1419" s="498"/>
      <c r="B1419" s="498"/>
      <c r="C1419" s="499"/>
      <c r="D1419" s="500"/>
      <c r="E1419" s="498"/>
      <c r="F1419" s="498"/>
      <c r="G1419" s="498"/>
      <c r="H1419" s="498"/>
      <c r="I1419" s="502"/>
    </row>
    <row r="1420" spans="1:9" ht="15.75">
      <c r="A1420" s="498"/>
      <c r="B1420" s="498"/>
      <c r="C1420" s="499"/>
      <c r="D1420" s="500"/>
      <c r="E1420" s="498"/>
      <c r="F1420" s="498"/>
      <c r="G1420" s="498"/>
      <c r="H1420" s="498"/>
      <c r="I1420" s="502"/>
    </row>
    <row r="1421" spans="1:9" ht="15.75">
      <c r="A1421" s="498"/>
      <c r="B1421" s="498"/>
      <c r="C1421" s="499"/>
      <c r="D1421" s="500"/>
      <c r="E1421" s="498"/>
      <c r="F1421" s="498"/>
      <c r="G1421" s="498"/>
      <c r="H1421" s="498"/>
      <c r="I1421" s="502"/>
    </row>
    <row r="1422" spans="1:9" ht="15.75">
      <c r="A1422" s="498"/>
      <c r="B1422" s="498"/>
      <c r="C1422" s="499"/>
      <c r="D1422" s="500"/>
      <c r="E1422" s="498"/>
      <c r="F1422" s="498"/>
      <c r="G1422" s="498"/>
      <c r="H1422" s="498"/>
      <c r="I1422" s="502"/>
    </row>
    <row r="1423" spans="1:9" ht="15.75">
      <c r="A1423" s="498"/>
      <c r="B1423" s="498"/>
      <c r="C1423" s="499"/>
      <c r="D1423" s="500"/>
      <c r="E1423" s="498"/>
      <c r="F1423" s="498"/>
      <c r="G1423" s="498"/>
      <c r="H1423" s="498"/>
      <c r="I1423" s="502"/>
    </row>
    <row r="1424" spans="1:9" ht="15.75">
      <c r="A1424" s="498"/>
      <c r="B1424" s="498"/>
      <c r="C1424" s="499"/>
      <c r="D1424" s="500"/>
      <c r="E1424" s="498"/>
      <c r="F1424" s="498"/>
      <c r="G1424" s="498"/>
      <c r="H1424" s="498"/>
      <c r="I1424" s="502"/>
    </row>
    <row r="1425" spans="1:9" ht="15.75">
      <c r="A1425" s="498"/>
      <c r="B1425" s="498"/>
      <c r="C1425" s="499"/>
      <c r="D1425" s="500"/>
      <c r="E1425" s="498"/>
      <c r="F1425" s="498"/>
      <c r="G1425" s="498"/>
      <c r="H1425" s="498"/>
      <c r="I1425" s="502"/>
    </row>
    <row r="1426" spans="1:9" ht="15.75">
      <c r="A1426" s="498"/>
      <c r="B1426" s="498"/>
      <c r="C1426" s="499"/>
      <c r="D1426" s="500"/>
      <c r="E1426" s="498"/>
      <c r="F1426" s="498"/>
      <c r="G1426" s="498"/>
      <c r="H1426" s="498"/>
      <c r="I1426" s="502"/>
    </row>
    <row r="1427" spans="1:9" ht="15.75">
      <c r="A1427" s="498"/>
      <c r="B1427" s="498"/>
      <c r="C1427" s="499"/>
      <c r="D1427" s="500"/>
      <c r="E1427" s="498"/>
      <c r="F1427" s="498"/>
      <c r="G1427" s="498"/>
      <c r="H1427" s="498"/>
      <c r="I1427" s="502"/>
    </row>
    <row r="1428" spans="1:9" ht="15.75">
      <c r="A1428" s="498"/>
      <c r="B1428" s="498"/>
      <c r="C1428" s="499"/>
      <c r="D1428" s="500"/>
      <c r="E1428" s="498"/>
      <c r="F1428" s="498"/>
      <c r="G1428" s="498"/>
      <c r="H1428" s="498"/>
      <c r="I1428" s="502"/>
    </row>
    <row r="1429" spans="1:9" ht="15.75">
      <c r="A1429" s="498"/>
      <c r="B1429" s="498"/>
      <c r="C1429" s="499"/>
      <c r="D1429" s="500"/>
      <c r="E1429" s="498"/>
      <c r="F1429" s="498"/>
      <c r="G1429" s="498"/>
      <c r="H1429" s="498"/>
      <c r="I1429" s="502"/>
    </row>
    <row r="1430" spans="1:9" ht="15.75">
      <c r="A1430" s="498"/>
      <c r="B1430" s="498"/>
      <c r="C1430" s="499"/>
      <c r="D1430" s="500"/>
      <c r="E1430" s="498"/>
      <c r="F1430" s="498"/>
      <c r="G1430" s="498"/>
      <c r="H1430" s="498"/>
      <c r="I1430" s="502"/>
    </row>
    <row r="1431" spans="1:9" ht="15.75">
      <c r="A1431" s="498"/>
      <c r="B1431" s="498"/>
      <c r="C1431" s="499"/>
      <c r="D1431" s="500"/>
      <c r="E1431" s="498"/>
      <c r="F1431" s="498"/>
      <c r="G1431" s="498"/>
      <c r="H1431" s="498"/>
      <c r="I1431" s="513"/>
    </row>
    <row r="1432" spans="1:9" ht="15.75">
      <c r="A1432" s="498"/>
      <c r="B1432" s="498"/>
      <c r="C1432" s="499"/>
      <c r="D1432" s="500"/>
      <c r="E1432" s="498"/>
      <c r="F1432" s="498"/>
      <c r="G1432" s="498"/>
      <c r="H1432" s="498"/>
      <c r="I1432" s="502"/>
    </row>
    <row r="1433" spans="1:9" ht="15.75">
      <c r="A1433" s="498"/>
      <c r="B1433" s="498"/>
      <c r="C1433" s="499"/>
      <c r="D1433" s="500"/>
      <c r="E1433" s="498"/>
      <c r="F1433" s="498"/>
      <c r="G1433" s="498"/>
      <c r="H1433" s="498"/>
      <c r="I1433" s="502"/>
    </row>
    <row r="1434" spans="1:9" ht="15.75">
      <c r="A1434" s="498"/>
      <c r="B1434" s="498"/>
      <c r="C1434" s="499"/>
      <c r="D1434" s="500"/>
      <c r="E1434" s="498"/>
      <c r="F1434" s="498"/>
      <c r="G1434" s="498"/>
      <c r="H1434" s="498"/>
      <c r="I1434" s="502"/>
    </row>
    <row r="1435" spans="1:9" ht="15.75">
      <c r="A1435" s="498"/>
      <c r="B1435" s="498"/>
      <c r="C1435" s="499"/>
      <c r="D1435" s="500"/>
      <c r="E1435" s="498"/>
      <c r="F1435" s="498"/>
      <c r="G1435" s="498"/>
      <c r="H1435" s="498"/>
      <c r="I1435" s="513"/>
    </row>
    <row r="1436" spans="1:9" ht="15.75">
      <c r="A1436" s="498"/>
      <c r="B1436" s="498"/>
      <c r="C1436" s="499"/>
      <c r="D1436" s="500"/>
      <c r="E1436" s="498"/>
      <c r="F1436" s="498"/>
      <c r="G1436" s="498"/>
      <c r="H1436" s="498"/>
      <c r="I1436" s="513"/>
    </row>
    <row r="1437" spans="1:9" ht="15.75">
      <c r="A1437" s="498"/>
      <c r="B1437" s="498"/>
      <c r="C1437" s="499"/>
      <c r="D1437" s="500"/>
      <c r="E1437" s="498"/>
      <c r="F1437" s="498"/>
      <c r="G1437" s="498"/>
      <c r="H1437" s="498"/>
      <c r="I1437" s="502"/>
    </row>
    <row r="1438" spans="1:9" ht="15.75">
      <c r="A1438" s="498"/>
      <c r="B1438" s="498"/>
      <c r="C1438" s="499"/>
      <c r="D1438" s="500"/>
      <c r="E1438" s="498"/>
      <c r="F1438" s="498"/>
      <c r="G1438" s="498"/>
      <c r="H1438" s="498"/>
      <c r="I1438" s="502"/>
    </row>
    <row r="1439" spans="1:9" ht="15.75">
      <c r="A1439" s="498"/>
      <c r="B1439" s="498"/>
      <c r="C1439" s="499"/>
      <c r="D1439" s="500"/>
      <c r="E1439" s="498"/>
      <c r="F1439" s="498"/>
      <c r="G1439" s="498"/>
      <c r="H1439" s="498"/>
      <c r="I1439" s="513"/>
    </row>
    <row r="1440" spans="1:9" ht="15.75">
      <c r="A1440" s="498"/>
      <c r="B1440" s="498"/>
      <c r="C1440" s="499"/>
      <c r="D1440" s="500"/>
      <c r="E1440" s="498"/>
      <c r="F1440" s="498"/>
      <c r="G1440" s="498"/>
      <c r="H1440" s="498"/>
      <c r="I1440" s="502"/>
    </row>
    <row r="1441" spans="1:9" ht="15.75">
      <c r="A1441" s="498"/>
      <c r="B1441" s="498"/>
      <c r="C1441" s="499"/>
      <c r="D1441" s="500"/>
      <c r="E1441" s="498"/>
      <c r="F1441" s="498"/>
      <c r="G1441" s="498"/>
      <c r="H1441" s="498"/>
      <c r="I1441" s="502"/>
    </row>
    <row r="1442" spans="1:9" ht="15.75">
      <c r="A1442" s="498"/>
      <c r="B1442" s="498"/>
      <c r="C1442" s="499"/>
      <c r="D1442" s="500"/>
      <c r="E1442" s="498"/>
      <c r="F1442" s="498"/>
      <c r="G1442" s="498"/>
      <c r="H1442" s="498"/>
      <c r="I1442" s="513"/>
    </row>
    <row r="1443" spans="1:9" ht="15.75">
      <c r="A1443" s="498"/>
      <c r="B1443" s="498"/>
      <c r="C1443" s="499"/>
      <c r="D1443" s="500"/>
      <c r="E1443" s="498"/>
      <c r="F1443" s="498"/>
      <c r="G1443" s="498"/>
      <c r="H1443" s="498"/>
      <c r="I1443" s="502"/>
    </row>
    <row r="1444" spans="1:9" ht="15.75">
      <c r="A1444" s="498"/>
      <c r="B1444" s="498"/>
      <c r="C1444" s="499"/>
      <c r="D1444" s="500"/>
      <c r="E1444" s="498"/>
      <c r="F1444" s="498"/>
      <c r="G1444" s="498"/>
      <c r="H1444" s="498"/>
      <c r="I1444" s="502"/>
    </row>
    <row r="1445" spans="1:9" ht="15.75">
      <c r="A1445" s="498"/>
      <c r="B1445" s="498"/>
      <c r="C1445" s="499"/>
      <c r="D1445" s="500"/>
      <c r="E1445" s="498"/>
      <c r="F1445" s="498"/>
      <c r="G1445" s="498"/>
      <c r="H1445" s="498"/>
      <c r="I1445" s="502"/>
    </row>
    <row r="1446" spans="1:9" ht="15.75">
      <c r="A1446" s="498"/>
      <c r="B1446" s="498"/>
      <c r="C1446" s="499"/>
      <c r="D1446" s="500"/>
      <c r="E1446" s="498"/>
      <c r="F1446" s="498"/>
      <c r="G1446" s="498"/>
      <c r="H1446" s="498"/>
      <c r="I1446" s="502"/>
    </row>
    <row r="1447" spans="1:9" ht="15.75">
      <c r="A1447" s="498"/>
      <c r="B1447" s="498"/>
      <c r="C1447" s="499"/>
      <c r="D1447" s="500"/>
      <c r="E1447" s="498"/>
      <c r="F1447" s="498"/>
      <c r="G1447" s="498"/>
      <c r="H1447" s="498"/>
      <c r="I1447" s="502"/>
    </row>
    <row r="1448" spans="1:9" ht="15.75">
      <c r="A1448" s="498"/>
      <c r="B1448" s="498"/>
      <c r="C1448" s="499"/>
      <c r="D1448" s="500"/>
      <c r="E1448" s="498"/>
      <c r="F1448" s="498"/>
      <c r="G1448" s="498"/>
      <c r="H1448" s="498"/>
      <c r="I1448" s="502"/>
    </row>
    <row r="1449" spans="1:9" ht="15.75">
      <c r="A1449" s="498"/>
      <c r="B1449" s="504"/>
      <c r="C1449" s="499"/>
      <c r="D1449" s="500"/>
      <c r="E1449" s="498"/>
      <c r="F1449" s="498"/>
      <c r="G1449" s="498"/>
      <c r="H1449" s="498"/>
      <c r="I1449" s="502"/>
    </row>
    <row r="1450" spans="1:9" ht="15.75">
      <c r="A1450" s="498"/>
      <c r="B1450" s="498"/>
      <c r="C1450" s="499"/>
      <c r="D1450" s="500"/>
      <c r="E1450" s="498"/>
      <c r="F1450" s="498"/>
      <c r="G1450" s="498"/>
      <c r="H1450" s="498"/>
      <c r="I1450" s="502"/>
    </row>
    <row r="1451" spans="1:9" ht="15.75">
      <c r="A1451" s="498"/>
      <c r="B1451" s="498"/>
      <c r="C1451" s="499"/>
      <c r="D1451" s="500"/>
      <c r="E1451" s="498"/>
      <c r="F1451" s="498"/>
      <c r="G1451" s="498"/>
      <c r="H1451" s="498"/>
      <c r="I1451" s="502"/>
    </row>
    <row r="1452" spans="1:9" ht="15.75">
      <c r="A1452" s="498"/>
      <c r="B1452" s="498"/>
      <c r="C1452" s="499"/>
      <c r="D1452" s="500"/>
      <c r="E1452" s="498"/>
      <c r="F1452" s="498"/>
      <c r="G1452" s="498"/>
      <c r="H1452" s="498"/>
      <c r="I1452" s="502"/>
    </row>
    <row r="1453" spans="1:9" ht="15.75">
      <c r="A1453" s="498"/>
      <c r="B1453" s="498"/>
      <c r="C1453" s="499"/>
      <c r="D1453" s="500"/>
      <c r="E1453" s="498"/>
      <c r="F1453" s="498"/>
      <c r="G1453" s="498"/>
      <c r="H1453" s="498"/>
      <c r="I1453" s="502"/>
    </row>
    <row r="1454" spans="1:9" ht="15.75">
      <c r="A1454" s="498"/>
      <c r="B1454" s="498"/>
      <c r="C1454" s="499"/>
      <c r="D1454" s="500"/>
      <c r="E1454" s="498"/>
      <c r="F1454" s="498"/>
      <c r="G1454" s="498"/>
      <c r="H1454" s="498"/>
      <c r="I1454" s="502"/>
    </row>
    <row r="1455" spans="1:9" ht="15.75">
      <c r="A1455" s="498"/>
      <c r="B1455" s="498"/>
      <c r="C1455" s="499"/>
      <c r="D1455" s="500"/>
      <c r="E1455" s="498"/>
      <c r="F1455" s="498"/>
      <c r="G1455" s="498"/>
      <c r="H1455" s="498"/>
      <c r="I1455" s="502"/>
    </row>
    <row r="1456" spans="1:9" ht="15.75">
      <c r="A1456" s="498"/>
      <c r="B1456" s="498"/>
      <c r="C1456" s="499"/>
      <c r="D1456" s="500"/>
      <c r="E1456" s="498"/>
      <c r="F1456" s="498"/>
      <c r="G1456" s="498"/>
      <c r="H1456" s="498"/>
      <c r="I1456" s="502"/>
    </row>
    <row r="1457" spans="1:9" ht="15.75">
      <c r="A1457" s="498"/>
      <c r="B1457" s="498"/>
      <c r="C1457" s="499"/>
      <c r="D1457" s="500"/>
      <c r="E1457" s="498"/>
      <c r="F1457" s="498"/>
      <c r="G1457" s="498"/>
      <c r="H1457" s="498"/>
      <c r="I1457" s="513"/>
    </row>
    <row r="1458" spans="1:9" ht="15.75">
      <c r="A1458" s="498"/>
      <c r="B1458" s="498"/>
      <c r="C1458" s="499"/>
      <c r="D1458" s="500"/>
      <c r="E1458" s="498"/>
      <c r="F1458" s="498"/>
      <c r="G1458" s="498"/>
      <c r="H1458" s="498"/>
      <c r="I1458" s="502"/>
    </row>
    <row r="1459" spans="1:9" ht="15.75">
      <c r="A1459" s="498"/>
      <c r="B1459" s="498"/>
      <c r="C1459" s="499"/>
      <c r="D1459" s="500"/>
      <c r="E1459" s="498"/>
      <c r="F1459" s="498"/>
      <c r="G1459" s="498"/>
      <c r="H1459" s="498"/>
      <c r="I1459" s="502"/>
    </row>
    <row r="1460" spans="1:9" ht="15.75">
      <c r="A1460" s="498"/>
      <c r="B1460" s="498"/>
      <c r="C1460" s="499"/>
      <c r="D1460" s="500"/>
      <c r="E1460" s="498"/>
      <c r="F1460" s="498"/>
      <c r="G1460" s="498"/>
      <c r="H1460" s="498"/>
      <c r="I1460" s="502"/>
    </row>
    <row r="1461" spans="1:9" ht="15.75">
      <c r="A1461" s="498"/>
      <c r="B1461" s="498"/>
      <c r="C1461" s="499"/>
      <c r="D1461" s="500"/>
      <c r="E1461" s="498"/>
      <c r="F1461" s="498"/>
      <c r="G1461" s="498"/>
      <c r="H1461" s="498"/>
      <c r="I1461" s="513"/>
    </row>
    <row r="1462" spans="1:9" ht="15.75">
      <c r="A1462" s="498"/>
      <c r="B1462" s="498"/>
      <c r="C1462" s="499"/>
      <c r="D1462" s="500"/>
      <c r="E1462" s="498"/>
      <c r="F1462" s="498"/>
      <c r="G1462" s="498"/>
      <c r="H1462" s="498"/>
      <c r="I1462" s="502"/>
    </row>
    <row r="1463" spans="1:9" ht="15.75">
      <c r="A1463" s="498"/>
      <c r="B1463" s="498"/>
      <c r="C1463" s="499"/>
      <c r="D1463" s="500"/>
      <c r="E1463" s="498"/>
      <c r="F1463" s="498"/>
      <c r="G1463" s="498"/>
      <c r="H1463" s="498"/>
      <c r="I1463" s="502"/>
    </row>
    <row r="1464" spans="1:9" ht="15.75">
      <c r="A1464" s="498"/>
      <c r="B1464" s="498"/>
      <c r="C1464" s="499"/>
      <c r="D1464" s="500"/>
      <c r="E1464" s="498"/>
      <c r="F1464" s="498"/>
      <c r="G1464" s="498"/>
      <c r="H1464" s="498"/>
      <c r="I1464" s="502"/>
    </row>
    <row r="1465" spans="1:9" ht="15.75">
      <c r="A1465" s="498"/>
      <c r="B1465" s="498"/>
      <c r="C1465" s="499"/>
      <c r="D1465" s="500"/>
      <c r="E1465" s="498"/>
      <c r="F1465" s="498"/>
      <c r="G1465" s="498"/>
      <c r="H1465" s="498"/>
      <c r="I1465" s="502"/>
    </row>
    <row r="1466" spans="1:9" ht="15.75">
      <c r="A1466" s="498"/>
      <c r="B1466" s="498"/>
      <c r="C1466" s="499"/>
      <c r="D1466" s="500"/>
      <c r="E1466" s="498"/>
      <c r="F1466" s="498"/>
      <c r="G1466" s="498"/>
      <c r="H1466" s="498"/>
      <c r="I1466" s="502"/>
    </row>
    <row r="1467" spans="1:9" ht="15.75">
      <c r="A1467" s="498"/>
      <c r="B1467" s="498"/>
      <c r="C1467" s="499"/>
      <c r="D1467" s="500"/>
      <c r="E1467" s="498"/>
      <c r="F1467" s="498"/>
      <c r="G1467" s="498"/>
      <c r="H1467" s="498"/>
      <c r="I1467" s="502"/>
    </row>
    <row r="1468" spans="1:9" ht="15.75">
      <c r="A1468" s="498"/>
      <c r="B1468" s="498"/>
      <c r="C1468" s="499"/>
      <c r="D1468" s="500"/>
      <c r="E1468" s="498"/>
      <c r="F1468" s="498"/>
      <c r="G1468" s="498"/>
      <c r="H1468" s="498"/>
      <c r="I1468" s="502"/>
    </row>
    <row r="1469" spans="1:9" ht="15.75">
      <c r="A1469" s="498"/>
      <c r="B1469" s="498"/>
      <c r="C1469" s="499"/>
      <c r="D1469" s="500"/>
      <c r="E1469" s="498"/>
      <c r="F1469" s="498"/>
      <c r="G1469" s="498"/>
      <c r="H1469" s="498"/>
      <c r="I1469" s="513"/>
    </row>
    <row r="1470" spans="1:9" ht="15.75">
      <c r="A1470" s="498"/>
      <c r="B1470" s="498"/>
      <c r="C1470" s="499"/>
      <c r="D1470" s="500"/>
      <c r="E1470" s="498"/>
      <c r="F1470" s="498"/>
      <c r="G1470" s="498"/>
      <c r="H1470" s="498"/>
      <c r="I1470" s="502"/>
    </row>
    <row r="1471" spans="1:9" ht="15.75">
      <c r="A1471" s="498"/>
      <c r="B1471" s="498"/>
      <c r="C1471" s="499"/>
      <c r="D1471" s="500"/>
      <c r="E1471" s="498"/>
      <c r="F1471" s="498"/>
      <c r="G1471" s="498"/>
      <c r="H1471" s="498"/>
      <c r="I1471" s="502"/>
    </row>
    <row r="1472" spans="1:9" ht="15.75">
      <c r="A1472" s="498"/>
      <c r="B1472" s="498"/>
      <c r="C1472" s="499"/>
      <c r="D1472" s="500"/>
      <c r="E1472" s="498"/>
      <c r="F1472" s="498"/>
      <c r="G1472" s="498"/>
      <c r="H1472" s="498"/>
      <c r="I1472" s="502"/>
    </row>
    <row r="1473" spans="1:9" ht="15.75">
      <c r="A1473" s="498"/>
      <c r="B1473" s="498"/>
      <c r="C1473" s="499"/>
      <c r="D1473" s="500"/>
      <c r="E1473" s="498"/>
      <c r="F1473" s="498"/>
      <c r="G1473" s="498"/>
      <c r="H1473" s="498"/>
      <c r="I1473" s="502"/>
    </row>
    <row r="1474" spans="1:9" ht="15.75">
      <c r="A1474" s="498"/>
      <c r="B1474" s="498"/>
      <c r="C1474" s="499"/>
      <c r="D1474" s="500"/>
      <c r="E1474" s="498"/>
      <c r="F1474" s="498"/>
      <c r="G1474" s="498"/>
      <c r="H1474" s="498"/>
      <c r="I1474" s="502"/>
    </row>
    <row r="1475" spans="1:9" ht="15.75">
      <c r="A1475" s="498"/>
      <c r="B1475" s="498"/>
      <c r="C1475" s="499"/>
      <c r="D1475" s="500"/>
      <c r="E1475" s="498"/>
      <c r="F1475" s="498"/>
      <c r="G1475" s="498"/>
      <c r="H1475" s="498"/>
      <c r="I1475" s="502"/>
    </row>
    <row r="1476" spans="1:9" ht="15.75">
      <c r="A1476" s="498"/>
      <c r="B1476" s="498"/>
      <c r="C1476" s="499"/>
      <c r="D1476" s="500"/>
      <c r="E1476" s="498"/>
      <c r="F1476" s="498"/>
      <c r="G1476" s="498"/>
      <c r="H1476" s="498"/>
      <c r="I1476" s="502"/>
    </row>
    <row r="1477" spans="1:9" ht="15.75">
      <c r="A1477" s="498"/>
      <c r="B1477" s="498"/>
      <c r="C1477" s="499"/>
      <c r="D1477" s="500"/>
      <c r="E1477" s="498"/>
      <c r="F1477" s="498"/>
      <c r="G1477" s="498"/>
      <c r="H1477" s="498"/>
      <c r="I1477" s="502"/>
    </row>
    <row r="1478" spans="1:9" ht="15.75">
      <c r="A1478" s="498"/>
      <c r="B1478" s="498"/>
      <c r="C1478" s="499"/>
      <c r="D1478" s="500"/>
      <c r="E1478" s="498"/>
      <c r="F1478" s="498"/>
      <c r="G1478" s="498"/>
      <c r="H1478" s="498"/>
      <c r="I1478" s="502"/>
    </row>
    <row r="1479" spans="1:9" ht="15.75">
      <c r="A1479" s="498"/>
      <c r="B1479" s="498"/>
      <c r="C1479" s="499"/>
      <c r="D1479" s="500"/>
      <c r="E1479" s="498"/>
      <c r="F1479" s="498"/>
      <c r="G1479" s="498"/>
      <c r="H1479" s="498"/>
      <c r="I1479" s="502"/>
    </row>
    <row r="1480" spans="1:9" ht="15.75">
      <c r="A1480" s="498"/>
      <c r="B1480" s="498"/>
      <c r="C1480" s="499"/>
      <c r="D1480" s="500"/>
      <c r="E1480" s="498"/>
      <c r="F1480" s="498"/>
      <c r="G1480" s="498"/>
      <c r="H1480" s="498"/>
      <c r="I1480" s="502"/>
    </row>
    <row r="1481" spans="1:9" ht="15.75">
      <c r="A1481" s="498"/>
      <c r="B1481" s="498"/>
      <c r="C1481" s="499"/>
      <c r="D1481" s="500"/>
      <c r="E1481" s="498"/>
      <c r="F1481" s="498"/>
      <c r="G1481" s="498"/>
      <c r="H1481" s="498"/>
      <c r="I1481" s="502"/>
    </row>
    <row r="1482" spans="1:9" ht="15.75">
      <c r="A1482" s="498"/>
      <c r="B1482" s="498"/>
      <c r="C1482" s="499"/>
      <c r="D1482" s="500"/>
      <c r="E1482" s="498"/>
      <c r="F1482" s="498"/>
      <c r="G1482" s="498"/>
      <c r="H1482" s="498"/>
      <c r="I1482" s="502"/>
    </row>
    <row r="1483" spans="1:9" ht="15.75">
      <c r="A1483" s="498"/>
      <c r="B1483" s="498"/>
      <c r="C1483" s="499"/>
      <c r="D1483" s="500"/>
      <c r="E1483" s="498"/>
      <c r="F1483" s="498"/>
      <c r="G1483" s="498"/>
      <c r="H1483" s="498"/>
      <c r="I1483" s="502"/>
    </row>
    <row r="1484" spans="1:9" ht="15.75">
      <c r="A1484" s="498"/>
      <c r="B1484" s="498"/>
      <c r="C1484" s="499"/>
      <c r="D1484" s="500"/>
      <c r="E1484" s="498"/>
      <c r="F1484" s="498"/>
      <c r="G1484" s="498"/>
      <c r="H1484" s="498"/>
      <c r="I1484" s="502"/>
    </row>
    <row r="1485" spans="1:9" ht="15.75">
      <c r="A1485" s="498"/>
      <c r="B1485" s="498"/>
      <c r="C1485" s="499"/>
      <c r="D1485" s="500"/>
      <c r="E1485" s="498"/>
      <c r="F1485" s="498"/>
      <c r="G1485" s="498"/>
      <c r="H1485" s="498"/>
      <c r="I1485" s="502"/>
    </row>
    <row r="1486" spans="1:9" ht="15.75">
      <c r="A1486" s="498"/>
      <c r="B1486" s="498"/>
      <c r="C1486" s="499"/>
      <c r="D1486" s="500"/>
      <c r="E1486" s="498"/>
      <c r="F1486" s="498"/>
      <c r="G1486" s="498"/>
      <c r="H1486" s="498"/>
      <c r="I1486" s="502"/>
    </row>
    <row r="1487" spans="1:9" ht="15.75">
      <c r="A1487" s="498"/>
      <c r="B1487" s="498"/>
      <c r="C1487" s="499"/>
      <c r="D1487" s="500"/>
      <c r="E1487" s="498"/>
      <c r="F1487" s="498"/>
      <c r="G1487" s="498"/>
      <c r="H1487" s="498"/>
      <c r="I1487" s="502"/>
    </row>
    <row r="1488" spans="1:9" ht="15.75">
      <c r="A1488" s="498"/>
      <c r="B1488" s="498"/>
      <c r="C1488" s="499"/>
      <c r="D1488" s="500"/>
      <c r="E1488" s="498"/>
      <c r="F1488" s="498"/>
      <c r="G1488" s="498"/>
      <c r="H1488" s="498"/>
      <c r="I1488" s="502"/>
    </row>
    <row r="1489" spans="1:9" ht="15.75">
      <c r="A1489" s="498"/>
      <c r="B1489" s="498"/>
      <c r="C1489" s="499"/>
      <c r="D1489" s="500"/>
      <c r="E1489" s="498"/>
      <c r="F1489" s="498"/>
      <c r="G1489" s="498"/>
      <c r="H1489" s="498"/>
      <c r="I1489" s="502"/>
    </row>
    <row r="1490" spans="1:9" ht="15.75">
      <c r="A1490" s="498"/>
      <c r="B1490" s="498"/>
      <c r="C1490" s="499"/>
      <c r="D1490" s="500"/>
      <c r="E1490" s="498"/>
      <c r="F1490" s="498"/>
      <c r="G1490" s="498"/>
      <c r="H1490" s="498"/>
      <c r="I1490" s="502"/>
    </row>
    <row r="1491" spans="1:9" ht="15.75">
      <c r="A1491" s="498"/>
      <c r="B1491" s="498"/>
      <c r="C1491" s="499"/>
      <c r="D1491" s="500"/>
      <c r="E1491" s="498"/>
      <c r="F1491" s="498"/>
      <c r="G1491" s="498"/>
      <c r="H1491" s="498"/>
      <c r="I1491" s="502"/>
    </row>
    <row r="1492" spans="1:9" ht="15.75">
      <c r="A1492" s="498"/>
      <c r="B1492" s="498"/>
      <c r="C1492" s="499"/>
      <c r="D1492" s="500"/>
      <c r="E1492" s="498"/>
      <c r="F1492" s="498"/>
      <c r="G1492" s="498"/>
      <c r="H1492" s="498"/>
      <c r="I1492" s="502"/>
    </row>
    <row r="1493" spans="1:9" ht="15.75">
      <c r="A1493" s="498"/>
      <c r="B1493" s="498"/>
      <c r="C1493" s="499"/>
      <c r="D1493" s="500"/>
      <c r="E1493" s="498"/>
      <c r="F1493" s="498"/>
      <c r="G1493" s="498"/>
      <c r="H1493" s="498"/>
      <c r="I1493" s="502"/>
    </row>
    <row r="1494" spans="1:9" ht="15.75">
      <c r="A1494" s="498"/>
      <c r="B1494" s="498"/>
      <c r="C1494" s="499"/>
      <c r="D1494" s="500"/>
      <c r="E1494" s="498"/>
      <c r="F1494" s="498"/>
      <c r="G1494" s="498"/>
      <c r="H1494" s="498"/>
      <c r="I1494" s="513"/>
    </row>
    <row r="1495" spans="1:9" ht="15.75">
      <c r="A1495" s="498"/>
      <c r="B1495" s="498"/>
      <c r="C1495" s="499"/>
      <c r="D1495" s="500"/>
      <c r="E1495" s="498"/>
      <c r="F1495" s="498"/>
      <c r="G1495" s="498"/>
      <c r="H1495" s="498"/>
      <c r="I1495" s="502"/>
    </row>
    <row r="1496" spans="1:9" ht="15.75">
      <c r="A1496" s="498"/>
      <c r="B1496" s="498"/>
      <c r="C1496" s="499"/>
      <c r="D1496" s="500"/>
      <c r="E1496" s="498"/>
      <c r="F1496" s="498"/>
      <c r="G1496" s="498"/>
      <c r="H1496" s="498"/>
      <c r="I1496" s="502"/>
    </row>
    <row r="1497" spans="1:9" ht="15.75">
      <c r="A1497" s="498"/>
      <c r="B1497" s="498"/>
      <c r="C1497" s="499"/>
      <c r="D1497" s="500"/>
      <c r="E1497" s="498"/>
      <c r="F1497" s="498"/>
      <c r="G1497" s="498"/>
      <c r="H1497" s="498"/>
      <c r="I1497" s="502"/>
    </row>
    <row r="1498" spans="1:9" ht="15.75">
      <c r="A1498" s="498"/>
      <c r="B1498" s="498"/>
      <c r="C1498" s="499"/>
      <c r="D1498" s="500"/>
      <c r="E1498" s="498"/>
      <c r="F1498" s="498"/>
      <c r="G1498" s="498"/>
      <c r="H1498" s="498"/>
      <c r="I1498" s="502"/>
    </row>
    <row r="1499" spans="1:9" ht="15.75">
      <c r="A1499" s="498"/>
      <c r="B1499" s="498"/>
      <c r="C1499" s="499"/>
      <c r="D1499" s="500"/>
      <c r="E1499" s="498"/>
      <c r="F1499" s="498"/>
      <c r="G1499" s="498"/>
      <c r="H1499" s="498"/>
      <c r="I1499" s="502"/>
    </row>
    <row r="1500" spans="1:9" ht="15.75">
      <c r="A1500" s="498"/>
      <c r="B1500" s="498"/>
      <c r="C1500" s="499"/>
      <c r="D1500" s="500"/>
      <c r="E1500" s="498"/>
      <c r="F1500" s="498"/>
      <c r="G1500" s="498"/>
      <c r="H1500" s="498"/>
      <c r="I1500" s="502"/>
    </row>
    <row r="1501" spans="1:9" ht="15.75">
      <c r="A1501" s="498"/>
      <c r="B1501" s="498"/>
      <c r="C1501" s="499"/>
      <c r="D1501" s="500"/>
      <c r="E1501" s="498"/>
      <c r="F1501" s="498"/>
      <c r="G1501" s="498"/>
      <c r="H1501" s="498"/>
      <c r="I1501" s="502"/>
    </row>
    <row r="1502" spans="1:9" ht="15.75">
      <c r="A1502" s="498"/>
      <c r="B1502" s="498"/>
      <c r="C1502" s="499"/>
      <c r="D1502" s="500"/>
      <c r="E1502" s="498"/>
      <c r="F1502" s="498"/>
      <c r="G1502" s="498"/>
      <c r="H1502" s="498"/>
      <c r="I1502" s="502"/>
    </row>
    <row r="1503" spans="1:9" ht="15.75">
      <c r="A1503" s="498"/>
      <c r="B1503" s="498"/>
      <c r="C1503" s="499"/>
      <c r="D1503" s="500"/>
      <c r="E1503" s="498"/>
      <c r="F1503" s="498"/>
      <c r="G1503" s="498"/>
      <c r="H1503" s="498"/>
      <c r="I1503" s="502"/>
    </row>
    <row r="1504" spans="1:9" ht="15.75">
      <c r="A1504" s="498"/>
      <c r="B1504" s="498"/>
      <c r="C1504" s="499"/>
      <c r="D1504" s="500"/>
      <c r="E1504" s="498"/>
      <c r="F1504" s="498"/>
      <c r="G1504" s="498"/>
      <c r="H1504" s="498"/>
      <c r="I1504" s="502"/>
    </row>
    <row r="1505" spans="1:9" ht="15.75">
      <c r="A1505" s="498"/>
      <c r="B1505" s="498"/>
      <c r="C1505" s="499"/>
      <c r="D1505" s="500"/>
      <c r="E1505" s="498"/>
      <c r="F1505" s="498"/>
      <c r="G1505" s="498"/>
      <c r="H1505" s="498"/>
      <c r="I1505" s="502"/>
    </row>
    <row r="1506" spans="1:9" ht="15.75">
      <c r="A1506" s="498"/>
      <c r="B1506" s="498"/>
      <c r="C1506" s="499"/>
      <c r="D1506" s="500"/>
      <c r="E1506" s="498"/>
      <c r="F1506" s="498"/>
      <c r="G1506" s="498"/>
      <c r="H1506" s="498"/>
      <c r="I1506" s="502"/>
    </row>
    <row r="1507" spans="1:9" ht="15.75">
      <c r="A1507" s="498"/>
      <c r="B1507" s="498"/>
      <c r="C1507" s="499"/>
      <c r="D1507" s="500"/>
      <c r="E1507" s="498"/>
      <c r="F1507" s="498"/>
      <c r="G1507" s="498"/>
      <c r="H1507" s="498"/>
      <c r="I1507" s="502"/>
    </row>
    <row r="1508" spans="1:9" ht="15.75">
      <c r="A1508" s="498"/>
      <c r="B1508" s="498"/>
      <c r="C1508" s="499"/>
      <c r="D1508" s="500"/>
      <c r="E1508" s="498"/>
      <c r="F1508" s="498"/>
      <c r="G1508" s="498"/>
      <c r="H1508" s="498"/>
      <c r="I1508" s="502"/>
    </row>
    <row r="1509" spans="1:9" ht="15.75">
      <c r="A1509" s="498"/>
      <c r="B1509" s="498"/>
      <c r="C1509" s="499"/>
      <c r="D1509" s="500"/>
      <c r="E1509" s="498"/>
      <c r="F1509" s="498"/>
      <c r="G1509" s="498"/>
      <c r="H1509" s="498"/>
      <c r="I1509" s="502"/>
    </row>
    <row r="1510" spans="1:9" ht="15.75">
      <c r="A1510" s="498"/>
      <c r="B1510" s="498"/>
      <c r="C1510" s="499"/>
      <c r="D1510" s="500"/>
      <c r="E1510" s="498"/>
      <c r="F1510" s="498"/>
      <c r="G1510" s="498"/>
      <c r="H1510" s="498"/>
      <c r="I1510" s="502"/>
    </row>
    <row r="1511" spans="1:9" ht="15.75">
      <c r="A1511" s="498"/>
      <c r="B1511" s="498"/>
      <c r="C1511" s="499"/>
      <c r="D1511" s="500"/>
      <c r="E1511" s="498"/>
      <c r="F1511" s="498"/>
      <c r="G1511" s="498"/>
      <c r="H1511" s="498"/>
      <c r="I1511" s="502"/>
    </row>
    <row r="1512" spans="1:9" ht="15.75">
      <c r="A1512" s="498"/>
      <c r="B1512" s="498"/>
      <c r="C1512" s="499"/>
      <c r="D1512" s="500"/>
      <c r="E1512" s="498"/>
      <c r="F1512" s="498"/>
      <c r="G1512" s="498"/>
      <c r="H1512" s="498"/>
      <c r="I1512" s="502"/>
    </row>
    <row r="1513" spans="1:9" ht="15.75">
      <c r="A1513" s="498"/>
      <c r="B1513" s="498"/>
      <c r="C1513" s="499"/>
      <c r="D1513" s="500"/>
      <c r="E1513" s="498"/>
      <c r="F1513" s="498"/>
      <c r="G1513" s="498"/>
      <c r="H1513" s="498"/>
      <c r="I1513" s="502"/>
    </row>
    <row r="1514" spans="1:9" ht="15.75">
      <c r="A1514" s="498"/>
      <c r="B1514" s="498"/>
      <c r="C1514" s="499"/>
      <c r="D1514" s="500"/>
      <c r="E1514" s="498"/>
      <c r="F1514" s="498"/>
      <c r="G1514" s="498"/>
      <c r="H1514" s="498"/>
      <c r="I1514" s="502"/>
    </row>
    <row r="1515" spans="1:9" ht="15.75">
      <c r="A1515" s="498"/>
      <c r="B1515" s="498"/>
      <c r="C1515" s="499"/>
      <c r="D1515" s="500"/>
      <c r="E1515" s="498"/>
      <c r="F1515" s="498"/>
      <c r="G1515" s="498"/>
      <c r="H1515" s="498"/>
      <c r="I1515" s="502"/>
    </row>
    <row r="1516" spans="1:9" ht="15.75">
      <c r="A1516" s="498"/>
      <c r="B1516" s="498"/>
      <c r="C1516" s="499"/>
      <c r="D1516" s="500"/>
      <c r="E1516" s="498"/>
      <c r="F1516" s="498"/>
      <c r="G1516" s="498"/>
      <c r="H1516" s="498"/>
      <c r="I1516" s="502"/>
    </row>
    <row r="1517" spans="1:9" ht="15.75">
      <c r="A1517" s="498"/>
      <c r="B1517" s="498"/>
      <c r="C1517" s="499"/>
      <c r="D1517" s="500"/>
      <c r="E1517" s="498"/>
      <c r="F1517" s="498"/>
      <c r="G1517" s="498"/>
      <c r="H1517" s="498"/>
      <c r="I1517" s="502"/>
    </row>
    <row r="1518" spans="1:9" ht="15.75">
      <c r="A1518" s="498"/>
      <c r="B1518" s="498"/>
      <c r="C1518" s="499"/>
      <c r="D1518" s="500"/>
      <c r="E1518" s="498"/>
      <c r="F1518" s="498"/>
      <c r="G1518" s="498"/>
      <c r="H1518" s="498"/>
      <c r="I1518" s="502"/>
    </row>
    <row r="1519" spans="1:9" ht="15.75">
      <c r="A1519" s="498"/>
      <c r="B1519" s="498"/>
      <c r="C1519" s="499"/>
      <c r="D1519" s="500"/>
      <c r="E1519" s="498"/>
      <c r="F1519" s="498"/>
      <c r="G1519" s="498"/>
      <c r="H1519" s="498"/>
      <c r="I1519" s="502"/>
    </row>
    <row r="1520" spans="1:9" ht="15.75">
      <c r="A1520" s="498"/>
      <c r="B1520" s="498"/>
      <c r="C1520" s="499"/>
      <c r="D1520" s="500"/>
      <c r="E1520" s="498"/>
      <c r="F1520" s="498"/>
      <c r="G1520" s="498"/>
      <c r="H1520" s="498"/>
      <c r="I1520" s="502"/>
    </row>
    <row r="1521" spans="1:9" ht="15.75">
      <c r="A1521" s="498"/>
      <c r="B1521" s="498"/>
      <c r="C1521" s="499"/>
      <c r="D1521" s="500"/>
      <c r="E1521" s="498"/>
      <c r="F1521" s="498"/>
      <c r="G1521" s="498"/>
      <c r="H1521" s="498"/>
      <c r="I1521" s="502"/>
    </row>
    <row r="1522" spans="1:9" ht="15.75">
      <c r="A1522" s="498"/>
      <c r="B1522" s="498"/>
      <c r="C1522" s="499"/>
      <c r="D1522" s="500"/>
      <c r="E1522" s="498"/>
      <c r="F1522" s="498"/>
      <c r="G1522" s="498"/>
      <c r="H1522" s="498"/>
      <c r="I1522" s="502"/>
    </row>
    <row r="1523" spans="1:9" ht="15.75">
      <c r="A1523" s="498"/>
      <c r="B1523" s="498"/>
      <c r="C1523" s="499"/>
      <c r="D1523" s="500"/>
      <c r="E1523" s="498"/>
      <c r="F1523" s="498"/>
      <c r="G1523" s="498"/>
      <c r="H1523" s="498"/>
      <c r="I1523" s="502"/>
    </row>
    <row r="1524" spans="1:9" ht="15.75">
      <c r="A1524" s="498"/>
      <c r="B1524" s="498"/>
      <c r="C1524" s="499"/>
      <c r="D1524" s="500"/>
      <c r="E1524" s="498"/>
      <c r="F1524" s="498"/>
      <c r="G1524" s="498"/>
      <c r="H1524" s="498"/>
      <c r="I1524" s="502"/>
    </row>
    <row r="1525" spans="1:9" ht="15.75">
      <c r="A1525" s="498"/>
      <c r="B1525" s="498"/>
      <c r="C1525" s="499"/>
      <c r="D1525" s="500"/>
      <c r="E1525" s="498"/>
      <c r="F1525" s="498"/>
      <c r="G1525" s="498"/>
      <c r="H1525" s="498"/>
      <c r="I1525" s="502"/>
    </row>
    <row r="1526" spans="1:9" ht="15.75">
      <c r="A1526" s="498"/>
      <c r="B1526" s="498"/>
      <c r="C1526" s="499"/>
      <c r="D1526" s="500"/>
      <c r="E1526" s="498"/>
      <c r="F1526" s="498"/>
      <c r="G1526" s="498"/>
      <c r="H1526" s="498"/>
      <c r="I1526" s="513"/>
    </row>
    <row r="1527" spans="1:9" ht="15.75">
      <c r="A1527" s="498"/>
      <c r="B1527" s="498"/>
      <c r="C1527" s="499"/>
      <c r="D1527" s="500"/>
      <c r="E1527" s="498"/>
      <c r="F1527" s="498"/>
      <c r="G1527" s="498"/>
      <c r="H1527" s="498"/>
      <c r="I1527" s="502"/>
    </row>
    <row r="1528" spans="1:9" ht="15.75">
      <c r="A1528" s="498"/>
      <c r="B1528" s="498"/>
      <c r="C1528" s="499"/>
      <c r="D1528" s="500"/>
      <c r="E1528" s="498"/>
      <c r="F1528" s="498"/>
      <c r="G1528" s="498"/>
      <c r="H1528" s="498"/>
      <c r="I1528" s="513"/>
    </row>
    <row r="1529" spans="1:9" ht="15.75">
      <c r="A1529" s="498"/>
      <c r="B1529" s="498"/>
      <c r="C1529" s="499"/>
      <c r="D1529" s="500"/>
      <c r="E1529" s="498"/>
      <c r="F1529" s="498"/>
      <c r="G1529" s="498"/>
      <c r="H1529" s="498"/>
      <c r="I1529" s="502"/>
    </row>
    <row r="1530" spans="1:9" ht="15.75">
      <c r="A1530" s="498"/>
      <c r="B1530" s="498"/>
      <c r="C1530" s="499"/>
      <c r="D1530" s="500"/>
      <c r="E1530" s="498"/>
      <c r="F1530" s="498"/>
      <c r="G1530" s="498"/>
      <c r="H1530" s="498"/>
      <c r="I1530" s="502"/>
    </row>
    <row r="1531" spans="1:9" ht="15.75">
      <c r="A1531" s="498"/>
      <c r="B1531" s="498"/>
      <c r="C1531" s="499"/>
      <c r="D1531" s="500"/>
      <c r="E1531" s="498"/>
      <c r="F1531" s="498"/>
      <c r="G1531" s="498"/>
      <c r="H1531" s="498"/>
      <c r="I1531" s="502"/>
    </row>
    <row r="1532" spans="1:9" ht="15.75">
      <c r="A1532" s="498"/>
      <c r="B1532" s="498"/>
      <c r="C1532" s="499"/>
      <c r="D1532" s="500"/>
      <c r="E1532" s="498"/>
      <c r="F1532" s="498"/>
      <c r="G1532" s="498"/>
      <c r="H1532" s="498"/>
      <c r="I1532" s="502"/>
    </row>
    <row r="1533" spans="1:9" ht="15.75">
      <c r="A1533" s="498"/>
      <c r="B1533" s="498"/>
      <c r="C1533" s="499"/>
      <c r="D1533" s="500"/>
      <c r="E1533" s="498"/>
      <c r="F1533" s="498"/>
      <c r="G1533" s="498"/>
      <c r="H1533" s="498"/>
      <c r="I1533" s="502"/>
    </row>
    <row r="1534" spans="1:9" ht="15.75">
      <c r="A1534" s="498"/>
      <c r="B1534" s="498"/>
      <c r="C1534" s="499"/>
      <c r="D1534" s="500"/>
      <c r="E1534" s="498"/>
      <c r="F1534" s="498"/>
      <c r="G1534" s="498"/>
      <c r="H1534" s="498"/>
      <c r="I1534" s="513"/>
    </row>
    <row r="1535" spans="1:9" ht="15.75">
      <c r="A1535" s="498"/>
      <c r="B1535" s="498"/>
      <c r="C1535" s="499"/>
      <c r="D1535" s="500"/>
      <c r="E1535" s="498"/>
      <c r="F1535" s="498"/>
      <c r="G1535" s="498"/>
      <c r="H1535" s="498"/>
      <c r="I1535" s="513"/>
    </row>
    <row r="1536" spans="1:9" ht="15.75">
      <c r="A1536" s="498"/>
      <c r="B1536" s="498"/>
      <c r="C1536" s="499"/>
      <c r="D1536" s="500"/>
      <c r="E1536" s="498"/>
      <c r="F1536" s="498"/>
      <c r="G1536" s="498"/>
      <c r="H1536" s="498"/>
      <c r="I1536" s="502"/>
    </row>
    <row r="1537" spans="1:9" ht="15.75">
      <c r="A1537" s="498"/>
      <c r="B1537" s="498"/>
      <c r="C1537" s="499"/>
      <c r="D1537" s="500"/>
      <c r="E1537" s="498"/>
      <c r="F1537" s="498"/>
      <c r="G1537" s="498"/>
      <c r="H1537" s="498"/>
      <c r="I1537" s="502"/>
    </row>
    <row r="1538" spans="1:9" ht="15.75">
      <c r="A1538" s="498"/>
      <c r="B1538" s="498"/>
      <c r="C1538" s="499"/>
      <c r="D1538" s="500"/>
      <c r="E1538" s="498"/>
      <c r="F1538" s="498"/>
      <c r="G1538" s="498"/>
      <c r="H1538" s="498"/>
      <c r="I1538" s="502"/>
    </row>
    <row r="1539" spans="1:9" ht="15.75">
      <c r="A1539" s="498"/>
      <c r="B1539" s="498"/>
      <c r="C1539" s="499"/>
      <c r="D1539" s="500"/>
      <c r="E1539" s="498"/>
      <c r="F1539" s="498"/>
      <c r="G1539" s="498"/>
      <c r="H1539" s="498"/>
      <c r="I1539" s="513"/>
    </row>
    <row r="1540" spans="1:9" ht="15.75">
      <c r="A1540" s="498"/>
      <c r="B1540" s="498"/>
      <c r="C1540" s="499"/>
      <c r="D1540" s="500"/>
      <c r="E1540" s="498"/>
      <c r="F1540" s="498"/>
      <c r="G1540" s="498"/>
      <c r="H1540" s="498"/>
      <c r="I1540" s="502"/>
    </row>
    <row r="1541" spans="1:9" ht="15.75">
      <c r="A1541" s="498"/>
      <c r="B1541" s="498"/>
      <c r="C1541" s="499"/>
      <c r="D1541" s="500"/>
      <c r="E1541" s="498"/>
      <c r="F1541" s="498"/>
      <c r="G1541" s="498"/>
      <c r="H1541" s="498"/>
      <c r="I1541" s="502"/>
    </row>
    <row r="1542" spans="1:9" ht="15.75">
      <c r="A1542" s="498"/>
      <c r="B1542" s="498"/>
      <c r="C1542" s="499"/>
      <c r="D1542" s="500"/>
      <c r="E1542" s="498"/>
      <c r="F1542" s="498"/>
      <c r="G1542" s="498"/>
      <c r="H1542" s="498"/>
      <c r="I1542" s="502"/>
    </row>
    <row r="1543" spans="1:9" ht="15.75">
      <c r="A1543" s="498"/>
      <c r="B1543" s="498"/>
      <c r="C1543" s="499"/>
      <c r="D1543" s="500"/>
      <c r="E1543" s="498"/>
      <c r="F1543" s="498"/>
      <c r="G1543" s="498"/>
      <c r="H1543" s="498"/>
      <c r="I1543" s="502"/>
    </row>
    <row r="1544" spans="1:9" ht="15.75">
      <c r="A1544" s="498"/>
      <c r="B1544" s="498"/>
      <c r="C1544" s="499"/>
      <c r="D1544" s="500"/>
      <c r="E1544" s="498"/>
      <c r="F1544" s="498"/>
      <c r="G1544" s="498"/>
      <c r="H1544" s="498"/>
      <c r="I1544" s="502"/>
    </row>
    <row r="1545" spans="1:9" ht="15.75">
      <c r="A1545" s="498"/>
      <c r="B1545" s="498"/>
      <c r="C1545" s="499"/>
      <c r="D1545" s="500"/>
      <c r="E1545" s="498"/>
      <c r="F1545" s="498"/>
      <c r="G1545" s="498"/>
      <c r="H1545" s="498"/>
      <c r="I1545" s="502"/>
    </row>
    <row r="1546" spans="1:9" ht="15.75">
      <c r="A1546" s="498"/>
      <c r="B1546" s="498"/>
      <c r="C1546" s="499"/>
      <c r="D1546" s="500"/>
      <c r="E1546" s="498"/>
      <c r="F1546" s="498"/>
      <c r="G1546" s="498"/>
      <c r="H1546" s="498"/>
      <c r="I1546" s="502"/>
    </row>
    <row r="1547" spans="1:9" ht="15.75">
      <c r="A1547" s="498"/>
      <c r="B1547" s="498"/>
      <c r="C1547" s="499"/>
      <c r="D1547" s="500"/>
      <c r="E1547" s="498"/>
      <c r="F1547" s="498"/>
      <c r="G1547" s="498"/>
      <c r="H1547" s="498"/>
      <c r="I1547" s="502"/>
    </row>
    <row r="1548" spans="1:9" ht="15.75">
      <c r="A1548" s="498"/>
      <c r="B1548" s="498"/>
      <c r="C1548" s="499"/>
      <c r="D1548" s="500"/>
      <c r="E1548" s="498"/>
      <c r="F1548" s="498"/>
      <c r="G1548" s="498"/>
      <c r="H1548" s="498"/>
      <c r="I1548" s="502"/>
    </row>
    <row r="1549" spans="1:9" ht="15.75">
      <c r="A1549" s="498"/>
      <c r="B1549" s="498"/>
      <c r="C1549" s="499"/>
      <c r="D1549" s="500"/>
      <c r="E1549" s="498"/>
      <c r="F1549" s="498"/>
      <c r="G1549" s="498"/>
      <c r="H1549" s="498"/>
      <c r="I1549" s="502"/>
    </row>
    <row r="1550" spans="1:9" ht="15.75">
      <c r="A1550" s="498"/>
      <c r="B1550" s="498"/>
      <c r="C1550" s="499"/>
      <c r="D1550" s="500"/>
      <c r="E1550" s="498"/>
      <c r="F1550" s="498"/>
      <c r="G1550" s="498"/>
      <c r="H1550" s="498"/>
      <c r="I1550" s="502"/>
    </row>
    <row r="1551" spans="1:9" ht="15.75">
      <c r="A1551" s="498"/>
      <c r="B1551" s="498"/>
      <c r="C1551" s="499"/>
      <c r="D1551" s="500"/>
      <c r="E1551" s="498"/>
      <c r="F1551" s="498"/>
      <c r="G1551" s="498"/>
      <c r="H1551" s="498"/>
      <c r="I1551" s="502"/>
    </row>
    <row r="1552" spans="1:9" ht="15.75">
      <c r="A1552" s="498"/>
      <c r="B1552" s="498"/>
      <c r="C1552" s="499"/>
      <c r="D1552" s="500"/>
      <c r="E1552" s="498"/>
      <c r="F1552" s="498"/>
      <c r="G1552" s="498"/>
      <c r="H1552" s="498"/>
      <c r="I1552" s="502"/>
    </row>
    <row r="1553" spans="1:9" ht="15.75">
      <c r="A1553" s="498"/>
      <c r="B1553" s="498"/>
      <c r="C1553" s="499"/>
      <c r="D1553" s="500"/>
      <c r="E1553" s="498"/>
      <c r="F1553" s="498"/>
      <c r="G1553" s="498"/>
      <c r="H1553" s="498"/>
      <c r="I1553" s="502"/>
    </row>
    <row r="1554" spans="1:9" ht="15.75">
      <c r="A1554" s="498"/>
      <c r="B1554" s="498"/>
      <c r="C1554" s="499"/>
      <c r="D1554" s="500"/>
      <c r="E1554" s="498"/>
      <c r="F1554" s="498"/>
      <c r="G1554" s="498"/>
      <c r="H1554" s="498"/>
      <c r="I1554" s="502"/>
    </row>
    <row r="1555" spans="1:9" ht="15.75">
      <c r="A1555" s="498"/>
      <c r="B1555" s="498"/>
      <c r="C1555" s="499"/>
      <c r="D1555" s="500"/>
      <c r="E1555" s="498"/>
      <c r="F1555" s="498"/>
      <c r="G1555" s="498"/>
      <c r="H1555" s="498"/>
      <c r="I1555" s="502"/>
    </row>
    <row r="1556" spans="1:9" ht="15.75">
      <c r="A1556" s="498"/>
      <c r="B1556" s="498"/>
      <c r="C1556" s="499"/>
      <c r="D1556" s="500"/>
      <c r="E1556" s="498"/>
      <c r="F1556" s="498"/>
      <c r="G1556" s="498"/>
      <c r="H1556" s="498"/>
      <c r="I1556" s="502"/>
    </row>
    <row r="1557" spans="1:9" ht="15.75">
      <c r="A1557" s="498"/>
      <c r="B1557" s="498"/>
      <c r="C1557" s="499"/>
      <c r="D1557" s="500"/>
      <c r="E1557" s="498"/>
      <c r="F1557" s="498"/>
      <c r="G1557" s="498"/>
      <c r="H1557" s="498"/>
      <c r="I1557" s="502"/>
    </row>
    <row r="1558" spans="1:9" ht="15.75">
      <c r="A1558" s="498"/>
      <c r="B1558" s="498"/>
      <c r="C1558" s="499"/>
      <c r="D1558" s="500"/>
      <c r="E1558" s="498"/>
      <c r="F1558" s="498"/>
      <c r="G1558" s="498"/>
      <c r="H1558" s="498"/>
      <c r="I1558" s="502"/>
    </row>
    <row r="1559" spans="1:9" ht="15.75">
      <c r="A1559" s="498"/>
      <c r="B1559" s="498"/>
      <c r="C1559" s="499"/>
      <c r="D1559" s="500"/>
      <c r="E1559" s="498"/>
      <c r="F1559" s="498"/>
      <c r="G1559" s="498"/>
      <c r="H1559" s="498"/>
      <c r="I1559" s="513"/>
    </row>
    <row r="1560" spans="1:9" ht="15.75">
      <c r="A1560" s="498"/>
      <c r="B1560" s="498"/>
      <c r="C1560" s="499"/>
      <c r="D1560" s="500"/>
      <c r="E1560" s="498"/>
      <c r="F1560" s="498"/>
      <c r="G1560" s="498"/>
      <c r="H1560" s="498"/>
      <c r="I1560" s="502"/>
    </row>
    <row r="1561" spans="1:9" ht="15.75">
      <c r="A1561" s="498"/>
      <c r="B1561" s="498"/>
      <c r="C1561" s="499"/>
      <c r="D1561" s="500"/>
      <c r="E1561" s="498"/>
      <c r="F1561" s="498"/>
      <c r="G1561" s="498"/>
      <c r="H1561" s="498"/>
      <c r="I1561" s="515"/>
    </row>
    <row r="1562" spans="1:9" ht="15.75">
      <c r="A1562" s="498"/>
      <c r="B1562" s="498"/>
      <c r="C1562" s="499"/>
      <c r="D1562" s="500"/>
      <c r="E1562" s="498"/>
      <c r="F1562" s="498"/>
      <c r="G1562" s="498"/>
      <c r="H1562" s="498"/>
      <c r="I1562" s="502"/>
    </row>
    <row r="1563" spans="1:9" ht="15.75">
      <c r="A1563" s="498"/>
      <c r="B1563" s="498"/>
      <c r="C1563" s="499"/>
      <c r="D1563" s="500"/>
      <c r="E1563" s="498"/>
      <c r="F1563" s="498"/>
      <c r="G1563" s="498"/>
      <c r="H1563" s="498"/>
      <c r="I1563" s="513"/>
    </row>
    <row r="1564" spans="1:9" ht="15.75">
      <c r="A1564" s="498"/>
      <c r="B1564" s="498"/>
      <c r="C1564" s="499"/>
      <c r="D1564" s="500"/>
      <c r="E1564" s="498"/>
      <c r="F1564" s="498"/>
      <c r="G1564" s="498"/>
      <c r="H1564" s="498"/>
      <c r="I1564" s="502"/>
    </row>
    <row r="1565" spans="1:9" ht="15.75">
      <c r="A1565" s="498"/>
      <c r="B1565" s="498"/>
      <c r="C1565" s="499"/>
      <c r="D1565" s="500"/>
      <c r="E1565" s="498"/>
      <c r="F1565" s="498"/>
      <c r="G1565" s="498"/>
      <c r="H1565" s="498"/>
      <c r="I1565" s="502"/>
    </row>
    <row r="1566" spans="1:9" ht="15.75">
      <c r="A1566" s="498"/>
      <c r="B1566" s="498"/>
      <c r="C1566" s="499"/>
      <c r="D1566" s="500"/>
      <c r="E1566" s="498"/>
      <c r="F1566" s="498"/>
      <c r="G1566" s="498"/>
      <c r="H1566" s="498"/>
      <c r="I1566" s="502"/>
    </row>
    <row r="1567" spans="1:9" ht="15.75">
      <c r="A1567" s="498"/>
      <c r="B1567" s="498"/>
      <c r="C1567" s="499"/>
      <c r="D1567" s="500"/>
      <c r="E1567" s="498"/>
      <c r="F1567" s="498"/>
      <c r="G1567" s="498"/>
      <c r="H1567" s="498"/>
      <c r="I1567" s="502"/>
    </row>
    <row r="1568" spans="1:9" ht="15.75">
      <c r="A1568" s="498"/>
      <c r="B1568" s="498"/>
      <c r="C1568" s="499"/>
      <c r="D1568" s="500"/>
      <c r="E1568" s="498"/>
      <c r="F1568" s="498"/>
      <c r="G1568" s="498"/>
      <c r="H1568" s="498"/>
      <c r="I1568" s="502"/>
    </row>
    <row r="1569" spans="1:9" ht="15.75">
      <c r="A1569" s="498"/>
      <c r="B1569" s="498"/>
      <c r="C1569" s="499"/>
      <c r="D1569" s="500"/>
      <c r="E1569" s="498"/>
      <c r="F1569" s="498"/>
      <c r="G1569" s="498"/>
      <c r="H1569" s="498"/>
      <c r="I1569" s="502"/>
    </row>
    <row r="1570" spans="1:9" ht="15.75">
      <c r="A1570" s="498"/>
      <c r="B1570" s="498"/>
      <c r="C1570" s="499"/>
      <c r="D1570" s="500"/>
      <c r="E1570" s="498"/>
      <c r="F1570" s="498"/>
      <c r="G1570" s="498"/>
      <c r="H1570" s="498"/>
      <c r="I1570" s="502"/>
    </row>
    <row r="1571" spans="1:9" ht="15.75">
      <c r="A1571" s="498"/>
      <c r="B1571" s="498"/>
      <c r="C1571" s="499"/>
      <c r="D1571" s="500"/>
      <c r="E1571" s="498"/>
      <c r="F1571" s="498"/>
      <c r="G1571" s="498"/>
      <c r="H1571" s="498"/>
      <c r="I1571" s="502"/>
    </row>
    <row r="1572" spans="1:9" ht="15.75">
      <c r="A1572" s="498"/>
      <c r="B1572" s="498"/>
      <c r="C1572" s="499"/>
      <c r="D1572" s="500"/>
      <c r="E1572" s="498"/>
      <c r="F1572" s="498"/>
      <c r="G1572" s="498"/>
      <c r="H1572" s="498"/>
      <c r="I1572" s="502"/>
    </row>
    <row r="1573" spans="1:9" ht="15.75">
      <c r="A1573" s="498"/>
      <c r="B1573" s="498"/>
      <c r="C1573" s="499"/>
      <c r="D1573" s="500"/>
      <c r="E1573" s="498"/>
      <c r="F1573" s="498"/>
      <c r="G1573" s="498"/>
      <c r="H1573" s="498"/>
      <c r="I1573" s="502"/>
    </row>
    <row r="1574" spans="1:9" ht="15.75">
      <c r="A1574" s="498"/>
      <c r="B1574" s="498"/>
      <c r="C1574" s="499"/>
      <c r="D1574" s="500"/>
      <c r="E1574" s="498"/>
      <c r="F1574" s="498"/>
      <c r="G1574" s="498"/>
      <c r="H1574" s="498"/>
      <c r="I1574" s="502"/>
    </row>
    <row r="1575" spans="1:9" ht="15.75">
      <c r="A1575" s="498"/>
      <c r="B1575" s="498"/>
      <c r="C1575" s="499"/>
      <c r="D1575" s="500"/>
      <c r="E1575" s="498"/>
      <c r="F1575" s="498"/>
      <c r="G1575" s="498"/>
      <c r="H1575" s="498"/>
      <c r="I1575" s="502"/>
    </row>
    <row r="1576" spans="1:9" ht="15.75">
      <c r="A1576" s="498"/>
      <c r="B1576" s="498"/>
      <c r="C1576" s="499"/>
      <c r="D1576" s="500"/>
      <c r="E1576" s="498"/>
      <c r="F1576" s="498"/>
      <c r="G1576" s="498"/>
      <c r="H1576" s="498"/>
      <c r="I1576" s="502"/>
    </row>
    <row r="1577" spans="1:9" ht="15.75">
      <c r="A1577" s="498"/>
      <c r="B1577" s="498"/>
      <c r="C1577" s="499"/>
      <c r="D1577" s="500"/>
      <c r="E1577" s="498"/>
      <c r="F1577" s="498"/>
      <c r="G1577" s="498"/>
      <c r="H1577" s="498"/>
      <c r="I1577" s="502"/>
    </row>
    <row r="1578" spans="1:9" ht="15.75">
      <c r="A1578" s="498"/>
      <c r="B1578" s="498"/>
      <c r="C1578" s="499"/>
      <c r="D1578" s="500"/>
      <c r="E1578" s="498"/>
      <c r="F1578" s="498"/>
      <c r="G1578" s="498"/>
      <c r="H1578" s="498"/>
      <c r="I1578" s="502"/>
    </row>
    <row r="1579" spans="1:9" ht="15.75">
      <c r="A1579" s="498"/>
      <c r="B1579" s="498"/>
      <c r="C1579" s="499"/>
      <c r="D1579" s="500"/>
      <c r="E1579" s="498"/>
      <c r="F1579" s="498"/>
      <c r="G1579" s="498"/>
      <c r="H1579" s="498"/>
      <c r="I1579" s="502"/>
    </row>
    <row r="1580" spans="1:9" ht="15.75">
      <c r="A1580" s="498"/>
      <c r="B1580" s="498"/>
      <c r="C1580" s="499"/>
      <c r="D1580" s="500"/>
      <c r="E1580" s="498"/>
      <c r="F1580" s="498"/>
      <c r="G1580" s="498"/>
      <c r="H1580" s="498"/>
      <c r="I1580" s="502"/>
    </row>
    <row r="1581" spans="1:9" ht="15.75">
      <c r="A1581" s="498"/>
      <c r="B1581" s="498"/>
      <c r="C1581" s="499"/>
      <c r="D1581" s="500"/>
      <c r="E1581" s="498"/>
      <c r="F1581" s="498"/>
      <c r="G1581" s="498"/>
      <c r="H1581" s="498"/>
      <c r="I1581" s="502"/>
    </row>
    <row r="1582" spans="1:9" ht="15.75">
      <c r="A1582" s="498"/>
      <c r="B1582" s="498"/>
      <c r="C1582" s="499"/>
      <c r="D1582" s="500"/>
      <c r="E1582" s="498"/>
      <c r="F1582" s="498"/>
      <c r="G1582" s="498"/>
      <c r="H1582" s="498"/>
      <c r="I1582" s="513"/>
    </row>
    <row r="1583" spans="1:9" ht="15.75">
      <c r="A1583" s="498"/>
      <c r="B1583" s="498"/>
      <c r="C1583" s="499"/>
      <c r="D1583" s="500"/>
      <c r="E1583" s="498"/>
      <c r="F1583" s="498"/>
      <c r="G1583" s="498"/>
      <c r="H1583" s="498"/>
      <c r="I1583" s="502"/>
    </row>
    <row r="1584" spans="1:9" ht="15.75">
      <c r="A1584" s="498"/>
      <c r="B1584" s="498"/>
      <c r="C1584" s="499"/>
      <c r="D1584" s="500"/>
      <c r="E1584" s="498"/>
      <c r="F1584" s="498"/>
      <c r="G1584" s="498"/>
      <c r="H1584" s="498"/>
      <c r="I1584" s="502"/>
    </row>
    <row r="1585" spans="1:9" ht="15.75">
      <c r="A1585" s="498"/>
      <c r="B1585" s="498"/>
      <c r="C1585" s="499"/>
      <c r="D1585" s="500"/>
      <c r="E1585" s="498"/>
      <c r="F1585" s="498"/>
      <c r="G1585" s="498"/>
      <c r="H1585" s="498"/>
      <c r="I1585" s="502"/>
    </row>
    <row r="1586" spans="1:9" ht="15.75">
      <c r="A1586" s="498"/>
      <c r="B1586" s="498"/>
      <c r="C1586" s="499"/>
      <c r="D1586" s="500"/>
      <c r="E1586" s="498"/>
      <c r="F1586" s="498"/>
      <c r="G1586" s="498"/>
      <c r="H1586" s="498"/>
      <c r="I1586" s="502"/>
    </row>
    <row r="1587" spans="1:9" ht="15.75">
      <c r="A1587" s="498"/>
      <c r="B1587" s="498"/>
      <c r="C1587" s="499"/>
      <c r="D1587" s="500"/>
      <c r="E1587" s="498"/>
      <c r="F1587" s="498"/>
      <c r="G1587" s="498"/>
      <c r="H1587" s="498"/>
      <c r="I1587" s="502"/>
    </row>
    <row r="1588" spans="1:9" ht="15.75">
      <c r="A1588" s="498"/>
      <c r="B1588" s="498"/>
      <c r="C1588" s="499"/>
      <c r="D1588" s="500"/>
      <c r="E1588" s="498"/>
      <c r="F1588" s="498"/>
      <c r="G1588" s="498"/>
      <c r="H1588" s="498"/>
      <c r="I1588" s="502"/>
    </row>
    <row r="1589" spans="1:9" ht="15.75">
      <c r="A1589" s="498"/>
      <c r="B1589" s="498"/>
      <c r="C1589" s="499"/>
      <c r="D1589" s="500"/>
      <c r="E1589" s="498"/>
      <c r="F1589" s="498"/>
      <c r="G1589" s="498"/>
      <c r="H1589" s="498"/>
      <c r="I1589" s="502"/>
    </row>
    <row r="1590" spans="1:9" ht="15.75">
      <c r="A1590" s="498"/>
      <c r="B1590" s="498"/>
      <c r="C1590" s="499"/>
      <c r="D1590" s="500"/>
      <c r="E1590" s="498"/>
      <c r="F1590" s="498"/>
      <c r="G1590" s="498"/>
      <c r="H1590" s="498"/>
      <c r="I1590" s="502"/>
    </row>
    <row r="1591" spans="1:9" ht="15.75">
      <c r="A1591" s="498"/>
      <c r="B1591" s="498"/>
      <c r="C1591" s="499"/>
      <c r="D1591" s="500"/>
      <c r="E1591" s="498"/>
      <c r="F1591" s="498"/>
      <c r="G1591" s="498"/>
      <c r="H1591" s="498"/>
      <c r="I1591" s="502"/>
    </row>
    <row r="1592" spans="1:9" ht="15.75">
      <c r="A1592" s="498"/>
      <c r="B1592" s="498"/>
      <c r="C1592" s="499"/>
      <c r="D1592" s="500"/>
      <c r="E1592" s="498"/>
      <c r="F1592" s="498"/>
      <c r="G1592" s="498"/>
      <c r="H1592" s="498"/>
      <c r="I1592" s="502"/>
    </row>
    <row r="1593" spans="1:9" ht="15.75">
      <c r="A1593" s="498"/>
      <c r="B1593" s="498"/>
      <c r="C1593" s="499"/>
      <c r="D1593" s="500"/>
      <c r="E1593" s="498"/>
      <c r="F1593" s="498"/>
      <c r="G1593" s="498"/>
      <c r="H1593" s="498"/>
      <c r="I1593" s="502"/>
    </row>
    <row r="1594" spans="1:9" ht="15.75">
      <c r="A1594" s="498"/>
      <c r="B1594" s="498"/>
      <c r="C1594" s="499"/>
      <c r="D1594" s="500"/>
      <c r="E1594" s="498"/>
      <c r="F1594" s="498"/>
      <c r="G1594" s="498"/>
      <c r="H1594" s="498"/>
      <c r="I1594" s="502"/>
    </row>
    <row r="1595" spans="1:9" ht="15.75">
      <c r="A1595" s="498"/>
      <c r="B1595" s="498"/>
      <c r="C1595" s="499"/>
      <c r="D1595" s="500"/>
      <c r="E1595" s="498"/>
      <c r="F1595" s="498"/>
      <c r="G1595" s="498"/>
      <c r="H1595" s="498"/>
      <c r="I1595" s="502"/>
    </row>
    <row r="1596" spans="1:9" ht="15.75">
      <c r="A1596" s="498"/>
      <c r="B1596" s="498"/>
      <c r="C1596" s="499"/>
      <c r="D1596" s="500"/>
      <c r="E1596" s="498"/>
      <c r="F1596" s="498"/>
      <c r="G1596" s="498"/>
      <c r="H1596" s="498"/>
      <c r="I1596" s="502"/>
    </row>
    <row r="1597" spans="1:9" ht="15.75">
      <c r="A1597" s="498"/>
      <c r="B1597" s="498"/>
      <c r="C1597" s="499"/>
      <c r="D1597" s="500"/>
      <c r="E1597" s="498"/>
      <c r="F1597" s="498"/>
      <c r="G1597" s="498"/>
      <c r="H1597" s="498"/>
      <c r="I1597" s="502"/>
    </row>
    <row r="1598" spans="1:9" ht="15.75">
      <c r="A1598" s="498"/>
      <c r="B1598" s="498"/>
      <c r="C1598" s="499"/>
      <c r="D1598" s="500"/>
      <c r="E1598" s="498"/>
      <c r="F1598" s="498"/>
      <c r="G1598" s="498"/>
      <c r="H1598" s="498"/>
      <c r="I1598" s="502"/>
    </row>
    <row r="1599" spans="1:9" ht="15.75">
      <c r="A1599" s="498"/>
      <c r="B1599" s="498"/>
      <c r="C1599" s="499"/>
      <c r="D1599" s="500"/>
      <c r="E1599" s="498"/>
      <c r="F1599" s="498"/>
      <c r="G1599" s="498"/>
      <c r="H1599" s="498"/>
      <c r="I1599" s="502"/>
    </row>
    <row r="1600" spans="1:9" ht="15.75">
      <c r="A1600" s="498"/>
      <c r="B1600" s="498"/>
      <c r="C1600" s="499"/>
      <c r="D1600" s="500"/>
      <c r="E1600" s="498"/>
      <c r="F1600" s="498"/>
      <c r="G1600" s="498"/>
      <c r="H1600" s="498"/>
      <c r="I1600" s="502"/>
    </row>
    <row r="1601" spans="1:9" ht="15.75">
      <c r="A1601" s="498"/>
      <c r="B1601" s="498"/>
      <c r="C1601" s="499"/>
      <c r="D1601" s="500"/>
      <c r="E1601" s="498"/>
      <c r="F1601" s="498"/>
      <c r="G1601" s="498"/>
      <c r="H1601" s="498"/>
      <c r="I1601" s="502"/>
    </row>
    <row r="1602" spans="1:9" ht="15.75">
      <c r="A1602" s="498"/>
      <c r="B1602" s="498"/>
      <c r="C1602" s="499"/>
      <c r="D1602" s="500"/>
      <c r="E1602" s="498"/>
      <c r="F1602" s="498"/>
      <c r="G1602" s="498"/>
      <c r="H1602" s="498"/>
      <c r="I1602" s="502"/>
    </row>
    <row r="1603" spans="1:9" ht="15.75">
      <c r="A1603" s="498"/>
      <c r="B1603" s="498"/>
      <c r="C1603" s="499"/>
      <c r="D1603" s="500"/>
      <c r="E1603" s="498"/>
      <c r="F1603" s="498"/>
      <c r="G1603" s="498"/>
      <c r="H1603" s="498"/>
      <c r="I1603" s="502"/>
    </row>
    <row r="1604" spans="1:9" ht="15.75">
      <c r="A1604" s="498"/>
      <c r="B1604" s="498"/>
      <c r="C1604" s="499"/>
      <c r="D1604" s="500"/>
      <c r="E1604" s="498"/>
      <c r="F1604" s="498"/>
      <c r="G1604" s="498"/>
      <c r="H1604" s="498"/>
      <c r="I1604" s="502"/>
    </row>
    <row r="1605" spans="1:9" ht="15.75">
      <c r="A1605" s="498"/>
      <c r="B1605" s="498"/>
      <c r="C1605" s="499"/>
      <c r="D1605" s="500"/>
      <c r="E1605" s="498"/>
      <c r="F1605" s="498"/>
      <c r="G1605" s="498"/>
      <c r="H1605" s="498"/>
      <c r="I1605" s="502"/>
    </row>
    <row r="1606" spans="1:9" ht="15.75">
      <c r="A1606" s="498"/>
      <c r="B1606" s="498"/>
      <c r="C1606" s="499"/>
      <c r="D1606" s="500"/>
      <c r="E1606" s="498"/>
      <c r="F1606" s="498"/>
      <c r="G1606" s="498"/>
      <c r="H1606" s="498"/>
      <c r="I1606" s="502"/>
    </row>
    <row r="1607" spans="1:9" ht="15.75">
      <c r="A1607" s="498"/>
      <c r="B1607" s="498"/>
      <c r="C1607" s="499"/>
      <c r="D1607" s="500"/>
      <c r="E1607" s="498"/>
      <c r="F1607" s="498"/>
      <c r="G1607" s="498"/>
      <c r="H1607" s="498"/>
      <c r="I1607" s="502"/>
    </row>
    <row r="1608" spans="1:9" ht="15.75">
      <c r="A1608" s="498"/>
      <c r="B1608" s="498"/>
      <c r="C1608" s="499"/>
      <c r="D1608" s="500"/>
      <c r="E1608" s="498"/>
      <c r="F1608" s="498"/>
      <c r="G1608" s="498"/>
      <c r="H1608" s="498"/>
      <c r="I1608" s="502"/>
    </row>
    <row r="1609" spans="1:9" ht="15.75">
      <c r="A1609" s="498"/>
      <c r="B1609" s="498"/>
      <c r="C1609" s="499"/>
      <c r="D1609" s="500"/>
      <c r="E1609" s="498"/>
      <c r="F1609" s="498"/>
      <c r="G1609" s="498"/>
      <c r="H1609" s="498"/>
      <c r="I1609" s="513"/>
    </row>
    <row r="1610" spans="1:9" ht="15.75">
      <c r="A1610" s="498"/>
      <c r="B1610" s="498"/>
      <c r="C1610" s="499"/>
      <c r="D1610" s="500"/>
      <c r="E1610" s="498"/>
      <c r="F1610" s="498"/>
      <c r="G1610" s="498"/>
      <c r="H1610" s="498"/>
      <c r="I1610" s="502"/>
    </row>
    <row r="1611" spans="1:9" ht="15.75">
      <c r="A1611" s="498"/>
      <c r="B1611" s="498"/>
      <c r="C1611" s="499"/>
      <c r="D1611" s="500"/>
      <c r="E1611" s="498"/>
      <c r="F1611" s="498"/>
      <c r="G1611" s="498"/>
      <c r="H1611" s="498"/>
      <c r="I1611" s="502"/>
    </row>
    <row r="1612" spans="1:9" ht="15.75">
      <c r="A1612" s="498"/>
      <c r="B1612" s="498"/>
      <c r="C1612" s="499"/>
      <c r="D1612" s="500"/>
      <c r="E1612" s="498"/>
      <c r="F1612" s="498"/>
      <c r="G1612" s="498"/>
      <c r="H1612" s="498"/>
      <c r="I1612" s="502"/>
    </row>
    <row r="1613" spans="1:9" ht="15.75">
      <c r="A1613" s="498"/>
      <c r="B1613" s="498"/>
      <c r="C1613" s="499"/>
      <c r="D1613" s="500"/>
      <c r="E1613" s="498"/>
      <c r="F1613" s="498"/>
      <c r="G1613" s="498"/>
      <c r="H1613" s="498"/>
      <c r="I1613" s="502"/>
    </row>
    <row r="1614" spans="1:9" ht="15.75">
      <c r="A1614" s="498"/>
      <c r="B1614" s="498"/>
      <c r="C1614" s="499"/>
      <c r="D1614" s="500"/>
      <c r="E1614" s="498"/>
      <c r="F1614" s="498"/>
      <c r="G1614" s="498"/>
      <c r="H1614" s="498"/>
      <c r="I1614" s="502"/>
    </row>
    <row r="1615" spans="1:9" ht="15.75">
      <c r="A1615" s="498"/>
      <c r="B1615" s="498"/>
      <c r="C1615" s="499"/>
      <c r="D1615" s="500"/>
      <c r="E1615" s="498"/>
      <c r="F1615" s="498"/>
      <c r="G1615" s="498"/>
      <c r="H1615" s="498"/>
      <c r="I1615" s="502"/>
    </row>
    <row r="1616" spans="1:9" ht="15.75">
      <c r="A1616" s="498"/>
      <c r="B1616" s="498"/>
      <c r="C1616" s="499"/>
      <c r="D1616" s="500"/>
      <c r="E1616" s="498"/>
      <c r="F1616" s="498"/>
      <c r="G1616" s="498"/>
      <c r="H1616" s="498"/>
      <c r="I1616" s="502"/>
    </row>
    <row r="1617" spans="1:9" ht="15.75">
      <c r="A1617" s="498"/>
      <c r="B1617" s="498"/>
      <c r="C1617" s="499"/>
      <c r="D1617" s="500"/>
      <c r="E1617" s="498"/>
      <c r="F1617" s="498"/>
      <c r="G1617" s="498"/>
      <c r="H1617" s="498"/>
      <c r="I1617" s="515"/>
    </row>
    <row r="1618" spans="1:9" ht="15.75">
      <c r="A1618" s="498"/>
      <c r="B1618" s="498"/>
      <c r="C1618" s="499"/>
      <c r="D1618" s="500"/>
      <c r="E1618" s="498"/>
      <c r="F1618" s="498"/>
      <c r="G1618" s="498"/>
      <c r="H1618" s="498"/>
      <c r="I1618" s="502"/>
    </row>
    <row r="1619" spans="1:9" ht="15.75">
      <c r="A1619" s="498"/>
      <c r="B1619" s="498"/>
      <c r="C1619" s="499"/>
      <c r="D1619" s="500"/>
      <c r="E1619" s="498"/>
      <c r="F1619" s="498"/>
      <c r="G1619" s="498"/>
      <c r="H1619" s="498"/>
      <c r="I1619" s="502"/>
    </row>
    <row r="1620" spans="1:9" ht="15.75">
      <c r="A1620" s="498"/>
      <c r="B1620" s="498"/>
      <c r="C1620" s="499"/>
      <c r="D1620" s="500"/>
      <c r="E1620" s="498"/>
      <c r="F1620" s="498"/>
      <c r="G1620" s="498"/>
      <c r="H1620" s="498"/>
      <c r="I1620" s="513"/>
    </row>
    <row r="1621" spans="1:9" ht="15.75">
      <c r="A1621" s="498"/>
      <c r="B1621" s="498"/>
      <c r="C1621" s="499"/>
      <c r="D1621" s="500"/>
      <c r="E1621" s="498"/>
      <c r="F1621" s="498"/>
      <c r="G1621" s="498"/>
      <c r="H1621" s="498"/>
      <c r="I1621" s="502"/>
    </row>
    <row r="1622" spans="1:9" ht="15.75">
      <c r="A1622" s="498"/>
      <c r="B1622" s="498"/>
      <c r="C1622" s="499"/>
      <c r="D1622" s="500"/>
      <c r="E1622" s="498"/>
      <c r="F1622" s="498"/>
      <c r="G1622" s="498"/>
      <c r="H1622" s="498"/>
      <c r="I1622" s="502"/>
    </row>
    <row r="1623" spans="1:9" ht="15.75">
      <c r="A1623" s="498"/>
      <c r="B1623" s="498"/>
      <c r="C1623" s="499"/>
      <c r="D1623" s="500"/>
      <c r="E1623" s="498"/>
      <c r="F1623" s="498"/>
      <c r="G1623" s="498"/>
      <c r="H1623" s="498"/>
      <c r="I1623" s="502"/>
    </row>
    <row r="1624" spans="1:9" ht="15.75">
      <c r="A1624" s="498"/>
      <c r="B1624" s="498"/>
      <c r="C1624" s="499"/>
      <c r="D1624" s="500"/>
      <c r="E1624" s="498"/>
      <c r="F1624" s="498"/>
      <c r="G1624" s="498"/>
      <c r="H1624" s="498"/>
      <c r="I1624" s="513"/>
    </row>
    <row r="1625" spans="1:9" ht="15.75">
      <c r="A1625" s="498"/>
      <c r="B1625" s="498"/>
      <c r="C1625" s="499"/>
      <c r="D1625" s="500"/>
      <c r="E1625" s="498"/>
      <c r="F1625" s="498"/>
      <c r="G1625" s="498"/>
      <c r="H1625" s="498"/>
      <c r="I1625" s="502"/>
    </row>
    <row r="1626" spans="1:9" ht="15.75">
      <c r="A1626" s="498"/>
      <c r="B1626" s="498"/>
      <c r="C1626" s="499"/>
      <c r="D1626" s="500"/>
      <c r="E1626" s="498"/>
      <c r="F1626" s="498"/>
      <c r="G1626" s="498"/>
      <c r="H1626" s="498"/>
      <c r="I1626" s="502"/>
    </row>
    <row r="1627" spans="1:9" ht="15.75">
      <c r="A1627" s="498"/>
      <c r="B1627" s="498"/>
      <c r="C1627" s="499"/>
      <c r="D1627" s="500"/>
      <c r="E1627" s="498"/>
      <c r="F1627" s="498"/>
      <c r="G1627" s="498"/>
      <c r="H1627" s="498"/>
      <c r="I1627" s="502"/>
    </row>
    <row r="1628" spans="1:9" ht="15.75">
      <c r="A1628" s="498"/>
      <c r="B1628" s="498"/>
      <c r="C1628" s="499"/>
      <c r="D1628" s="500"/>
      <c r="E1628" s="498"/>
      <c r="F1628" s="498"/>
      <c r="G1628" s="498"/>
      <c r="H1628" s="498"/>
      <c r="I1628" s="502"/>
    </row>
    <row r="1629" spans="1:9" ht="15.75">
      <c r="A1629" s="498"/>
      <c r="B1629" s="498"/>
      <c r="C1629" s="499"/>
      <c r="D1629" s="500"/>
      <c r="E1629" s="498"/>
      <c r="F1629" s="498"/>
      <c r="G1629" s="498"/>
      <c r="H1629" s="498"/>
      <c r="I1629" s="502"/>
    </row>
    <row r="1630" spans="1:9" ht="15.75">
      <c r="A1630" s="498"/>
      <c r="B1630" s="498"/>
      <c r="C1630" s="499"/>
      <c r="D1630" s="500"/>
      <c r="E1630" s="498"/>
      <c r="F1630" s="498"/>
      <c r="G1630" s="498"/>
      <c r="H1630" s="498"/>
      <c r="I1630" s="502"/>
    </row>
    <row r="1631" spans="1:9" ht="15.75">
      <c r="A1631" s="498"/>
      <c r="B1631" s="498"/>
      <c r="C1631" s="499"/>
      <c r="D1631" s="500"/>
      <c r="E1631" s="498"/>
      <c r="F1631" s="498"/>
      <c r="G1631" s="498"/>
      <c r="H1631" s="498"/>
      <c r="I1631" s="502"/>
    </row>
    <row r="1632" spans="1:9" ht="15.75">
      <c r="A1632" s="498"/>
      <c r="B1632" s="498"/>
      <c r="C1632" s="499"/>
      <c r="D1632" s="500"/>
      <c r="E1632" s="498"/>
      <c r="F1632" s="498"/>
      <c r="G1632" s="498"/>
      <c r="H1632" s="498"/>
      <c r="I1632" s="502"/>
    </row>
    <row r="1633" spans="1:9" ht="15.75">
      <c r="A1633" s="498"/>
      <c r="B1633" s="498"/>
      <c r="C1633" s="499"/>
      <c r="D1633" s="500"/>
      <c r="E1633" s="498"/>
      <c r="F1633" s="498"/>
      <c r="G1633" s="498"/>
      <c r="H1633" s="498"/>
      <c r="I1633" s="502"/>
    </row>
    <row r="1634" spans="1:9" ht="15.75">
      <c r="A1634" s="498"/>
      <c r="B1634" s="498"/>
      <c r="C1634" s="499"/>
      <c r="D1634" s="500"/>
      <c r="E1634" s="498"/>
      <c r="F1634" s="498"/>
      <c r="G1634" s="498"/>
      <c r="H1634" s="498"/>
      <c r="I1634" s="502"/>
    </row>
    <row r="1635" spans="1:9" ht="15.75">
      <c r="A1635" s="498"/>
      <c r="B1635" s="498"/>
      <c r="C1635" s="499"/>
      <c r="D1635" s="500"/>
      <c r="E1635" s="498"/>
      <c r="F1635" s="498"/>
      <c r="G1635" s="498"/>
      <c r="H1635" s="498"/>
      <c r="I1635" s="502"/>
    </row>
    <row r="1636" spans="1:9" ht="15.75">
      <c r="A1636" s="498"/>
      <c r="B1636" s="498"/>
      <c r="C1636" s="499"/>
      <c r="D1636" s="500"/>
      <c r="E1636" s="498"/>
      <c r="F1636" s="498"/>
      <c r="G1636" s="498"/>
      <c r="H1636" s="498"/>
      <c r="I1636" s="502"/>
    </row>
    <row r="1637" spans="1:9" ht="15.75">
      <c r="A1637" s="498"/>
      <c r="B1637" s="498"/>
      <c r="C1637" s="499"/>
      <c r="D1637" s="500"/>
      <c r="E1637" s="498"/>
      <c r="F1637" s="498"/>
      <c r="G1637" s="498"/>
      <c r="H1637" s="498"/>
      <c r="I1637" s="502"/>
    </row>
    <row r="1638" spans="1:9" ht="15.75">
      <c r="A1638" s="498"/>
      <c r="B1638" s="498"/>
      <c r="C1638" s="499"/>
      <c r="D1638" s="500"/>
      <c r="E1638" s="498"/>
      <c r="F1638" s="498"/>
      <c r="G1638" s="498"/>
      <c r="H1638" s="498"/>
      <c r="I1638" s="502"/>
    </row>
    <row r="1639" spans="1:9" ht="15.75">
      <c r="A1639" s="498"/>
      <c r="B1639" s="498"/>
      <c r="C1639" s="499"/>
      <c r="D1639" s="500"/>
      <c r="E1639" s="498"/>
      <c r="F1639" s="498"/>
      <c r="G1639" s="498"/>
      <c r="H1639" s="498"/>
      <c r="I1639" s="502"/>
    </row>
    <row r="1640" spans="1:9" ht="15.75">
      <c r="A1640" s="498"/>
      <c r="B1640" s="498"/>
      <c r="C1640" s="499"/>
      <c r="D1640" s="500"/>
      <c r="E1640" s="498"/>
      <c r="F1640" s="498"/>
      <c r="G1640" s="498"/>
      <c r="H1640" s="498"/>
      <c r="I1640" s="502"/>
    </row>
    <row r="1641" spans="1:9" ht="15.75">
      <c r="A1641" s="498"/>
      <c r="B1641" s="498"/>
      <c r="C1641" s="499"/>
      <c r="D1641" s="500"/>
      <c r="E1641" s="498"/>
      <c r="F1641" s="498"/>
      <c r="G1641" s="498"/>
      <c r="H1641" s="498"/>
      <c r="I1641" s="502"/>
    </row>
    <row r="1642" spans="1:9" ht="15.75">
      <c r="A1642" s="498"/>
      <c r="B1642" s="498"/>
      <c r="C1642" s="499"/>
      <c r="D1642" s="500"/>
      <c r="E1642" s="498"/>
      <c r="F1642" s="498"/>
      <c r="G1642" s="498"/>
      <c r="H1642" s="498"/>
      <c r="I1642" s="502"/>
    </row>
    <row r="1643" spans="1:9" ht="15.75">
      <c r="A1643" s="498"/>
      <c r="B1643" s="498"/>
      <c r="C1643" s="499"/>
      <c r="D1643" s="500"/>
      <c r="E1643" s="498"/>
      <c r="F1643" s="498"/>
      <c r="G1643" s="498"/>
      <c r="H1643" s="498"/>
      <c r="I1643" s="502"/>
    </row>
    <row r="1644" spans="1:9" ht="15.75">
      <c r="A1644" s="498"/>
      <c r="B1644" s="498"/>
      <c r="C1644" s="499"/>
      <c r="D1644" s="500"/>
      <c r="E1644" s="498"/>
      <c r="F1644" s="498"/>
      <c r="G1644" s="498"/>
      <c r="H1644" s="498"/>
      <c r="I1644" s="502"/>
    </row>
    <row r="1645" spans="1:9" ht="15.75">
      <c r="A1645" s="498"/>
      <c r="B1645" s="498"/>
      <c r="C1645" s="499"/>
      <c r="D1645" s="500"/>
      <c r="E1645" s="498"/>
      <c r="F1645" s="498"/>
      <c r="G1645" s="498"/>
      <c r="H1645" s="498"/>
      <c r="I1645" s="502"/>
    </row>
    <row r="1646" spans="1:9" ht="15.75">
      <c r="A1646" s="498"/>
      <c r="B1646" s="498"/>
      <c r="C1646" s="499"/>
      <c r="D1646" s="500"/>
      <c r="E1646" s="498"/>
      <c r="F1646" s="498"/>
      <c r="G1646" s="498"/>
      <c r="H1646" s="498"/>
      <c r="I1646" s="502"/>
    </row>
    <row r="1647" spans="1:9" ht="15.75">
      <c r="A1647" s="498"/>
      <c r="B1647" s="498"/>
      <c r="C1647" s="499"/>
      <c r="D1647" s="500"/>
      <c r="E1647" s="498"/>
      <c r="F1647" s="498"/>
      <c r="G1647" s="498"/>
      <c r="H1647" s="498"/>
      <c r="I1647" s="502"/>
    </row>
    <row r="1648" spans="1:9" ht="15.75">
      <c r="A1648" s="498"/>
      <c r="B1648" s="498"/>
      <c r="C1648" s="499"/>
      <c r="D1648" s="500"/>
      <c r="E1648" s="498"/>
      <c r="F1648" s="498"/>
      <c r="G1648" s="498"/>
      <c r="H1648" s="498"/>
      <c r="I1648" s="502"/>
    </row>
    <row r="1649" spans="1:9" ht="15.75">
      <c r="A1649" s="498"/>
      <c r="B1649" s="498"/>
      <c r="C1649" s="499"/>
      <c r="D1649" s="500"/>
      <c r="E1649" s="498"/>
      <c r="F1649" s="498"/>
      <c r="G1649" s="498"/>
      <c r="H1649" s="498"/>
      <c r="I1649" s="502"/>
    </row>
    <row r="1650" spans="1:9" ht="15.75">
      <c r="A1650" s="498"/>
      <c r="B1650" s="498"/>
      <c r="C1650" s="499"/>
      <c r="D1650" s="500"/>
      <c r="E1650" s="498"/>
      <c r="F1650" s="498"/>
      <c r="G1650" s="498"/>
      <c r="H1650" s="498"/>
      <c r="I1650" s="502"/>
    </row>
    <row r="1651" spans="1:9" ht="15.75">
      <c r="A1651" s="498"/>
      <c r="B1651" s="498"/>
      <c r="C1651" s="499"/>
      <c r="D1651" s="500"/>
      <c r="E1651" s="498"/>
      <c r="F1651" s="498"/>
      <c r="G1651" s="498"/>
      <c r="H1651" s="498"/>
      <c r="I1651" s="502"/>
    </row>
    <row r="1652" spans="1:9" ht="15.75">
      <c r="A1652" s="498"/>
      <c r="B1652" s="498"/>
      <c r="C1652" s="499"/>
      <c r="D1652" s="500"/>
      <c r="E1652" s="498"/>
      <c r="F1652" s="498"/>
      <c r="G1652" s="498"/>
      <c r="H1652" s="498"/>
      <c r="I1652" s="502"/>
    </row>
    <row r="1653" spans="1:9" ht="15.75">
      <c r="A1653" s="498"/>
      <c r="B1653" s="498"/>
      <c r="C1653" s="499"/>
      <c r="D1653" s="500"/>
      <c r="E1653" s="498"/>
      <c r="F1653" s="498"/>
      <c r="G1653" s="498"/>
      <c r="H1653" s="498"/>
      <c r="I1653" s="502"/>
    </row>
    <row r="1654" spans="1:9" ht="15.75">
      <c r="A1654" s="498"/>
      <c r="B1654" s="498"/>
      <c r="C1654" s="499"/>
      <c r="D1654" s="500"/>
      <c r="E1654" s="498"/>
      <c r="F1654" s="498"/>
      <c r="G1654" s="498"/>
      <c r="H1654" s="498"/>
      <c r="I1654" s="502"/>
    </row>
    <row r="1655" spans="1:9" ht="15.75">
      <c r="A1655" s="498"/>
      <c r="B1655" s="498"/>
      <c r="C1655" s="499"/>
      <c r="D1655" s="500"/>
      <c r="E1655" s="498"/>
      <c r="F1655" s="498"/>
      <c r="G1655" s="498"/>
      <c r="H1655" s="498"/>
      <c r="I1655" s="502"/>
    </row>
    <row r="1656" spans="1:9" ht="15.75">
      <c r="A1656" s="498"/>
      <c r="B1656" s="498"/>
      <c r="C1656" s="499"/>
      <c r="D1656" s="500"/>
      <c r="E1656" s="498"/>
      <c r="F1656" s="498"/>
      <c r="G1656" s="498"/>
      <c r="H1656" s="498"/>
      <c r="I1656" s="502"/>
    </row>
    <row r="1657" spans="1:9" ht="15.75">
      <c r="A1657" s="498"/>
      <c r="B1657" s="498"/>
      <c r="C1657" s="499"/>
      <c r="D1657" s="500"/>
      <c r="E1657" s="498"/>
      <c r="F1657" s="498"/>
      <c r="G1657" s="498"/>
      <c r="H1657" s="498"/>
      <c r="I1657" s="502"/>
    </row>
    <row r="1658" spans="1:9" ht="15.75">
      <c r="A1658" s="498"/>
      <c r="B1658" s="498"/>
      <c r="C1658" s="499"/>
      <c r="D1658" s="500"/>
      <c r="E1658" s="498"/>
      <c r="F1658" s="498"/>
      <c r="G1658" s="498"/>
      <c r="H1658" s="498"/>
      <c r="I1658" s="502"/>
    </row>
    <row r="1659" spans="1:9" ht="15.75">
      <c r="A1659" s="498"/>
      <c r="B1659" s="498"/>
      <c r="C1659" s="499"/>
      <c r="D1659" s="500"/>
      <c r="E1659" s="498"/>
      <c r="F1659" s="498"/>
      <c r="G1659" s="498"/>
      <c r="H1659" s="498"/>
      <c r="I1659" s="502"/>
    </row>
    <row r="1660" spans="1:9" ht="15.75">
      <c r="A1660" s="498"/>
      <c r="B1660" s="498"/>
      <c r="C1660" s="499"/>
      <c r="D1660" s="500"/>
      <c r="E1660" s="498"/>
      <c r="F1660" s="498"/>
      <c r="G1660" s="498"/>
      <c r="H1660" s="498"/>
      <c r="I1660" s="502"/>
    </row>
    <row r="1661" spans="1:9" ht="15.75">
      <c r="A1661" s="498"/>
      <c r="B1661" s="498"/>
      <c r="C1661" s="499"/>
      <c r="D1661" s="500"/>
      <c r="E1661" s="498"/>
      <c r="F1661" s="498"/>
      <c r="G1661" s="498"/>
      <c r="H1661" s="498"/>
      <c r="I1661" s="513"/>
    </row>
    <row r="1662" spans="1:9" ht="15.75">
      <c r="A1662" s="498"/>
      <c r="B1662" s="498"/>
      <c r="C1662" s="499"/>
      <c r="D1662" s="500"/>
      <c r="E1662" s="498"/>
      <c r="F1662" s="498"/>
      <c r="G1662" s="498"/>
      <c r="H1662" s="498"/>
      <c r="I1662" s="502"/>
    </row>
    <row r="1663" spans="1:9" ht="15.75">
      <c r="A1663" s="498"/>
      <c r="B1663" s="498"/>
      <c r="C1663" s="499"/>
      <c r="D1663" s="500"/>
      <c r="E1663" s="498"/>
      <c r="F1663" s="498"/>
      <c r="G1663" s="498"/>
      <c r="H1663" s="498"/>
      <c r="I1663" s="502"/>
    </row>
    <row r="1664" spans="1:9" ht="15.75">
      <c r="A1664" s="498"/>
      <c r="B1664" s="498"/>
      <c r="C1664" s="499"/>
      <c r="D1664" s="500"/>
      <c r="E1664" s="498"/>
      <c r="F1664" s="498"/>
      <c r="G1664" s="498"/>
      <c r="H1664" s="498"/>
      <c r="I1664" s="502"/>
    </row>
    <row r="1665" spans="1:9" ht="15.75">
      <c r="A1665" s="498"/>
      <c r="B1665" s="498"/>
      <c r="C1665" s="499"/>
      <c r="D1665" s="500"/>
      <c r="E1665" s="498"/>
      <c r="F1665" s="498"/>
      <c r="G1665" s="498"/>
      <c r="H1665" s="498"/>
      <c r="I1665" s="502"/>
    </row>
    <row r="1666" spans="1:9" ht="15.75">
      <c r="A1666" s="498"/>
      <c r="B1666" s="498"/>
      <c r="C1666" s="499"/>
      <c r="D1666" s="500"/>
      <c r="E1666" s="498"/>
      <c r="F1666" s="498"/>
      <c r="G1666" s="498"/>
      <c r="H1666" s="498"/>
      <c r="I1666" s="502"/>
    </row>
    <row r="1667" spans="1:9" ht="15.75">
      <c r="A1667" s="498"/>
      <c r="B1667" s="498"/>
      <c r="C1667" s="499"/>
      <c r="D1667" s="500"/>
      <c r="E1667" s="498"/>
      <c r="F1667" s="498"/>
      <c r="G1667" s="498"/>
      <c r="H1667" s="498"/>
      <c r="I1667" s="502"/>
    </row>
    <row r="1668" spans="1:9" ht="15.75">
      <c r="A1668" s="498"/>
      <c r="B1668" s="498"/>
      <c r="C1668" s="499"/>
      <c r="D1668" s="500"/>
      <c r="E1668" s="498"/>
      <c r="F1668" s="498"/>
      <c r="G1668" s="498"/>
      <c r="H1668" s="498"/>
      <c r="I1668" s="502"/>
    </row>
    <row r="1669" spans="1:9" ht="15.75">
      <c r="A1669" s="498"/>
      <c r="B1669" s="498"/>
      <c r="C1669" s="499"/>
      <c r="D1669" s="500"/>
      <c r="E1669" s="498"/>
      <c r="F1669" s="498"/>
      <c r="G1669" s="498"/>
      <c r="H1669" s="498"/>
      <c r="I1669" s="502"/>
    </row>
    <row r="1670" spans="1:9" ht="15.75">
      <c r="A1670" s="498"/>
      <c r="B1670" s="498"/>
      <c r="C1670" s="499"/>
      <c r="D1670" s="500"/>
      <c r="E1670" s="498"/>
      <c r="F1670" s="498"/>
      <c r="G1670" s="498"/>
      <c r="H1670" s="498"/>
      <c r="I1670" s="513"/>
    </row>
    <row r="1671" spans="1:9" ht="15.75">
      <c r="A1671" s="498"/>
      <c r="B1671" s="498"/>
      <c r="C1671" s="499"/>
      <c r="D1671" s="500"/>
      <c r="E1671" s="498"/>
      <c r="F1671" s="498"/>
      <c r="G1671" s="498"/>
      <c r="H1671" s="498"/>
      <c r="I1671" s="502"/>
    </row>
    <row r="1672" spans="1:9" ht="15.75">
      <c r="A1672" s="498"/>
      <c r="B1672" s="498"/>
      <c r="C1672" s="499"/>
      <c r="D1672" s="500"/>
      <c r="E1672" s="498"/>
      <c r="F1672" s="498"/>
      <c r="G1672" s="498"/>
      <c r="H1672" s="498"/>
      <c r="I1672" s="502"/>
    </row>
    <row r="1673" spans="1:9" ht="15.75">
      <c r="A1673" s="498"/>
      <c r="B1673" s="498"/>
      <c r="C1673" s="499"/>
      <c r="D1673" s="500"/>
      <c r="E1673" s="498"/>
      <c r="F1673" s="498"/>
      <c r="G1673" s="498"/>
      <c r="H1673" s="498"/>
      <c r="I1673" s="502"/>
    </row>
    <row r="1674" spans="1:9" ht="15.75">
      <c r="A1674" s="498"/>
      <c r="B1674" s="498"/>
      <c r="C1674" s="499"/>
      <c r="D1674" s="500"/>
      <c r="E1674" s="498"/>
      <c r="F1674" s="498"/>
      <c r="G1674" s="498"/>
      <c r="H1674" s="498"/>
      <c r="I1674" s="502"/>
    </row>
    <row r="1675" spans="1:9" ht="15.75">
      <c r="A1675" s="498"/>
      <c r="B1675" s="498"/>
      <c r="C1675" s="499"/>
      <c r="D1675" s="500"/>
      <c r="E1675" s="498"/>
      <c r="F1675" s="498"/>
      <c r="G1675" s="498"/>
      <c r="H1675" s="498"/>
      <c r="I1675" s="513"/>
    </row>
    <row r="1676" spans="1:9" ht="15.75">
      <c r="A1676" s="498"/>
      <c r="B1676" s="498"/>
      <c r="C1676" s="499"/>
      <c r="D1676" s="500"/>
      <c r="E1676" s="498"/>
      <c r="F1676" s="498"/>
      <c r="G1676" s="498"/>
      <c r="H1676" s="498"/>
      <c r="I1676" s="502"/>
    </row>
    <row r="1677" spans="1:9" ht="15.75">
      <c r="A1677" s="498"/>
      <c r="B1677" s="498"/>
      <c r="C1677" s="499"/>
      <c r="D1677" s="500"/>
      <c r="E1677" s="498"/>
      <c r="F1677" s="498"/>
      <c r="G1677" s="498"/>
      <c r="H1677" s="498"/>
      <c r="I1677" s="502"/>
    </row>
    <row r="1678" spans="1:9" ht="15.75">
      <c r="A1678" s="498"/>
      <c r="B1678" s="498"/>
      <c r="C1678" s="499"/>
      <c r="D1678" s="500"/>
      <c r="E1678" s="498"/>
      <c r="F1678" s="498"/>
      <c r="G1678" s="498"/>
      <c r="H1678" s="498"/>
      <c r="I1678" s="502"/>
    </row>
    <row r="1679" spans="1:9" ht="15.75">
      <c r="A1679" s="498"/>
      <c r="B1679" s="498"/>
      <c r="C1679" s="499"/>
      <c r="D1679" s="500"/>
      <c r="E1679" s="498"/>
      <c r="F1679" s="498"/>
      <c r="G1679" s="498"/>
      <c r="H1679" s="498"/>
      <c r="I1679" s="513"/>
    </row>
    <row r="1680" spans="1:9" ht="15.75">
      <c r="A1680" s="498"/>
      <c r="B1680" s="498"/>
      <c r="C1680" s="499"/>
      <c r="D1680" s="500"/>
      <c r="E1680" s="498"/>
      <c r="F1680" s="498"/>
      <c r="G1680" s="498"/>
      <c r="H1680" s="498"/>
      <c r="I1680" s="502"/>
    </row>
    <row r="1681" spans="1:9" ht="15.75">
      <c r="A1681" s="498"/>
      <c r="B1681" s="498"/>
      <c r="C1681" s="499"/>
      <c r="D1681" s="500"/>
      <c r="E1681" s="498"/>
      <c r="F1681" s="498"/>
      <c r="G1681" s="498"/>
      <c r="H1681" s="498"/>
      <c r="I1681" s="502"/>
    </row>
    <row r="1682" spans="1:9" ht="15.75">
      <c r="A1682" s="498"/>
      <c r="B1682" s="498"/>
      <c r="C1682" s="499"/>
      <c r="D1682" s="500"/>
      <c r="E1682" s="498"/>
      <c r="F1682" s="498"/>
      <c r="G1682" s="498"/>
      <c r="H1682" s="498"/>
      <c r="I1682" s="502"/>
    </row>
    <row r="1683" spans="1:9" ht="15.75">
      <c r="A1683" s="498"/>
      <c r="B1683" s="498"/>
      <c r="C1683" s="499"/>
      <c r="D1683" s="500"/>
      <c r="E1683" s="498"/>
      <c r="F1683" s="498"/>
      <c r="G1683" s="498"/>
      <c r="H1683" s="498"/>
      <c r="I1683" s="502"/>
    </row>
    <row r="1684" spans="1:9" ht="15.75">
      <c r="A1684" s="498"/>
      <c r="B1684" s="498"/>
      <c r="C1684" s="499"/>
      <c r="D1684" s="500"/>
      <c r="E1684" s="498"/>
      <c r="F1684" s="498"/>
      <c r="G1684" s="498"/>
      <c r="H1684" s="498"/>
      <c r="I1684" s="502"/>
    </row>
    <row r="1685" spans="1:9" ht="15.75">
      <c r="A1685" s="498"/>
      <c r="B1685" s="498"/>
      <c r="C1685" s="499"/>
      <c r="D1685" s="500"/>
      <c r="E1685" s="498"/>
      <c r="F1685" s="498"/>
      <c r="G1685" s="498"/>
      <c r="H1685" s="498"/>
      <c r="I1685" s="502"/>
    </row>
    <row r="1686" spans="1:9" ht="15.75">
      <c r="A1686" s="498"/>
      <c r="B1686" s="498"/>
      <c r="C1686" s="499"/>
      <c r="D1686" s="500"/>
      <c r="E1686" s="498"/>
      <c r="F1686" s="498"/>
      <c r="G1686" s="498"/>
      <c r="H1686" s="498"/>
      <c r="I1686" s="502"/>
    </row>
    <row r="1687" spans="1:9" ht="15.75">
      <c r="A1687" s="498"/>
      <c r="B1687" s="498"/>
      <c r="C1687" s="499"/>
      <c r="D1687" s="500"/>
      <c r="E1687" s="498"/>
      <c r="F1687" s="498"/>
      <c r="G1687" s="498"/>
      <c r="H1687" s="498"/>
      <c r="I1687" s="502"/>
    </row>
    <row r="1688" spans="1:9" ht="15.75">
      <c r="A1688" s="498"/>
      <c r="B1688" s="498"/>
      <c r="C1688" s="499"/>
      <c r="D1688" s="500"/>
      <c r="E1688" s="498"/>
      <c r="F1688" s="498"/>
      <c r="G1688" s="498"/>
      <c r="H1688" s="498"/>
      <c r="I1688" s="502"/>
    </row>
    <row r="1689" spans="1:9" ht="15.75">
      <c r="A1689" s="498"/>
      <c r="B1689" s="498"/>
      <c r="C1689" s="499"/>
      <c r="D1689" s="500"/>
      <c r="E1689" s="498"/>
      <c r="F1689" s="498"/>
      <c r="G1689" s="498"/>
      <c r="H1689" s="498"/>
      <c r="I1689" s="502"/>
    </row>
    <row r="1690" spans="1:9" ht="15.75">
      <c r="A1690" s="498"/>
      <c r="B1690" s="498"/>
      <c r="C1690" s="499"/>
      <c r="D1690" s="500"/>
      <c r="E1690" s="498"/>
      <c r="F1690" s="498"/>
      <c r="G1690" s="498"/>
      <c r="H1690" s="498"/>
      <c r="I1690" s="502"/>
    </row>
    <row r="1691" spans="1:9" ht="15.75">
      <c r="A1691" s="498"/>
      <c r="B1691" s="498"/>
      <c r="C1691" s="499"/>
      <c r="D1691" s="500"/>
      <c r="E1691" s="498"/>
      <c r="F1691" s="498"/>
      <c r="G1691" s="498"/>
      <c r="H1691" s="498"/>
      <c r="I1691" s="502"/>
    </row>
    <row r="1692" spans="1:9" ht="15.75">
      <c r="A1692" s="498"/>
      <c r="B1692" s="498"/>
      <c r="C1692" s="499"/>
      <c r="D1692" s="500"/>
      <c r="E1692" s="498"/>
      <c r="F1692" s="498"/>
      <c r="G1692" s="498"/>
      <c r="H1692" s="498"/>
      <c r="I1692" s="502"/>
    </row>
    <row r="1693" spans="1:9" ht="15.75">
      <c r="A1693" s="498"/>
      <c r="B1693" s="498"/>
      <c r="C1693" s="499"/>
      <c r="D1693" s="500"/>
      <c r="E1693" s="498"/>
      <c r="F1693" s="498"/>
      <c r="G1693" s="498"/>
      <c r="H1693" s="498"/>
      <c r="I1693" s="502"/>
    </row>
    <row r="1694" spans="1:9" ht="15.75">
      <c r="A1694" s="498"/>
      <c r="B1694" s="498"/>
      <c r="C1694" s="499"/>
      <c r="D1694" s="500"/>
      <c r="E1694" s="498"/>
      <c r="F1694" s="498"/>
      <c r="G1694" s="498"/>
      <c r="H1694" s="498"/>
      <c r="I1694" s="502"/>
    </row>
    <row r="1695" spans="1:9" ht="15.75">
      <c r="A1695" s="498"/>
      <c r="B1695" s="498"/>
      <c r="C1695" s="499"/>
      <c r="D1695" s="500"/>
      <c r="E1695" s="498"/>
      <c r="F1695" s="498"/>
      <c r="G1695" s="498"/>
      <c r="H1695" s="498"/>
      <c r="I1695" s="502"/>
    </row>
    <row r="1696" spans="1:9" ht="15.75">
      <c r="A1696" s="498"/>
      <c r="B1696" s="498"/>
      <c r="C1696" s="499"/>
      <c r="D1696" s="500"/>
      <c r="E1696" s="498"/>
      <c r="F1696" s="498"/>
      <c r="G1696" s="498"/>
      <c r="H1696" s="498"/>
      <c r="I1696" s="502"/>
    </row>
    <row r="1697" spans="1:9" ht="15.75">
      <c r="A1697" s="498"/>
      <c r="B1697" s="498"/>
      <c r="C1697" s="499"/>
      <c r="D1697" s="500"/>
      <c r="E1697" s="498"/>
      <c r="F1697" s="498"/>
      <c r="G1697" s="498"/>
      <c r="H1697" s="498"/>
      <c r="I1697" s="502"/>
    </row>
    <row r="1698" spans="1:9" ht="15.75">
      <c r="A1698" s="498"/>
      <c r="B1698" s="498"/>
      <c r="C1698" s="499"/>
      <c r="D1698" s="500"/>
      <c r="E1698" s="498"/>
      <c r="F1698" s="498"/>
      <c r="G1698" s="498"/>
      <c r="H1698" s="498"/>
      <c r="I1698" s="513"/>
    </row>
    <row r="1699" spans="1:9" ht="15.75">
      <c r="A1699" s="498"/>
      <c r="B1699" s="498"/>
      <c r="C1699" s="499"/>
      <c r="D1699" s="500"/>
      <c r="E1699" s="498"/>
      <c r="F1699" s="498"/>
      <c r="G1699" s="498"/>
      <c r="H1699" s="498"/>
      <c r="I1699" s="502"/>
    </row>
    <row r="1700" spans="1:9" ht="15.75">
      <c r="A1700" s="498"/>
      <c r="B1700" s="498"/>
      <c r="C1700" s="499"/>
      <c r="D1700" s="500"/>
      <c r="E1700" s="498"/>
      <c r="F1700" s="498"/>
      <c r="G1700" s="498"/>
      <c r="H1700" s="498"/>
      <c r="I1700" s="502"/>
    </row>
    <row r="1701" spans="1:9" ht="15.75">
      <c r="A1701" s="498"/>
      <c r="B1701" s="498"/>
      <c r="C1701" s="499"/>
      <c r="D1701" s="500"/>
      <c r="E1701" s="498"/>
      <c r="F1701" s="498"/>
      <c r="G1701" s="498"/>
      <c r="H1701" s="498"/>
      <c r="I1701" s="513"/>
    </row>
    <row r="1702" spans="1:9" ht="15.75">
      <c r="A1702" s="498"/>
      <c r="B1702" s="498"/>
      <c r="C1702" s="499"/>
      <c r="D1702" s="500"/>
      <c r="E1702" s="498"/>
      <c r="F1702" s="498"/>
      <c r="G1702" s="498"/>
      <c r="H1702" s="498"/>
      <c r="I1702" s="502"/>
    </row>
    <row r="1703" spans="1:9" ht="15.75">
      <c r="A1703" s="498"/>
      <c r="B1703" s="498"/>
      <c r="C1703" s="499"/>
      <c r="D1703" s="500"/>
      <c r="E1703" s="498"/>
      <c r="F1703" s="498"/>
      <c r="G1703" s="498"/>
      <c r="H1703" s="498"/>
      <c r="I1703" s="513"/>
    </row>
    <row r="1704" spans="1:9" ht="15.75">
      <c r="A1704" s="498"/>
      <c r="B1704" s="498"/>
      <c r="C1704" s="499"/>
      <c r="D1704" s="500"/>
      <c r="E1704" s="498"/>
      <c r="F1704" s="498"/>
      <c r="G1704" s="498"/>
      <c r="H1704" s="498"/>
      <c r="I1704" s="502"/>
    </row>
    <row r="1705" spans="1:9" ht="15.75">
      <c r="A1705" s="498"/>
      <c r="B1705" s="498"/>
      <c r="C1705" s="499"/>
      <c r="D1705" s="500"/>
      <c r="E1705" s="498"/>
      <c r="F1705" s="498"/>
      <c r="G1705" s="498"/>
      <c r="H1705" s="498"/>
      <c r="I1705" s="502"/>
    </row>
    <row r="1706" spans="1:9" ht="15.75">
      <c r="A1706" s="498"/>
      <c r="B1706" s="498"/>
      <c r="C1706" s="499"/>
      <c r="D1706" s="500"/>
      <c r="E1706" s="498"/>
      <c r="F1706" s="498"/>
      <c r="G1706" s="498"/>
      <c r="H1706" s="498"/>
      <c r="I1706" s="502"/>
    </row>
    <row r="1707" spans="1:9" ht="15.75">
      <c r="A1707" s="498"/>
      <c r="B1707" s="498"/>
      <c r="C1707" s="499"/>
      <c r="D1707" s="500"/>
      <c r="E1707" s="498"/>
      <c r="F1707" s="498"/>
      <c r="G1707" s="498"/>
      <c r="H1707" s="498"/>
      <c r="I1707" s="502"/>
    </row>
    <row r="1708" spans="1:9" ht="15.75">
      <c r="A1708" s="498"/>
      <c r="B1708" s="504"/>
      <c r="C1708" s="499"/>
      <c r="D1708" s="500"/>
      <c r="E1708" s="498"/>
      <c r="F1708" s="498"/>
      <c r="G1708" s="498"/>
      <c r="H1708" s="498"/>
      <c r="I1708" s="502"/>
    </row>
    <row r="1709" spans="1:9" ht="15.75">
      <c r="A1709" s="498"/>
      <c r="B1709" s="498"/>
      <c r="C1709" s="499"/>
      <c r="D1709" s="500"/>
      <c r="E1709" s="498"/>
      <c r="F1709" s="498"/>
      <c r="G1709" s="498"/>
      <c r="H1709" s="498"/>
      <c r="I1709" s="502"/>
    </row>
    <row r="1710" spans="1:9" ht="15.75">
      <c r="A1710" s="498"/>
      <c r="B1710" s="498"/>
      <c r="C1710" s="499"/>
      <c r="D1710" s="500"/>
      <c r="E1710" s="498"/>
      <c r="F1710" s="498"/>
      <c r="G1710" s="498"/>
      <c r="H1710" s="498"/>
      <c r="I1710" s="502"/>
    </row>
    <row r="1711" spans="1:9" ht="15.75">
      <c r="A1711" s="498"/>
      <c r="B1711" s="498"/>
      <c r="C1711" s="499"/>
      <c r="D1711" s="500"/>
      <c r="E1711" s="498"/>
      <c r="F1711" s="498"/>
      <c r="G1711" s="498"/>
      <c r="H1711" s="498"/>
      <c r="I1711" s="502"/>
    </row>
    <row r="1712" spans="1:9" ht="15.75">
      <c r="A1712" s="498"/>
      <c r="B1712" s="498"/>
      <c r="C1712" s="499"/>
      <c r="D1712" s="500"/>
      <c r="E1712" s="498"/>
      <c r="F1712" s="498"/>
      <c r="G1712" s="498"/>
      <c r="H1712" s="498"/>
      <c r="I1712" s="502"/>
    </row>
    <row r="1713" spans="1:9" ht="15.75">
      <c r="A1713" s="498"/>
      <c r="B1713" s="498"/>
      <c r="C1713" s="499"/>
      <c r="D1713" s="500"/>
      <c r="E1713" s="498"/>
      <c r="F1713" s="498"/>
      <c r="G1713" s="498"/>
      <c r="H1713" s="498"/>
      <c r="I1713" s="502"/>
    </row>
    <row r="1714" spans="1:9" ht="15.75">
      <c r="A1714" s="498"/>
      <c r="B1714" s="498"/>
      <c r="C1714" s="499"/>
      <c r="D1714" s="500"/>
      <c r="E1714" s="498"/>
      <c r="F1714" s="498"/>
      <c r="G1714" s="498"/>
      <c r="H1714" s="498"/>
      <c r="I1714" s="502"/>
    </row>
    <row r="1715" spans="1:9" ht="15.75">
      <c r="A1715" s="498"/>
      <c r="B1715" s="498"/>
      <c r="C1715" s="499"/>
      <c r="D1715" s="500"/>
      <c r="E1715" s="498"/>
      <c r="F1715" s="498"/>
      <c r="G1715" s="498"/>
      <c r="H1715" s="498"/>
      <c r="I1715" s="502"/>
    </row>
    <row r="1716" spans="1:9" ht="15.75">
      <c r="A1716" s="498"/>
      <c r="B1716" s="498"/>
      <c r="C1716" s="499"/>
      <c r="D1716" s="500"/>
      <c r="E1716" s="498"/>
      <c r="F1716" s="498"/>
      <c r="G1716" s="498"/>
      <c r="H1716" s="498"/>
      <c r="I1716" s="502"/>
    </row>
    <row r="1717" spans="1:9" ht="15.75">
      <c r="A1717" s="498"/>
      <c r="B1717" s="498"/>
      <c r="C1717" s="499"/>
      <c r="D1717" s="500"/>
      <c r="E1717" s="498"/>
      <c r="F1717" s="498"/>
      <c r="G1717" s="498"/>
      <c r="H1717" s="498"/>
      <c r="I1717" s="502"/>
    </row>
    <row r="1718" spans="1:9" ht="15.75">
      <c r="A1718" s="498"/>
      <c r="B1718" s="498"/>
      <c r="C1718" s="499"/>
      <c r="D1718" s="500"/>
      <c r="E1718" s="498"/>
      <c r="F1718" s="498"/>
      <c r="G1718" s="498"/>
      <c r="H1718" s="498"/>
      <c r="I1718" s="502"/>
    </row>
    <row r="1719" spans="1:9" ht="15.75">
      <c r="A1719" s="498"/>
      <c r="B1719" s="498"/>
      <c r="C1719" s="499"/>
      <c r="D1719" s="500"/>
      <c r="E1719" s="498"/>
      <c r="F1719" s="498"/>
      <c r="G1719" s="498"/>
      <c r="H1719" s="498"/>
      <c r="I1719" s="513"/>
    </row>
    <row r="1720" spans="1:9" ht="15.75">
      <c r="A1720" s="498"/>
      <c r="B1720" s="498"/>
      <c r="C1720" s="499"/>
      <c r="D1720" s="500"/>
      <c r="E1720" s="498"/>
      <c r="F1720" s="498"/>
      <c r="G1720" s="498"/>
      <c r="H1720" s="498"/>
      <c r="I1720" s="513"/>
    </row>
    <row r="1721" spans="1:9" ht="15.75">
      <c r="A1721" s="498"/>
      <c r="B1721" s="498"/>
      <c r="C1721" s="499"/>
      <c r="D1721" s="500"/>
      <c r="E1721" s="498"/>
      <c r="F1721" s="498"/>
      <c r="G1721" s="498"/>
      <c r="H1721" s="498"/>
      <c r="I1721" s="502"/>
    </row>
    <row r="1722" spans="1:9" ht="15.75">
      <c r="A1722" s="498"/>
      <c r="B1722" s="498"/>
      <c r="C1722" s="499"/>
      <c r="D1722" s="500"/>
      <c r="E1722" s="498"/>
      <c r="F1722" s="498"/>
      <c r="G1722" s="498"/>
      <c r="H1722" s="498"/>
      <c r="I1722" s="502"/>
    </row>
    <row r="1723" spans="1:9" ht="15.75">
      <c r="A1723" s="498"/>
      <c r="B1723" s="498"/>
      <c r="C1723" s="499"/>
      <c r="D1723" s="500"/>
      <c r="E1723" s="498"/>
      <c r="F1723" s="498"/>
      <c r="G1723" s="498"/>
      <c r="H1723" s="498"/>
      <c r="I1723" s="502"/>
    </row>
    <row r="1724" spans="1:9" ht="15.75">
      <c r="A1724" s="498"/>
      <c r="B1724" s="498"/>
      <c r="C1724" s="499"/>
      <c r="D1724" s="500"/>
      <c r="E1724" s="498"/>
      <c r="F1724" s="498"/>
      <c r="G1724" s="498"/>
      <c r="H1724" s="498"/>
      <c r="I1724" s="513"/>
    </row>
    <row r="1725" spans="1:9" ht="15.75">
      <c r="A1725" s="498"/>
      <c r="B1725" s="498"/>
      <c r="C1725" s="499"/>
      <c r="D1725" s="500"/>
      <c r="E1725" s="498"/>
      <c r="F1725" s="498"/>
      <c r="G1725" s="498"/>
      <c r="H1725" s="498"/>
      <c r="I1725" s="502"/>
    </row>
    <row r="1726" spans="1:9" ht="15.75">
      <c r="A1726" s="498"/>
      <c r="B1726" s="498"/>
      <c r="C1726" s="499"/>
      <c r="D1726" s="500"/>
      <c r="E1726" s="498"/>
      <c r="F1726" s="498"/>
      <c r="G1726" s="498"/>
      <c r="H1726" s="498"/>
      <c r="I1726" s="502"/>
    </row>
    <row r="1727" spans="1:9" ht="15.75">
      <c r="A1727" s="498"/>
      <c r="B1727" s="498"/>
      <c r="C1727" s="499"/>
      <c r="D1727" s="500"/>
      <c r="E1727" s="498"/>
      <c r="F1727" s="498"/>
      <c r="G1727" s="498"/>
      <c r="H1727" s="498"/>
      <c r="I1727" s="502"/>
    </row>
    <row r="1728" spans="1:9" ht="15.75">
      <c r="A1728" s="498"/>
      <c r="B1728" s="498"/>
      <c r="C1728" s="499"/>
      <c r="D1728" s="500"/>
      <c r="E1728" s="498"/>
      <c r="F1728" s="498"/>
      <c r="G1728" s="498"/>
      <c r="H1728" s="498"/>
      <c r="I1728" s="502"/>
    </row>
    <row r="1729" spans="1:9" ht="15.75">
      <c r="A1729" s="498"/>
      <c r="B1729" s="498"/>
      <c r="C1729" s="499"/>
      <c r="D1729" s="500"/>
      <c r="E1729" s="498"/>
      <c r="F1729" s="498"/>
      <c r="G1729" s="498"/>
      <c r="H1729" s="498"/>
      <c r="I1729" s="502"/>
    </row>
    <row r="1730" spans="1:9" ht="15.75">
      <c r="A1730" s="498"/>
      <c r="B1730" s="498"/>
      <c r="C1730" s="499"/>
      <c r="D1730" s="500"/>
      <c r="E1730" s="498"/>
      <c r="F1730" s="498"/>
      <c r="G1730" s="498"/>
      <c r="H1730" s="498"/>
      <c r="I1730" s="516"/>
    </row>
    <row r="1731" spans="1:9" ht="15.75">
      <c r="A1731" s="498"/>
      <c r="B1731" s="498"/>
      <c r="C1731" s="499"/>
      <c r="D1731" s="500"/>
      <c r="E1731" s="498"/>
      <c r="F1731" s="498"/>
      <c r="G1731" s="498"/>
      <c r="H1731" s="498"/>
      <c r="I1731" s="502"/>
    </row>
    <row r="1732" spans="1:9" ht="15.75">
      <c r="A1732" s="498"/>
      <c r="B1732" s="498"/>
      <c r="C1732" s="499"/>
      <c r="D1732" s="500"/>
      <c r="E1732" s="498"/>
      <c r="F1732" s="498"/>
      <c r="G1732" s="498"/>
      <c r="H1732" s="498"/>
      <c r="I1732" s="502"/>
    </row>
    <row r="1733" spans="1:9" ht="15.75">
      <c r="A1733" s="498"/>
      <c r="B1733" s="498"/>
      <c r="C1733" s="499"/>
      <c r="D1733" s="500"/>
      <c r="E1733" s="498"/>
      <c r="F1733" s="498"/>
      <c r="G1733" s="498"/>
      <c r="H1733" s="498"/>
      <c r="I1733" s="502"/>
    </row>
    <row r="1734" spans="1:9" ht="15.75">
      <c r="A1734" s="498"/>
      <c r="B1734" s="498"/>
      <c r="C1734" s="499"/>
      <c r="D1734" s="500"/>
      <c r="E1734" s="498"/>
      <c r="F1734" s="498"/>
      <c r="G1734" s="498"/>
      <c r="H1734" s="498"/>
      <c r="I1734" s="502"/>
    </row>
    <row r="1735" spans="1:9" ht="15.75">
      <c r="A1735" s="498"/>
      <c r="B1735" s="498"/>
      <c r="C1735" s="499"/>
      <c r="D1735" s="500"/>
      <c r="E1735" s="498"/>
      <c r="F1735" s="498"/>
      <c r="G1735" s="498"/>
      <c r="H1735" s="498"/>
      <c r="I1735" s="502"/>
    </row>
    <row r="1736" spans="1:9" ht="15.75">
      <c r="A1736" s="498"/>
      <c r="B1736" s="498"/>
      <c r="C1736" s="499"/>
      <c r="D1736" s="500"/>
      <c r="E1736" s="498"/>
      <c r="F1736" s="498"/>
      <c r="G1736" s="498"/>
      <c r="H1736" s="498"/>
      <c r="I1736" s="513"/>
    </row>
    <row r="1737" spans="1:9" ht="15.75">
      <c r="A1737" s="498"/>
      <c r="B1737" s="498"/>
      <c r="C1737" s="499"/>
      <c r="D1737" s="500"/>
      <c r="E1737" s="498"/>
      <c r="F1737" s="498"/>
      <c r="G1737" s="498"/>
      <c r="H1737" s="498"/>
      <c r="I1737" s="502"/>
    </row>
    <row r="1738" spans="1:9" ht="15.75">
      <c r="A1738" s="498"/>
      <c r="B1738" s="498"/>
      <c r="C1738" s="499"/>
      <c r="D1738" s="500"/>
      <c r="E1738" s="498"/>
      <c r="F1738" s="498"/>
      <c r="G1738" s="498"/>
      <c r="H1738" s="498"/>
      <c r="I1738" s="502"/>
    </row>
    <row r="1739" spans="1:9" ht="15.75">
      <c r="A1739" s="498"/>
      <c r="B1739" s="498"/>
      <c r="C1739" s="499"/>
      <c r="D1739" s="500"/>
      <c r="E1739" s="498"/>
      <c r="F1739" s="498"/>
      <c r="G1739" s="498"/>
      <c r="H1739" s="498"/>
      <c r="I1739" s="502"/>
    </row>
    <row r="1740" spans="1:9" ht="15.75">
      <c r="A1740" s="498"/>
      <c r="B1740" s="498"/>
      <c r="C1740" s="499"/>
      <c r="D1740" s="500"/>
      <c r="E1740" s="498"/>
      <c r="F1740" s="498"/>
      <c r="G1740" s="498"/>
      <c r="H1740" s="498"/>
      <c r="I1740" s="502"/>
    </row>
    <row r="1741" spans="1:9" ht="15.75">
      <c r="A1741" s="498"/>
      <c r="B1741" s="498"/>
      <c r="C1741" s="499"/>
      <c r="D1741" s="500"/>
      <c r="E1741" s="498"/>
      <c r="F1741" s="498"/>
      <c r="G1741" s="498"/>
      <c r="H1741" s="498"/>
      <c r="I1741" s="502"/>
    </row>
    <row r="1742" spans="1:9" ht="15.75">
      <c r="A1742" s="498"/>
      <c r="B1742" s="498"/>
      <c r="C1742" s="499"/>
      <c r="D1742" s="500"/>
      <c r="E1742" s="498"/>
      <c r="F1742" s="498"/>
      <c r="G1742" s="498"/>
      <c r="H1742" s="498"/>
      <c r="I1742" s="502"/>
    </row>
    <row r="1743" spans="1:9" ht="15.75">
      <c r="A1743" s="498"/>
      <c r="B1743" s="498"/>
      <c r="C1743" s="499"/>
      <c r="D1743" s="500"/>
      <c r="E1743" s="498"/>
      <c r="F1743" s="498"/>
      <c r="G1743" s="498"/>
      <c r="H1743" s="498"/>
      <c r="I1743" s="513"/>
    </row>
    <row r="1744" spans="1:9" ht="15.75">
      <c r="A1744" s="498"/>
      <c r="B1744" s="498"/>
      <c r="C1744" s="499"/>
      <c r="D1744" s="500"/>
      <c r="E1744" s="498"/>
      <c r="F1744" s="498"/>
      <c r="G1744" s="498"/>
      <c r="H1744" s="498"/>
      <c r="I1744" s="502"/>
    </row>
    <row r="1745" spans="1:9" ht="15.75">
      <c r="A1745" s="498"/>
      <c r="B1745" s="498"/>
      <c r="C1745" s="499"/>
      <c r="D1745" s="500"/>
      <c r="E1745" s="498"/>
      <c r="F1745" s="498"/>
      <c r="G1745" s="498"/>
      <c r="H1745" s="498"/>
      <c r="I1745" s="502"/>
    </row>
    <row r="1746" spans="1:9" ht="15.75">
      <c r="A1746" s="498"/>
      <c r="B1746" s="498"/>
      <c r="C1746" s="499"/>
      <c r="D1746" s="500"/>
      <c r="E1746" s="498"/>
      <c r="F1746" s="498"/>
      <c r="G1746" s="498"/>
      <c r="H1746" s="498"/>
      <c r="I1746" s="502"/>
    </row>
    <row r="1747" spans="1:9" ht="15.75">
      <c r="A1747" s="498"/>
      <c r="B1747" s="498"/>
      <c r="C1747" s="499"/>
      <c r="D1747" s="500"/>
      <c r="E1747" s="498"/>
      <c r="F1747" s="498"/>
      <c r="G1747" s="498"/>
      <c r="H1747" s="498"/>
      <c r="I1747" s="502"/>
    </row>
    <row r="1748" spans="1:9" ht="15.75">
      <c r="A1748" s="498"/>
      <c r="B1748" s="498"/>
      <c r="C1748" s="499"/>
      <c r="D1748" s="500"/>
      <c r="E1748" s="498"/>
      <c r="F1748" s="498"/>
      <c r="G1748" s="498"/>
      <c r="H1748" s="498"/>
      <c r="I1748" s="513"/>
    </row>
    <row r="1749" spans="1:9" ht="15.75">
      <c r="A1749" s="498"/>
      <c r="B1749" s="498"/>
      <c r="C1749" s="499"/>
      <c r="D1749" s="500"/>
      <c r="E1749" s="498"/>
      <c r="F1749" s="498"/>
      <c r="G1749" s="498"/>
      <c r="H1749" s="498"/>
      <c r="I1749" s="513"/>
    </row>
    <row r="1750" spans="1:9" ht="15.75">
      <c r="A1750" s="498"/>
      <c r="B1750" s="498"/>
      <c r="C1750" s="499"/>
      <c r="D1750" s="500"/>
      <c r="E1750" s="498"/>
      <c r="F1750" s="498"/>
      <c r="G1750" s="498"/>
      <c r="H1750" s="498"/>
      <c r="I1750" s="502"/>
    </row>
    <row r="1751" spans="1:9" ht="15.75">
      <c r="A1751" s="498"/>
      <c r="B1751" s="498"/>
      <c r="C1751" s="499"/>
      <c r="D1751" s="500"/>
      <c r="E1751" s="498"/>
      <c r="F1751" s="498"/>
      <c r="G1751" s="498"/>
      <c r="H1751" s="498"/>
      <c r="I1751" s="502"/>
    </row>
    <row r="1752" spans="1:9" ht="15.75">
      <c r="A1752" s="498"/>
      <c r="B1752" s="498"/>
      <c r="C1752" s="499"/>
      <c r="D1752" s="500"/>
      <c r="E1752" s="498"/>
      <c r="F1752" s="498"/>
      <c r="G1752" s="498"/>
      <c r="H1752" s="498"/>
      <c r="I1752" s="502"/>
    </row>
    <row r="1753" spans="1:9" ht="15.75">
      <c r="A1753" s="498"/>
      <c r="B1753" s="498"/>
      <c r="C1753" s="499"/>
      <c r="D1753" s="500"/>
      <c r="E1753" s="498"/>
      <c r="F1753" s="498"/>
      <c r="G1753" s="498"/>
      <c r="H1753" s="498"/>
      <c r="I1753" s="513"/>
    </row>
    <row r="1754" spans="1:9" ht="15.75">
      <c r="A1754" s="498"/>
      <c r="B1754" s="498"/>
      <c r="C1754" s="499"/>
      <c r="D1754" s="500"/>
      <c r="E1754" s="498"/>
      <c r="F1754" s="498"/>
      <c r="G1754" s="498"/>
      <c r="H1754" s="498"/>
      <c r="I1754" s="502"/>
    </row>
    <row r="1755" spans="1:9" ht="15.75">
      <c r="A1755" s="498"/>
      <c r="B1755" s="498"/>
      <c r="C1755" s="499"/>
      <c r="D1755" s="500"/>
      <c r="E1755" s="498"/>
      <c r="F1755" s="498"/>
      <c r="G1755" s="498"/>
      <c r="H1755" s="498"/>
      <c r="I1755" s="513"/>
    </row>
    <row r="1756" spans="1:9" ht="15.75">
      <c r="A1756" s="498"/>
      <c r="B1756" s="498"/>
      <c r="C1756" s="499"/>
      <c r="D1756" s="500"/>
      <c r="E1756" s="498"/>
      <c r="F1756" s="498"/>
      <c r="G1756" s="498"/>
      <c r="H1756" s="498"/>
      <c r="I1756" s="513"/>
    </row>
    <row r="1757" spans="1:9" ht="15.75">
      <c r="A1757" s="498"/>
      <c r="B1757" s="498"/>
      <c r="C1757" s="499"/>
      <c r="D1757" s="500"/>
      <c r="E1757" s="498"/>
      <c r="F1757" s="498"/>
      <c r="G1757" s="498"/>
      <c r="H1757" s="498"/>
      <c r="I1757" s="502"/>
    </row>
    <row r="1758" spans="1:9" ht="15.75">
      <c r="A1758" s="498"/>
      <c r="B1758" s="498"/>
      <c r="C1758" s="499"/>
      <c r="D1758" s="500"/>
      <c r="E1758" s="498"/>
      <c r="F1758" s="498"/>
      <c r="G1758" s="498"/>
      <c r="H1758" s="498"/>
      <c r="I1758" s="513"/>
    </row>
    <row r="1759" spans="1:9" ht="15.75">
      <c r="A1759" s="498"/>
      <c r="B1759" s="498"/>
      <c r="C1759" s="499"/>
      <c r="D1759" s="500"/>
      <c r="E1759" s="498"/>
      <c r="F1759" s="498"/>
      <c r="G1759" s="498"/>
      <c r="H1759" s="498"/>
      <c r="I1759" s="513"/>
    </row>
    <row r="1760" spans="1:9" ht="15.75">
      <c r="A1760" s="498"/>
      <c r="B1760" s="498"/>
      <c r="C1760" s="499"/>
      <c r="D1760" s="500"/>
      <c r="E1760" s="498"/>
      <c r="F1760" s="498"/>
      <c r="G1760" s="498"/>
      <c r="H1760" s="498"/>
      <c r="I1760" s="513"/>
    </row>
    <row r="1761" spans="1:9" ht="15.75">
      <c r="A1761" s="498"/>
      <c r="B1761" s="498"/>
      <c r="C1761" s="499"/>
      <c r="D1761" s="500"/>
      <c r="E1761" s="498"/>
      <c r="F1761" s="498"/>
      <c r="G1761" s="498"/>
      <c r="H1761" s="498"/>
      <c r="I1761" s="502"/>
    </row>
    <row r="1762" spans="1:9" ht="15.75">
      <c r="A1762" s="498"/>
      <c r="B1762" s="498"/>
      <c r="C1762" s="499"/>
      <c r="D1762" s="500"/>
      <c r="E1762" s="498"/>
      <c r="F1762" s="498"/>
      <c r="G1762" s="498"/>
      <c r="H1762" s="498"/>
      <c r="I1762" s="513"/>
    </row>
    <row r="1763" spans="1:9" ht="15.75">
      <c r="A1763" s="498"/>
      <c r="B1763" s="498"/>
      <c r="C1763" s="499"/>
      <c r="D1763" s="500"/>
      <c r="E1763" s="498"/>
      <c r="F1763" s="498"/>
      <c r="G1763" s="498"/>
      <c r="H1763" s="498"/>
      <c r="I1763" s="513"/>
    </row>
    <row r="1764" spans="1:9" ht="15.75">
      <c r="A1764" s="498"/>
      <c r="B1764" s="498"/>
      <c r="C1764" s="499"/>
      <c r="D1764" s="500"/>
      <c r="E1764" s="498"/>
      <c r="F1764" s="498"/>
      <c r="G1764" s="498"/>
      <c r="H1764" s="498"/>
      <c r="I1764" s="502"/>
    </row>
    <row r="1765" spans="1:9" ht="15.75">
      <c r="A1765" s="498"/>
      <c r="B1765" s="498"/>
      <c r="C1765" s="499"/>
      <c r="D1765" s="500"/>
      <c r="E1765" s="498"/>
      <c r="F1765" s="498"/>
      <c r="G1765" s="498"/>
      <c r="H1765" s="498"/>
      <c r="I1765" s="513"/>
    </row>
    <row r="1766" spans="1:9" ht="15.75">
      <c r="A1766" s="498"/>
      <c r="B1766" s="498"/>
      <c r="C1766" s="499"/>
      <c r="D1766" s="500"/>
      <c r="E1766" s="498"/>
      <c r="F1766" s="498"/>
      <c r="G1766" s="498"/>
      <c r="H1766" s="498"/>
      <c r="I1766" s="502"/>
    </row>
    <row r="1767" spans="1:9" ht="15.75">
      <c r="A1767" s="498"/>
      <c r="B1767" s="498"/>
      <c r="C1767" s="499"/>
      <c r="D1767" s="500"/>
      <c r="E1767" s="498"/>
      <c r="F1767" s="498"/>
      <c r="G1767" s="498"/>
      <c r="H1767" s="498"/>
      <c r="I1767" s="502"/>
    </row>
    <row r="1768" spans="1:9" ht="15.75">
      <c r="A1768" s="498"/>
      <c r="B1768" s="498"/>
      <c r="C1768" s="499"/>
      <c r="D1768" s="500"/>
      <c r="E1768" s="498"/>
      <c r="F1768" s="498"/>
      <c r="G1768" s="498"/>
      <c r="H1768" s="498"/>
      <c r="I1768" s="502"/>
    </row>
    <row r="1769" spans="1:9" ht="15.75">
      <c r="A1769" s="498"/>
      <c r="B1769" s="498"/>
      <c r="C1769" s="499"/>
      <c r="D1769" s="500"/>
      <c r="E1769" s="498"/>
      <c r="F1769" s="498"/>
      <c r="G1769" s="498"/>
      <c r="H1769" s="498"/>
      <c r="I1769" s="513"/>
    </row>
    <row r="1770" spans="1:9" ht="15.75">
      <c r="A1770" s="498"/>
      <c r="B1770" s="498"/>
      <c r="C1770" s="499"/>
      <c r="D1770" s="500"/>
      <c r="E1770" s="498"/>
      <c r="F1770" s="498"/>
      <c r="G1770" s="498"/>
      <c r="H1770" s="498"/>
      <c r="I1770" s="502"/>
    </row>
    <row r="1771" spans="1:9" ht="15.75">
      <c r="A1771" s="498"/>
      <c r="B1771" s="498"/>
      <c r="C1771" s="499"/>
      <c r="D1771" s="500"/>
      <c r="E1771" s="498"/>
      <c r="F1771" s="498"/>
      <c r="G1771" s="498"/>
      <c r="H1771" s="498"/>
      <c r="I1771" s="513"/>
    </row>
    <row r="1772" spans="1:9" ht="15.75">
      <c r="A1772" s="498"/>
      <c r="B1772" s="498"/>
      <c r="C1772" s="499"/>
      <c r="D1772" s="500"/>
      <c r="E1772" s="498"/>
      <c r="F1772" s="498"/>
      <c r="G1772" s="498"/>
      <c r="H1772" s="498"/>
      <c r="I1772" s="515"/>
    </row>
    <row r="1773" spans="1:9" ht="15.75">
      <c r="A1773" s="498"/>
      <c r="B1773" s="498"/>
      <c r="C1773" s="499"/>
      <c r="D1773" s="500"/>
      <c r="E1773" s="498"/>
      <c r="F1773" s="498"/>
      <c r="G1773" s="498"/>
      <c r="H1773" s="498"/>
      <c r="I1773" s="502"/>
    </row>
    <row r="1774" spans="1:9" ht="15.75">
      <c r="A1774" s="498"/>
      <c r="B1774" s="498"/>
      <c r="C1774" s="499"/>
      <c r="D1774" s="500"/>
      <c r="E1774" s="498"/>
      <c r="F1774" s="498"/>
      <c r="G1774" s="498"/>
      <c r="H1774" s="498"/>
      <c r="I1774" s="502"/>
    </row>
    <row r="1775" spans="1:9" ht="15.75">
      <c r="A1775" s="498"/>
      <c r="B1775" s="498"/>
      <c r="C1775" s="499"/>
      <c r="D1775" s="500"/>
      <c r="E1775" s="498"/>
      <c r="F1775" s="498"/>
      <c r="G1775" s="498"/>
      <c r="H1775" s="498"/>
      <c r="I1775" s="502"/>
    </row>
    <row r="1776" spans="1:9" ht="15.75">
      <c r="A1776" s="498"/>
      <c r="B1776" s="498"/>
      <c r="C1776" s="499"/>
      <c r="D1776" s="500"/>
      <c r="E1776" s="498"/>
      <c r="F1776" s="498"/>
      <c r="G1776" s="498"/>
      <c r="H1776" s="498"/>
      <c r="I1776" s="513"/>
    </row>
    <row r="1777" spans="1:9" ht="15.75">
      <c r="A1777" s="498"/>
      <c r="B1777" s="498"/>
      <c r="C1777" s="499"/>
      <c r="D1777" s="500"/>
      <c r="E1777" s="498"/>
      <c r="F1777" s="498"/>
      <c r="G1777" s="498"/>
      <c r="H1777" s="498"/>
      <c r="I1777" s="513"/>
    </row>
    <row r="1778" spans="1:9" ht="15.75">
      <c r="A1778" s="498"/>
      <c r="B1778" s="498"/>
      <c r="C1778" s="499"/>
      <c r="D1778" s="500"/>
      <c r="E1778" s="498"/>
      <c r="F1778" s="498"/>
      <c r="G1778" s="498"/>
      <c r="H1778" s="498"/>
      <c r="I1778" s="513"/>
    </row>
    <row r="1779" spans="1:9" ht="15.75">
      <c r="A1779" s="498"/>
      <c r="B1779" s="498"/>
      <c r="C1779" s="499"/>
      <c r="D1779" s="500"/>
      <c r="E1779" s="498"/>
      <c r="F1779" s="498"/>
      <c r="G1779" s="498"/>
      <c r="H1779" s="498"/>
      <c r="I1779" s="513"/>
    </row>
    <row r="1780" spans="1:9" ht="15.75">
      <c r="A1780" s="498"/>
      <c r="B1780" s="498"/>
      <c r="C1780" s="499"/>
      <c r="D1780" s="500"/>
      <c r="E1780" s="498"/>
      <c r="F1780" s="498"/>
      <c r="G1780" s="498"/>
      <c r="H1780" s="498"/>
      <c r="I1780" s="502"/>
    </row>
    <row r="1781" spans="1:9" ht="15.75">
      <c r="A1781" s="498"/>
      <c r="B1781" s="498"/>
      <c r="C1781" s="499"/>
      <c r="D1781" s="500"/>
      <c r="E1781" s="498"/>
      <c r="F1781" s="498"/>
      <c r="G1781" s="498"/>
      <c r="H1781" s="498"/>
      <c r="I1781" s="502"/>
    </row>
    <row r="1782" spans="1:9" ht="15.75">
      <c r="A1782" s="498"/>
      <c r="B1782" s="498"/>
      <c r="C1782" s="499"/>
      <c r="D1782" s="500"/>
      <c r="E1782" s="498"/>
      <c r="F1782" s="498"/>
      <c r="G1782" s="498"/>
      <c r="H1782" s="498"/>
      <c r="I1782" s="502"/>
    </row>
    <row r="1783" spans="1:9" ht="15.75">
      <c r="A1783" s="498"/>
      <c r="B1783" s="504"/>
      <c r="C1783" s="499"/>
      <c r="D1783" s="500"/>
      <c r="E1783" s="498"/>
      <c r="F1783" s="498"/>
      <c r="G1783" s="498"/>
      <c r="H1783" s="498"/>
      <c r="I1783" s="513"/>
    </row>
    <row r="1784" spans="1:9" ht="15.75">
      <c r="A1784" s="498"/>
      <c r="B1784" s="498"/>
      <c r="C1784" s="499"/>
      <c r="D1784" s="500"/>
      <c r="E1784" s="498"/>
      <c r="F1784" s="498"/>
      <c r="G1784" s="498"/>
      <c r="H1784" s="498"/>
      <c r="I1784" s="502"/>
    </row>
    <row r="1785" spans="1:9" ht="15.75">
      <c r="A1785" s="498"/>
      <c r="B1785" s="498"/>
      <c r="C1785" s="499"/>
      <c r="D1785" s="500"/>
      <c r="E1785" s="498"/>
      <c r="F1785" s="498"/>
      <c r="G1785" s="498"/>
      <c r="H1785" s="498"/>
      <c r="I1785" s="513"/>
    </row>
    <row r="1786" spans="1:9" ht="15.75">
      <c r="A1786" s="498"/>
      <c r="B1786" s="498"/>
      <c r="C1786" s="499"/>
      <c r="D1786" s="500"/>
      <c r="E1786" s="498"/>
      <c r="F1786" s="498"/>
      <c r="G1786" s="498"/>
      <c r="H1786" s="498"/>
      <c r="I1786" s="502"/>
    </row>
    <row r="1787" spans="1:9" ht="15.75">
      <c r="A1787" s="498"/>
      <c r="B1787" s="498"/>
      <c r="C1787" s="499"/>
      <c r="D1787" s="500"/>
      <c r="E1787" s="498"/>
      <c r="F1787" s="498"/>
      <c r="G1787" s="498"/>
      <c r="H1787" s="498"/>
      <c r="I1787" s="502"/>
    </row>
    <row r="1788" spans="1:9" ht="15.75">
      <c r="A1788" s="498"/>
      <c r="B1788" s="498"/>
      <c r="C1788" s="499"/>
      <c r="D1788" s="500"/>
      <c r="E1788" s="498"/>
      <c r="F1788" s="498"/>
      <c r="G1788" s="498"/>
      <c r="H1788" s="498"/>
      <c r="I1788" s="502"/>
    </row>
    <row r="1789" spans="1:9" ht="15.75">
      <c r="A1789" s="498"/>
      <c r="B1789" s="498"/>
      <c r="C1789" s="499"/>
      <c r="D1789" s="500"/>
      <c r="E1789" s="498"/>
      <c r="F1789" s="498"/>
      <c r="G1789" s="498"/>
      <c r="H1789" s="498"/>
      <c r="I1789" s="502"/>
    </row>
    <row r="1790" spans="1:9" ht="15.75">
      <c r="A1790" s="498"/>
      <c r="B1790" s="498"/>
      <c r="C1790" s="499"/>
      <c r="D1790" s="500"/>
      <c r="E1790" s="498"/>
      <c r="F1790" s="498"/>
      <c r="G1790" s="498"/>
      <c r="H1790" s="498"/>
      <c r="I1790" s="502"/>
    </row>
    <row r="1791" spans="1:9" ht="15.75">
      <c r="A1791" s="498"/>
      <c r="B1791" s="498"/>
      <c r="C1791" s="499"/>
      <c r="D1791" s="500"/>
      <c r="E1791" s="498"/>
      <c r="F1791" s="498"/>
      <c r="G1791" s="498"/>
      <c r="H1791" s="498"/>
      <c r="I1791" s="513"/>
    </row>
    <row r="1792" spans="1:9" ht="15.75">
      <c r="A1792" s="498"/>
      <c r="B1792" s="498"/>
      <c r="C1792" s="499"/>
      <c r="D1792" s="500"/>
      <c r="E1792" s="498"/>
      <c r="F1792" s="498"/>
      <c r="G1792" s="498"/>
      <c r="H1792" s="498"/>
      <c r="I1792" s="502"/>
    </row>
    <row r="1793" spans="1:9" ht="15.75">
      <c r="A1793" s="498"/>
      <c r="B1793" s="498"/>
      <c r="C1793" s="499"/>
      <c r="D1793" s="500"/>
      <c r="E1793" s="498"/>
      <c r="F1793" s="498"/>
      <c r="G1793" s="498"/>
      <c r="H1793" s="498"/>
      <c r="I1793" s="502"/>
    </row>
    <row r="1794" spans="1:9" ht="15.75">
      <c r="A1794" s="498"/>
      <c r="B1794" s="498"/>
      <c r="C1794" s="499"/>
      <c r="D1794" s="500"/>
      <c r="E1794" s="498"/>
      <c r="F1794" s="498"/>
      <c r="G1794" s="498"/>
      <c r="H1794" s="498"/>
      <c r="I1794" s="502"/>
    </row>
    <row r="1795" spans="1:9" ht="15.75">
      <c r="A1795" s="498"/>
      <c r="B1795" s="498"/>
      <c r="C1795" s="499"/>
      <c r="D1795" s="500"/>
      <c r="E1795" s="498"/>
      <c r="F1795" s="498"/>
      <c r="G1795" s="498"/>
      <c r="H1795" s="498"/>
      <c r="I1795" s="502"/>
    </row>
    <row r="1796" spans="1:9" ht="15.75">
      <c r="A1796" s="498"/>
      <c r="B1796" s="498"/>
      <c r="C1796" s="499"/>
      <c r="D1796" s="500"/>
      <c r="E1796" s="498"/>
      <c r="F1796" s="498"/>
      <c r="G1796" s="498"/>
      <c r="H1796" s="498"/>
      <c r="I1796" s="502"/>
    </row>
    <row r="1797" spans="1:9" ht="15.75">
      <c r="A1797" s="498"/>
      <c r="B1797" s="498"/>
      <c r="C1797" s="499"/>
      <c r="D1797" s="500"/>
      <c r="E1797" s="498"/>
      <c r="F1797" s="498"/>
      <c r="G1797" s="498"/>
      <c r="H1797" s="498"/>
      <c r="I1797" s="513"/>
    </row>
    <row r="1798" spans="1:9" ht="15.75">
      <c r="A1798" s="498"/>
      <c r="B1798" s="498"/>
      <c r="C1798" s="499"/>
      <c r="D1798" s="500"/>
      <c r="E1798" s="498"/>
      <c r="F1798" s="498"/>
      <c r="G1798" s="498"/>
      <c r="H1798" s="498"/>
      <c r="I1798" s="502"/>
    </row>
    <row r="1799" spans="1:9" ht="15.75">
      <c r="A1799" s="498"/>
      <c r="B1799" s="498"/>
      <c r="C1799" s="499"/>
      <c r="D1799" s="500"/>
      <c r="E1799" s="498"/>
      <c r="F1799" s="498"/>
      <c r="G1799" s="498"/>
      <c r="H1799" s="498"/>
      <c r="I1799" s="516"/>
    </row>
    <row r="1800" spans="1:9" ht="15.75">
      <c r="A1800" s="498"/>
      <c r="B1800" s="498"/>
      <c r="C1800" s="499"/>
      <c r="D1800" s="500"/>
      <c r="E1800" s="498"/>
      <c r="F1800" s="498"/>
      <c r="G1800" s="498"/>
      <c r="H1800" s="498"/>
      <c r="I1800" s="513"/>
    </row>
    <row r="1801" spans="1:9" ht="15.75">
      <c r="A1801" s="498"/>
      <c r="B1801" s="498"/>
      <c r="C1801" s="499"/>
      <c r="D1801" s="500"/>
      <c r="E1801" s="498"/>
      <c r="F1801" s="498"/>
      <c r="G1801" s="498"/>
      <c r="H1801" s="498"/>
      <c r="I1801" s="502"/>
    </row>
    <row r="1802" spans="1:9" ht="15.75">
      <c r="A1802" s="498"/>
      <c r="B1802" s="498"/>
      <c r="C1802" s="499"/>
      <c r="D1802" s="500"/>
      <c r="E1802" s="498"/>
      <c r="F1802" s="498"/>
      <c r="G1802" s="498"/>
      <c r="H1802" s="498"/>
      <c r="I1802" s="502"/>
    </row>
    <row r="1803" spans="1:9" ht="15.75">
      <c r="A1803" s="498"/>
      <c r="B1803" s="498"/>
      <c r="C1803" s="499"/>
      <c r="D1803" s="500"/>
      <c r="E1803" s="498"/>
      <c r="F1803" s="498"/>
      <c r="G1803" s="498"/>
      <c r="H1803" s="498"/>
      <c r="I1803" s="502"/>
    </row>
    <row r="1804" spans="1:9" ht="15.75">
      <c r="A1804" s="498"/>
      <c r="B1804" s="498"/>
      <c r="C1804" s="499"/>
      <c r="D1804" s="500"/>
      <c r="E1804" s="498"/>
      <c r="F1804" s="498"/>
      <c r="G1804" s="498"/>
      <c r="H1804" s="498"/>
      <c r="I1804" s="502"/>
    </row>
    <row r="1805" spans="1:9" ht="15.75">
      <c r="A1805" s="498"/>
      <c r="B1805" s="498"/>
      <c r="C1805" s="499"/>
      <c r="D1805" s="500"/>
      <c r="E1805" s="498"/>
      <c r="F1805" s="498"/>
      <c r="G1805" s="498"/>
      <c r="H1805" s="498"/>
      <c r="I1805" s="502"/>
    </row>
    <row r="1806" spans="1:9" ht="15.75">
      <c r="A1806" s="498"/>
      <c r="B1806" s="498"/>
      <c r="C1806" s="499"/>
      <c r="D1806" s="500"/>
      <c r="E1806" s="498"/>
      <c r="F1806" s="498"/>
      <c r="G1806" s="498"/>
      <c r="H1806" s="498"/>
      <c r="I1806" s="502"/>
    </row>
    <row r="1807" spans="1:9" ht="15.75">
      <c r="A1807" s="498"/>
      <c r="B1807" s="498"/>
      <c r="C1807" s="499"/>
      <c r="D1807" s="500"/>
      <c r="E1807" s="498"/>
      <c r="F1807" s="498"/>
      <c r="G1807" s="498"/>
      <c r="H1807" s="498"/>
      <c r="I1807" s="502"/>
    </row>
    <row r="1808" spans="1:9" ht="15.75">
      <c r="A1808" s="498"/>
      <c r="B1808" s="498"/>
      <c r="C1808" s="499"/>
      <c r="D1808" s="500"/>
      <c r="E1808" s="498"/>
      <c r="F1808" s="498"/>
      <c r="G1808" s="498"/>
      <c r="H1808" s="498"/>
      <c r="I1808" s="502"/>
    </row>
    <row r="1809" spans="1:10" ht="15.75">
      <c r="A1809" s="498"/>
      <c r="B1809" s="498"/>
      <c r="C1809" s="499"/>
      <c r="D1809" s="500"/>
      <c r="E1809" s="498"/>
      <c r="F1809" s="498"/>
      <c r="G1809" s="498"/>
      <c r="H1809" s="498"/>
      <c r="I1809" s="502"/>
    </row>
    <row r="1810" spans="1:10" ht="15.75">
      <c r="A1810" s="498"/>
      <c r="B1810" s="498"/>
      <c r="C1810" s="499"/>
      <c r="D1810" s="500"/>
      <c r="E1810" s="498"/>
      <c r="F1810" s="498"/>
      <c r="G1810" s="498"/>
      <c r="H1810" s="498"/>
      <c r="I1810" s="502"/>
    </row>
    <row r="1811" spans="1:10" ht="15.75">
      <c r="A1811" s="498"/>
      <c r="B1811" s="498"/>
      <c r="C1811" s="499"/>
      <c r="D1811" s="500"/>
      <c r="E1811" s="498"/>
      <c r="F1811" s="498"/>
      <c r="G1811" s="498"/>
      <c r="H1811" s="498"/>
      <c r="I1811" s="502"/>
    </row>
    <row r="1812" spans="1:10" ht="15.75">
      <c r="A1812" s="498"/>
      <c r="B1812" s="498"/>
      <c r="C1812" s="499"/>
      <c r="D1812" s="500"/>
      <c r="E1812" s="498"/>
      <c r="F1812" s="498"/>
      <c r="G1812" s="498"/>
      <c r="H1812" s="498"/>
      <c r="I1812" s="513"/>
    </row>
    <row r="1813" spans="1:10" ht="15.75">
      <c r="A1813" s="498"/>
      <c r="B1813" s="498"/>
      <c r="C1813" s="499"/>
      <c r="D1813" s="500"/>
      <c r="E1813" s="498"/>
      <c r="F1813" s="498"/>
      <c r="G1813" s="498"/>
      <c r="H1813" s="498"/>
      <c r="I1813" s="513"/>
    </row>
    <row r="1814" spans="1:10" ht="15.75">
      <c r="A1814" s="498"/>
      <c r="B1814" s="498"/>
      <c r="C1814" s="499"/>
      <c r="D1814" s="500"/>
      <c r="E1814" s="498"/>
      <c r="F1814" s="498"/>
      <c r="G1814" s="498"/>
      <c r="H1814" s="498"/>
      <c r="I1814" s="502"/>
    </row>
    <row r="1815" spans="1:10" ht="15.75">
      <c r="A1815" s="498"/>
      <c r="B1815" s="498"/>
      <c r="C1815" s="499"/>
      <c r="D1815" s="500"/>
      <c r="E1815" s="498"/>
      <c r="F1815" s="498"/>
      <c r="G1815" s="498"/>
      <c r="H1815" s="498"/>
      <c r="I1815" s="502"/>
    </row>
    <row r="1816" spans="1:10" ht="15.75">
      <c r="A1816" s="498"/>
      <c r="B1816" s="498"/>
      <c r="C1816" s="499"/>
      <c r="D1816" s="500"/>
      <c r="E1816" s="498"/>
      <c r="F1816" s="498"/>
      <c r="G1816" s="498"/>
      <c r="H1816" s="498"/>
      <c r="I1816" s="502"/>
    </row>
    <row r="1817" spans="1:10" ht="15.75">
      <c r="A1817" s="498"/>
      <c r="B1817" s="498"/>
      <c r="C1817" s="499"/>
      <c r="D1817" s="500"/>
      <c r="E1817" s="498"/>
      <c r="F1817" s="498"/>
      <c r="G1817" s="498"/>
      <c r="H1817" s="498"/>
      <c r="I1817" s="502"/>
    </row>
    <row r="1818" spans="1:10" ht="15.75">
      <c r="A1818" s="498"/>
      <c r="B1818" s="498"/>
      <c r="C1818" s="499"/>
      <c r="D1818" s="500"/>
      <c r="E1818" s="498"/>
      <c r="F1818" s="498"/>
      <c r="G1818" s="498"/>
      <c r="H1818" s="498"/>
      <c r="I1818" s="502"/>
    </row>
    <row r="1819" spans="1:10" ht="15.75">
      <c r="A1819" s="230"/>
      <c r="B1819" s="230"/>
      <c r="C1819" s="231"/>
      <c r="D1819" s="232"/>
      <c r="E1819" s="230"/>
      <c r="F1819" s="230"/>
      <c r="G1819" s="230"/>
      <c r="H1819" s="230"/>
      <c r="I1819" s="233"/>
      <c r="J1819" s="229" t="str">
        <f t="shared" ref="J1819:J1858" si="15">LEFT(F1819,2)</f>
        <v/>
      </c>
    </row>
    <row r="1820" spans="1:10" ht="15.75">
      <c r="A1820" s="230"/>
      <c r="B1820" s="230"/>
      <c r="C1820" s="231"/>
      <c r="D1820" s="232"/>
      <c r="E1820" s="230"/>
      <c r="F1820" s="230"/>
      <c r="G1820" s="230"/>
      <c r="H1820" s="230"/>
      <c r="I1820" s="492"/>
      <c r="J1820" s="229" t="str">
        <f t="shared" si="15"/>
        <v/>
      </c>
    </row>
    <row r="1821" spans="1:10" ht="15.75">
      <c r="A1821" s="230"/>
      <c r="B1821" s="230"/>
      <c r="C1821" s="231"/>
      <c r="D1821" s="232"/>
      <c r="E1821" s="230"/>
      <c r="F1821" s="230"/>
      <c r="G1821" s="230"/>
      <c r="H1821" s="230"/>
      <c r="I1821" s="233"/>
      <c r="J1821" s="229" t="str">
        <f t="shared" si="15"/>
        <v/>
      </c>
    </row>
    <row r="1822" spans="1:10" ht="15.75">
      <c r="A1822" s="230"/>
      <c r="B1822" s="230"/>
      <c r="C1822" s="231"/>
      <c r="D1822" s="232"/>
      <c r="E1822" s="230"/>
      <c r="F1822" s="230"/>
      <c r="G1822" s="230"/>
      <c r="H1822" s="230"/>
      <c r="I1822" s="233"/>
      <c r="J1822" s="229" t="str">
        <f t="shared" si="15"/>
        <v/>
      </c>
    </row>
    <row r="1823" spans="1:10" ht="15.75">
      <c r="A1823" s="230"/>
      <c r="B1823" s="230"/>
      <c r="C1823" s="231"/>
      <c r="D1823" s="232"/>
      <c r="E1823" s="230"/>
      <c r="F1823" s="230"/>
      <c r="G1823" s="230"/>
      <c r="H1823" s="230"/>
      <c r="I1823" s="233"/>
      <c r="J1823" s="229" t="str">
        <f t="shared" si="15"/>
        <v/>
      </c>
    </row>
    <row r="1824" spans="1:10" ht="15.75">
      <c r="A1824" s="230"/>
      <c r="B1824" s="230"/>
      <c r="C1824" s="231"/>
      <c r="D1824" s="232"/>
      <c r="E1824" s="230"/>
      <c r="F1824" s="230"/>
      <c r="G1824" s="230"/>
      <c r="H1824" s="230"/>
      <c r="I1824" s="492"/>
      <c r="J1824" s="229" t="str">
        <f t="shared" si="15"/>
        <v/>
      </c>
    </row>
    <row r="1825" spans="1:10" ht="15.75">
      <c r="A1825" s="230"/>
      <c r="B1825" s="230"/>
      <c r="C1825" s="231"/>
      <c r="D1825" s="232"/>
      <c r="E1825" s="230"/>
      <c r="F1825" s="230"/>
      <c r="G1825" s="230"/>
      <c r="H1825" s="230"/>
      <c r="I1825" s="233"/>
      <c r="J1825" s="229" t="str">
        <f t="shared" si="15"/>
        <v/>
      </c>
    </row>
    <row r="1826" spans="1:10" ht="15.75">
      <c r="A1826" s="230"/>
      <c r="B1826" s="230"/>
      <c r="C1826" s="231"/>
      <c r="D1826" s="232"/>
      <c r="E1826" s="230"/>
      <c r="F1826" s="230"/>
      <c r="G1826" s="230"/>
      <c r="H1826" s="230"/>
      <c r="I1826" s="492"/>
      <c r="J1826" s="229" t="str">
        <f t="shared" si="15"/>
        <v/>
      </c>
    </row>
    <row r="1827" spans="1:10" ht="15.75">
      <c r="A1827" s="230"/>
      <c r="B1827" s="230"/>
      <c r="C1827" s="231"/>
      <c r="D1827" s="232"/>
      <c r="E1827" s="230"/>
      <c r="F1827" s="230"/>
      <c r="G1827" s="230"/>
      <c r="H1827" s="230"/>
      <c r="I1827" s="233"/>
      <c r="J1827" s="229" t="str">
        <f t="shared" si="15"/>
        <v/>
      </c>
    </row>
    <row r="1828" spans="1:10" ht="15.75">
      <c r="A1828" s="230"/>
      <c r="B1828" s="230"/>
      <c r="C1828" s="231"/>
      <c r="D1828" s="232"/>
      <c r="E1828" s="230"/>
      <c r="F1828" s="230"/>
      <c r="G1828" s="230"/>
      <c r="H1828" s="230"/>
      <c r="I1828" s="233"/>
      <c r="J1828" s="229" t="str">
        <f t="shared" si="15"/>
        <v/>
      </c>
    </row>
    <row r="1829" spans="1:10" ht="15.75">
      <c r="A1829" s="230"/>
      <c r="B1829" s="230"/>
      <c r="C1829" s="231"/>
      <c r="D1829" s="232"/>
      <c r="E1829" s="230"/>
      <c r="F1829" s="230"/>
      <c r="G1829" s="230"/>
      <c r="H1829" s="230"/>
      <c r="I1829" s="233"/>
      <c r="J1829" s="229" t="str">
        <f t="shared" si="15"/>
        <v/>
      </c>
    </row>
    <row r="1830" spans="1:10" ht="15.75">
      <c r="A1830" s="230"/>
      <c r="B1830" s="230"/>
      <c r="C1830" s="231"/>
      <c r="D1830" s="232"/>
      <c r="E1830" s="230"/>
      <c r="F1830" s="230"/>
      <c r="G1830" s="230"/>
      <c r="H1830" s="230"/>
      <c r="I1830" s="233"/>
      <c r="J1830" s="229" t="str">
        <f t="shared" si="15"/>
        <v/>
      </c>
    </row>
    <row r="1831" spans="1:10" ht="15.75">
      <c r="A1831" s="230"/>
      <c r="B1831" s="230"/>
      <c r="C1831" s="231"/>
      <c r="D1831" s="232"/>
      <c r="E1831" s="230"/>
      <c r="F1831" s="230"/>
      <c r="G1831" s="230"/>
      <c r="H1831" s="230"/>
      <c r="I1831" s="492"/>
      <c r="J1831" s="229" t="str">
        <f t="shared" si="15"/>
        <v/>
      </c>
    </row>
    <row r="1832" spans="1:10" ht="15.75">
      <c r="A1832" s="230"/>
      <c r="B1832" s="230"/>
      <c r="C1832" s="231"/>
      <c r="D1832" s="232"/>
      <c r="E1832" s="230"/>
      <c r="F1832" s="230"/>
      <c r="G1832" s="230"/>
      <c r="H1832" s="230"/>
      <c r="I1832" s="492"/>
      <c r="J1832" s="229" t="str">
        <f t="shared" si="15"/>
        <v/>
      </c>
    </row>
    <row r="1833" spans="1:10" ht="15.75">
      <c r="A1833" s="230"/>
      <c r="B1833" s="230"/>
      <c r="C1833" s="231"/>
      <c r="D1833" s="232"/>
      <c r="E1833" s="230"/>
      <c r="F1833" s="230"/>
      <c r="G1833" s="230"/>
      <c r="H1833" s="230"/>
      <c r="I1833" s="492"/>
      <c r="J1833" s="229" t="str">
        <f t="shared" si="15"/>
        <v/>
      </c>
    </row>
    <row r="1834" spans="1:10" ht="15.75">
      <c r="A1834" s="230"/>
      <c r="B1834" s="230"/>
      <c r="C1834" s="231"/>
      <c r="D1834" s="232"/>
      <c r="E1834" s="230"/>
      <c r="F1834" s="230"/>
      <c r="G1834" s="230"/>
      <c r="H1834" s="230"/>
      <c r="I1834" s="492"/>
      <c r="J1834" s="229" t="str">
        <f t="shared" si="15"/>
        <v/>
      </c>
    </row>
    <row r="1835" spans="1:10" ht="15.75">
      <c r="A1835" s="230"/>
      <c r="B1835" s="230"/>
      <c r="C1835" s="231"/>
      <c r="D1835" s="232"/>
      <c r="E1835" s="230"/>
      <c r="F1835" s="230"/>
      <c r="G1835" s="230"/>
      <c r="H1835" s="230"/>
      <c r="I1835" s="233"/>
      <c r="J1835" s="229" t="str">
        <f t="shared" si="15"/>
        <v/>
      </c>
    </row>
    <row r="1836" spans="1:10" ht="15.75">
      <c r="A1836" s="230"/>
      <c r="B1836" s="230"/>
      <c r="C1836" s="231"/>
      <c r="D1836" s="232"/>
      <c r="E1836" s="230"/>
      <c r="F1836" s="230"/>
      <c r="G1836" s="230"/>
      <c r="H1836" s="230"/>
      <c r="I1836" s="233"/>
      <c r="J1836" s="229" t="str">
        <f t="shared" si="15"/>
        <v/>
      </c>
    </row>
    <row r="1837" spans="1:10" ht="15.75">
      <c r="A1837" s="230"/>
      <c r="B1837" s="230"/>
      <c r="C1837" s="231"/>
      <c r="D1837" s="232"/>
      <c r="E1837" s="230"/>
      <c r="F1837" s="230"/>
      <c r="G1837" s="230"/>
      <c r="H1837" s="230"/>
      <c r="I1837" s="233"/>
      <c r="J1837" s="229" t="str">
        <f t="shared" si="15"/>
        <v/>
      </c>
    </row>
    <row r="1838" spans="1:10" ht="15.75">
      <c r="A1838" s="230"/>
      <c r="B1838" s="506"/>
      <c r="C1838" s="231"/>
      <c r="D1838" s="232"/>
      <c r="E1838" s="230"/>
      <c r="F1838" s="230"/>
      <c r="G1838" s="230"/>
      <c r="H1838" s="230"/>
      <c r="I1838" s="492"/>
      <c r="J1838" s="229" t="str">
        <f t="shared" si="15"/>
        <v/>
      </c>
    </row>
    <row r="1839" spans="1:10" ht="15.75">
      <c r="A1839" s="230"/>
      <c r="B1839" s="230"/>
      <c r="C1839" s="231"/>
      <c r="D1839" s="232"/>
      <c r="E1839" s="230"/>
      <c r="F1839" s="230"/>
      <c r="G1839" s="230"/>
      <c r="H1839" s="230"/>
      <c r="I1839" s="233"/>
      <c r="J1839" s="229" t="str">
        <f t="shared" si="15"/>
        <v/>
      </c>
    </row>
    <row r="1840" spans="1:10" ht="15.75">
      <c r="A1840" s="230"/>
      <c r="B1840" s="230"/>
      <c r="C1840" s="231"/>
      <c r="D1840" s="232"/>
      <c r="E1840" s="230"/>
      <c r="F1840" s="230"/>
      <c r="G1840" s="230"/>
      <c r="H1840" s="230"/>
      <c r="I1840" s="493"/>
      <c r="J1840" s="229" t="str">
        <f t="shared" si="15"/>
        <v/>
      </c>
    </row>
    <row r="1841" spans="1:10" ht="15.75">
      <c r="A1841" s="230"/>
      <c r="B1841" s="230"/>
      <c r="C1841" s="231"/>
      <c r="D1841" s="232"/>
      <c r="E1841" s="230"/>
      <c r="F1841" s="230"/>
      <c r="G1841" s="230"/>
      <c r="H1841" s="230"/>
      <c r="I1841" s="492"/>
      <c r="J1841" s="229" t="str">
        <f t="shared" si="15"/>
        <v/>
      </c>
    </row>
    <row r="1842" spans="1:10" ht="15.75">
      <c r="A1842" s="230"/>
      <c r="B1842" s="230"/>
      <c r="C1842" s="231"/>
      <c r="D1842" s="232"/>
      <c r="E1842" s="230"/>
      <c r="F1842" s="230"/>
      <c r="G1842" s="230"/>
      <c r="H1842" s="230"/>
      <c r="I1842" s="233"/>
      <c r="J1842" s="229" t="str">
        <f t="shared" si="15"/>
        <v/>
      </c>
    </row>
    <row r="1843" spans="1:10" ht="15.75">
      <c r="A1843" s="230"/>
      <c r="B1843" s="230"/>
      <c r="C1843" s="231"/>
      <c r="D1843" s="232"/>
      <c r="E1843" s="230"/>
      <c r="F1843" s="230"/>
      <c r="G1843" s="230"/>
      <c r="H1843" s="230"/>
      <c r="I1843" s="233"/>
      <c r="J1843" s="229" t="str">
        <f t="shared" si="15"/>
        <v/>
      </c>
    </row>
    <row r="1844" spans="1:10" ht="15.75">
      <c r="A1844" s="230"/>
      <c r="B1844" s="230"/>
      <c r="C1844" s="231"/>
      <c r="D1844" s="232"/>
      <c r="E1844" s="230"/>
      <c r="F1844" s="230"/>
      <c r="G1844" s="230"/>
      <c r="H1844" s="230"/>
      <c r="I1844" s="233"/>
      <c r="J1844" s="229" t="str">
        <f t="shared" si="15"/>
        <v/>
      </c>
    </row>
    <row r="1845" spans="1:10" ht="15.75">
      <c r="A1845" s="230"/>
      <c r="B1845" s="230"/>
      <c r="C1845" s="231"/>
      <c r="D1845" s="232"/>
      <c r="E1845" s="230"/>
      <c r="F1845" s="230"/>
      <c r="G1845" s="230"/>
      <c r="H1845" s="230"/>
      <c r="I1845" s="233"/>
      <c r="J1845" s="229" t="str">
        <f t="shared" si="15"/>
        <v/>
      </c>
    </row>
    <row r="1846" spans="1:10" ht="15.75">
      <c r="A1846" s="230"/>
      <c r="B1846" s="230"/>
      <c r="C1846" s="231"/>
      <c r="D1846" s="232"/>
      <c r="E1846" s="230"/>
      <c r="F1846" s="230"/>
      <c r="G1846" s="230"/>
      <c r="H1846" s="230"/>
      <c r="I1846" s="233"/>
      <c r="J1846" s="229" t="str">
        <f t="shared" si="15"/>
        <v/>
      </c>
    </row>
    <row r="1847" spans="1:10" ht="15.75">
      <c r="A1847" s="230"/>
      <c r="B1847" s="230"/>
      <c r="C1847" s="231"/>
      <c r="D1847" s="232"/>
      <c r="E1847" s="230"/>
      <c r="F1847" s="230"/>
      <c r="G1847" s="230"/>
      <c r="H1847" s="230"/>
      <c r="I1847" s="233"/>
      <c r="J1847" s="229" t="str">
        <f t="shared" si="15"/>
        <v/>
      </c>
    </row>
    <row r="1848" spans="1:10" ht="15.75">
      <c r="A1848" s="230"/>
      <c r="B1848" s="230"/>
      <c r="C1848" s="231"/>
      <c r="D1848" s="232"/>
      <c r="E1848" s="230"/>
      <c r="F1848" s="230"/>
      <c r="G1848" s="230"/>
      <c r="H1848" s="230"/>
      <c r="I1848" s="492"/>
      <c r="J1848" s="229" t="str">
        <f t="shared" si="15"/>
        <v/>
      </c>
    </row>
    <row r="1849" spans="1:10" ht="15.75">
      <c r="A1849" s="230"/>
      <c r="B1849" s="230"/>
      <c r="C1849" s="231"/>
      <c r="D1849" s="232"/>
      <c r="E1849" s="230"/>
      <c r="F1849" s="230"/>
      <c r="G1849" s="230"/>
      <c r="H1849" s="230"/>
      <c r="I1849" s="233"/>
      <c r="J1849" s="229" t="str">
        <f t="shared" si="15"/>
        <v/>
      </c>
    </row>
    <row r="1850" spans="1:10" ht="15.75">
      <c r="A1850" s="230"/>
      <c r="B1850" s="230"/>
      <c r="C1850" s="231"/>
      <c r="D1850" s="232"/>
      <c r="E1850" s="230"/>
      <c r="F1850" s="230"/>
      <c r="G1850" s="230"/>
      <c r="H1850" s="230"/>
      <c r="I1850" s="233"/>
      <c r="J1850" s="229" t="str">
        <f t="shared" si="15"/>
        <v/>
      </c>
    </row>
    <row r="1851" spans="1:10" ht="15.75">
      <c r="A1851" s="230"/>
      <c r="B1851" s="230"/>
      <c r="C1851" s="231"/>
      <c r="D1851" s="232"/>
      <c r="E1851" s="230"/>
      <c r="F1851" s="230"/>
      <c r="G1851" s="230"/>
      <c r="H1851" s="230"/>
      <c r="I1851" s="233"/>
      <c r="J1851" s="229" t="str">
        <f t="shared" si="15"/>
        <v/>
      </c>
    </row>
    <row r="1852" spans="1:10" ht="15.75">
      <c r="A1852" s="230"/>
      <c r="B1852" s="230"/>
      <c r="C1852" s="231"/>
      <c r="D1852" s="232"/>
      <c r="E1852" s="230"/>
      <c r="F1852" s="230"/>
      <c r="G1852" s="230"/>
      <c r="H1852" s="230"/>
      <c r="I1852" s="233"/>
      <c r="J1852" s="229" t="str">
        <f t="shared" si="15"/>
        <v/>
      </c>
    </row>
    <row r="1853" spans="1:10" ht="15.75">
      <c r="A1853" s="230"/>
      <c r="B1853" s="230"/>
      <c r="C1853" s="231"/>
      <c r="D1853" s="232"/>
      <c r="E1853" s="230"/>
      <c r="F1853" s="230"/>
      <c r="G1853" s="230"/>
      <c r="H1853" s="230"/>
      <c r="I1853" s="233"/>
      <c r="J1853" s="229" t="str">
        <f t="shared" si="15"/>
        <v/>
      </c>
    </row>
    <row r="1854" spans="1:10" ht="15.75">
      <c r="A1854" s="230"/>
      <c r="B1854" s="506"/>
      <c r="C1854" s="231"/>
      <c r="D1854" s="232"/>
      <c r="E1854" s="230"/>
      <c r="F1854" s="230"/>
      <c r="G1854" s="230"/>
      <c r="H1854" s="230"/>
      <c r="I1854" s="492"/>
      <c r="J1854" s="229" t="str">
        <f t="shared" si="15"/>
        <v/>
      </c>
    </row>
    <row r="1855" spans="1:10" ht="15.75">
      <c r="A1855" s="230"/>
      <c r="B1855" s="230"/>
      <c r="C1855" s="231"/>
      <c r="D1855" s="232"/>
      <c r="E1855" s="230"/>
      <c r="F1855" s="230"/>
      <c r="G1855" s="230"/>
      <c r="H1855" s="230"/>
      <c r="I1855" s="233"/>
      <c r="J1855" s="229" t="str">
        <f t="shared" si="15"/>
        <v/>
      </c>
    </row>
    <row r="1856" spans="1:10" ht="15.75">
      <c r="A1856" s="230"/>
      <c r="B1856" s="230"/>
      <c r="C1856" s="231"/>
      <c r="D1856" s="232"/>
      <c r="E1856" s="230"/>
      <c r="F1856" s="230"/>
      <c r="G1856" s="230"/>
      <c r="H1856" s="230"/>
      <c r="I1856" s="493"/>
      <c r="J1856" s="229" t="str">
        <f t="shared" si="15"/>
        <v/>
      </c>
    </row>
    <row r="1857" spans="1:10" ht="15.75">
      <c r="A1857" s="230"/>
      <c r="B1857" s="230"/>
      <c r="C1857" s="231"/>
      <c r="D1857" s="232"/>
      <c r="E1857" s="230"/>
      <c r="F1857" s="230"/>
      <c r="G1857" s="230"/>
      <c r="H1857" s="230"/>
      <c r="I1857" s="492"/>
      <c r="J1857" s="229" t="str">
        <f t="shared" si="15"/>
        <v/>
      </c>
    </row>
    <row r="1858" spans="1:10" ht="15.75">
      <c r="A1858" s="230"/>
      <c r="B1858" s="230"/>
      <c r="C1858" s="231"/>
      <c r="D1858" s="232"/>
      <c r="E1858" s="230"/>
      <c r="F1858" s="230"/>
      <c r="G1858" s="230"/>
      <c r="H1858" s="230"/>
      <c r="I1858" s="233"/>
      <c r="J1858" s="229" t="str">
        <f t="shared" si="15"/>
        <v/>
      </c>
    </row>
    <row r="1859" spans="1:10" ht="15.75">
      <c r="A1859" s="230"/>
      <c r="B1859" s="230"/>
      <c r="C1859" s="231"/>
      <c r="D1859" s="232"/>
      <c r="E1859" s="230"/>
      <c r="F1859" s="230"/>
      <c r="G1859" s="230"/>
      <c r="H1859" s="230"/>
      <c r="I1859" s="233"/>
      <c r="J1859" s="229" t="str">
        <f t="shared" ref="J1859:J1875" si="16">LEFT(F1859,2)</f>
        <v/>
      </c>
    </row>
    <row r="1860" spans="1:10" ht="15.75">
      <c r="A1860" s="230"/>
      <c r="B1860" s="230"/>
      <c r="C1860" s="231"/>
      <c r="D1860" s="232"/>
      <c r="E1860" s="230"/>
      <c r="F1860" s="230"/>
      <c r="G1860" s="230"/>
      <c r="H1860" s="230"/>
      <c r="I1860" s="233"/>
      <c r="J1860" s="229" t="str">
        <f t="shared" si="16"/>
        <v/>
      </c>
    </row>
    <row r="1861" spans="1:10" ht="15.75">
      <c r="A1861" s="230"/>
      <c r="B1861" s="230"/>
      <c r="C1861" s="231"/>
      <c r="D1861" s="232"/>
      <c r="E1861" s="230"/>
      <c r="F1861" s="230"/>
      <c r="G1861" s="230"/>
      <c r="H1861" s="230"/>
      <c r="I1861" s="233"/>
      <c r="J1861" s="229" t="str">
        <f t="shared" si="16"/>
        <v/>
      </c>
    </row>
    <row r="1862" spans="1:10" ht="15.75">
      <c r="A1862" s="230"/>
      <c r="B1862" s="230"/>
      <c r="C1862" s="231"/>
      <c r="D1862" s="232"/>
      <c r="E1862" s="230"/>
      <c r="F1862" s="230"/>
      <c r="G1862" s="230"/>
      <c r="H1862" s="230"/>
      <c r="I1862" s="233"/>
      <c r="J1862" s="229" t="str">
        <f t="shared" si="16"/>
        <v/>
      </c>
    </row>
    <row r="1863" spans="1:10" ht="15.75">
      <c r="A1863" s="230"/>
      <c r="B1863" s="230"/>
      <c r="C1863" s="231"/>
      <c r="D1863" s="232"/>
      <c r="E1863" s="230"/>
      <c r="F1863" s="230"/>
      <c r="G1863" s="230"/>
      <c r="H1863" s="230"/>
      <c r="I1863" s="233"/>
      <c r="J1863" s="229" t="str">
        <f t="shared" si="16"/>
        <v/>
      </c>
    </row>
    <row r="1864" spans="1:10" ht="15.75">
      <c r="A1864" s="230"/>
      <c r="B1864" s="230"/>
      <c r="C1864" s="231"/>
      <c r="D1864" s="232"/>
      <c r="E1864" s="230"/>
      <c r="F1864" s="230"/>
      <c r="G1864" s="230"/>
      <c r="H1864" s="230"/>
      <c r="I1864" s="233"/>
      <c r="J1864" s="229" t="str">
        <f t="shared" si="16"/>
        <v/>
      </c>
    </row>
    <row r="1865" spans="1:10" ht="15.75">
      <c r="A1865" s="230"/>
      <c r="B1865" s="230"/>
      <c r="C1865" s="231"/>
      <c r="D1865" s="232"/>
      <c r="E1865" s="230"/>
      <c r="F1865" s="230"/>
      <c r="G1865" s="230"/>
      <c r="H1865" s="230"/>
      <c r="I1865" s="233"/>
      <c r="J1865" s="229" t="str">
        <f t="shared" si="16"/>
        <v/>
      </c>
    </row>
    <row r="1866" spans="1:10" ht="15.75">
      <c r="A1866" s="230"/>
      <c r="B1866" s="230"/>
      <c r="C1866" s="231"/>
      <c r="D1866" s="232"/>
      <c r="E1866" s="230"/>
      <c r="F1866" s="230"/>
      <c r="G1866" s="230"/>
      <c r="H1866" s="230"/>
      <c r="I1866" s="233"/>
      <c r="J1866" s="229" t="str">
        <f t="shared" si="16"/>
        <v/>
      </c>
    </row>
    <row r="1867" spans="1:10" ht="15.75">
      <c r="A1867" s="230"/>
      <c r="B1867" s="230"/>
      <c r="C1867" s="231"/>
      <c r="D1867" s="232"/>
      <c r="E1867" s="230"/>
      <c r="F1867" s="230"/>
      <c r="G1867" s="230"/>
      <c r="H1867" s="230"/>
      <c r="I1867" s="233"/>
      <c r="J1867" s="229" t="str">
        <f t="shared" si="16"/>
        <v/>
      </c>
    </row>
    <row r="1868" spans="1:10" ht="15.75">
      <c r="A1868" s="230"/>
      <c r="B1868" s="230"/>
      <c r="C1868" s="231"/>
      <c r="D1868" s="232"/>
      <c r="E1868" s="230"/>
      <c r="F1868" s="230"/>
      <c r="G1868" s="230"/>
      <c r="H1868" s="230"/>
      <c r="I1868" s="233"/>
      <c r="J1868" s="229" t="str">
        <f t="shared" si="16"/>
        <v/>
      </c>
    </row>
    <row r="1869" spans="1:10" ht="15.75">
      <c r="A1869" s="230"/>
      <c r="B1869" s="230"/>
      <c r="C1869" s="231"/>
      <c r="D1869" s="232"/>
      <c r="E1869" s="230"/>
      <c r="F1869" s="230"/>
      <c r="G1869" s="230"/>
      <c r="H1869" s="230"/>
      <c r="I1869" s="492"/>
      <c r="J1869" s="229" t="str">
        <f t="shared" si="16"/>
        <v/>
      </c>
    </row>
    <row r="1870" spans="1:10" ht="15.75">
      <c r="A1870" s="230"/>
      <c r="B1870" s="230"/>
      <c r="C1870" s="231"/>
      <c r="D1870" s="232"/>
      <c r="E1870" s="230"/>
      <c r="F1870" s="230"/>
      <c r="G1870" s="230"/>
      <c r="H1870" s="230"/>
      <c r="I1870" s="492"/>
      <c r="J1870" s="229" t="str">
        <f t="shared" si="16"/>
        <v/>
      </c>
    </row>
    <row r="1871" spans="1:10" ht="15.75">
      <c r="A1871" s="230"/>
      <c r="B1871" s="230"/>
      <c r="C1871" s="231"/>
      <c r="D1871" s="232"/>
      <c r="E1871" s="230"/>
      <c r="F1871" s="230"/>
      <c r="G1871" s="230"/>
      <c r="H1871" s="230"/>
      <c r="I1871" s="233"/>
      <c r="J1871" s="229" t="str">
        <f t="shared" si="16"/>
        <v/>
      </c>
    </row>
    <row r="1872" spans="1:10" ht="15.75">
      <c r="A1872" s="230"/>
      <c r="B1872" s="230"/>
      <c r="C1872" s="231"/>
      <c r="D1872" s="232"/>
      <c r="E1872" s="230"/>
      <c r="F1872" s="230"/>
      <c r="G1872" s="230"/>
      <c r="H1872" s="230"/>
      <c r="I1872" s="233"/>
      <c r="J1872" s="229" t="str">
        <f t="shared" si="16"/>
        <v/>
      </c>
    </row>
    <row r="1873" spans="1:10" ht="15.75">
      <c r="A1873" s="230"/>
      <c r="B1873" s="230"/>
      <c r="C1873" s="231"/>
      <c r="D1873" s="232"/>
      <c r="E1873" s="230"/>
      <c r="F1873" s="230"/>
      <c r="G1873" s="230"/>
      <c r="H1873" s="230"/>
      <c r="I1873" s="233"/>
      <c r="J1873" s="229" t="str">
        <f t="shared" si="16"/>
        <v/>
      </c>
    </row>
    <row r="1874" spans="1:10" ht="15.75">
      <c r="A1874" s="230"/>
      <c r="B1874" s="230"/>
      <c r="C1874" s="231"/>
      <c r="D1874" s="232"/>
      <c r="E1874" s="230"/>
      <c r="F1874" s="230"/>
      <c r="G1874" s="230"/>
      <c r="H1874" s="230"/>
      <c r="I1874" s="233"/>
      <c r="J1874" s="229" t="str">
        <f t="shared" si="16"/>
        <v/>
      </c>
    </row>
    <row r="1875" spans="1:10" ht="15.75">
      <c r="A1875" s="230"/>
      <c r="B1875" s="230"/>
      <c r="C1875" s="231"/>
      <c r="D1875" s="232"/>
      <c r="E1875" s="230"/>
      <c r="F1875" s="230"/>
      <c r="G1875" s="230"/>
      <c r="H1875" s="230"/>
      <c r="I1875" s="233"/>
      <c r="J1875" s="229" t="str">
        <f t="shared" si="16"/>
        <v/>
      </c>
    </row>
  </sheetData>
  <sheetProtection autoFilter="0"/>
  <autoFilter ref="A1:F944">
    <filterColumn colId="5">
      <filters>
        <filter val="13CĐ-Đ1"/>
      </filters>
    </filterColumn>
  </autoFilter>
  <phoneticPr fontId="9"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sheetPr codeName="Sheet2">
    <pageSetUpPr fitToPage="1"/>
  </sheetPr>
  <dimension ref="A1:BC73"/>
  <sheetViews>
    <sheetView topLeftCell="C1" zoomScale="75" workbookViewId="0">
      <pane ySplit="7" topLeftCell="A8" activePane="bottomLeft" state="frozen"/>
      <selection pane="bottomLeft" activeCell="C13" sqref="C13"/>
    </sheetView>
  </sheetViews>
  <sheetFormatPr defaultRowHeight="15.75"/>
  <cols>
    <col min="1" max="1" width="5" style="118" bestFit="1" customWidth="1"/>
    <col min="2" max="2" width="13.7109375" style="118" bestFit="1" customWidth="1"/>
    <col min="3" max="3" width="22.42578125" style="118" bestFit="1" customWidth="1"/>
    <col min="4" max="4" width="8.140625" style="118" bestFit="1" customWidth="1"/>
    <col min="5" max="5" width="5.42578125" style="118" bestFit="1" customWidth="1"/>
    <col min="6" max="6" width="5.42578125" style="118" customWidth="1"/>
    <col min="7" max="8" width="12.7109375" style="118" customWidth="1"/>
    <col min="9" max="17" width="12.7109375" style="172" customWidth="1"/>
    <col min="18" max="19" width="6.85546875" style="172" bestFit="1" customWidth="1"/>
    <col min="20" max="39" width="6.85546875" style="118" bestFit="1" customWidth="1"/>
    <col min="40" max="44" width="4.28515625" style="118" customWidth="1"/>
    <col min="45" max="45" width="5.140625" style="118" bestFit="1" customWidth="1"/>
    <col min="46" max="47" width="4.28515625" style="118" customWidth="1"/>
    <col min="48" max="55" width="4.28515625" style="163" customWidth="1"/>
    <col min="56" max="65" width="4.28515625" style="118" customWidth="1"/>
    <col min="66" max="66" width="5.140625" style="118" bestFit="1" customWidth="1"/>
    <col min="67" max="68" width="4.28515625" style="118" customWidth="1"/>
    <col min="69" max="16384" width="9.140625" style="118"/>
  </cols>
  <sheetData>
    <row r="1" spans="1:55">
      <c r="A1" s="582" t="s">
        <v>1488</v>
      </c>
      <c r="B1" s="582"/>
      <c r="C1" s="582"/>
      <c r="D1" s="582"/>
      <c r="E1" s="582"/>
      <c r="F1" s="582"/>
      <c r="G1" s="582"/>
      <c r="H1" s="582"/>
      <c r="I1" s="162"/>
      <c r="J1" s="162"/>
      <c r="K1" s="162"/>
      <c r="L1" s="162"/>
      <c r="M1" s="162"/>
      <c r="N1" s="162"/>
      <c r="O1" s="162"/>
      <c r="P1" s="162"/>
      <c r="Q1" s="1"/>
      <c r="R1" s="1"/>
      <c r="S1" s="1"/>
      <c r="T1" s="1"/>
    </row>
    <row r="2" spans="1:55">
      <c r="A2" s="575" t="s">
        <v>1487</v>
      </c>
      <c r="B2" s="575"/>
      <c r="C2" s="575"/>
      <c r="D2" s="575"/>
      <c r="E2" s="575"/>
      <c r="F2" s="575"/>
      <c r="G2" s="575"/>
      <c r="H2" s="575"/>
      <c r="I2" s="1"/>
      <c r="J2" s="1"/>
      <c r="K2" s="1"/>
      <c r="L2" s="1"/>
      <c r="M2" s="1"/>
      <c r="N2" s="1"/>
      <c r="O2" s="1"/>
      <c r="P2" s="1"/>
      <c r="Q2" s="1"/>
      <c r="R2" s="1"/>
      <c r="S2" s="1"/>
      <c r="T2" s="1"/>
    </row>
    <row r="3" spans="1:55">
      <c r="B3" s="164" t="s">
        <v>1424</v>
      </c>
      <c r="C3" s="110" t="str">
        <f>IF($B8="","",IF(ISNA(VLOOKUP($B8,'DS LOP HKI'!$B$2:$F$1873,5,FALSE))=TRUE,"",VLOOKUP($B8,'DS LOP HKI'!$B$2:$F$1873,5,FALSE)))</f>
        <v>13CĐ-Đ1</v>
      </c>
      <c r="D3" s="267" t="s">
        <v>1593</v>
      </c>
      <c r="E3" s="16">
        <f>IF(B8="",0,MAX($A$8:$A$73))</f>
        <v>35</v>
      </c>
      <c r="F3" s="16"/>
      <c r="G3" s="110"/>
      <c r="I3" s="162"/>
      <c r="J3" s="162"/>
      <c r="K3" s="162"/>
      <c r="L3" s="162"/>
      <c r="M3" s="162"/>
      <c r="N3" s="162"/>
      <c r="O3" s="162"/>
      <c r="P3" s="162"/>
      <c r="Q3" s="162"/>
      <c r="R3" s="162"/>
      <c r="S3" s="162"/>
      <c r="T3" s="162"/>
    </row>
    <row r="4" spans="1:55" ht="18.75">
      <c r="A4" s="581" t="s">
        <v>655</v>
      </c>
      <c r="B4" s="581"/>
      <c r="C4" s="581"/>
      <c r="D4" s="581"/>
      <c r="E4" s="581"/>
      <c r="F4" s="581"/>
      <c r="G4" s="581"/>
      <c r="H4" s="581"/>
      <c r="I4" s="581"/>
      <c r="J4" s="581"/>
      <c r="K4" s="581"/>
      <c r="L4" s="581"/>
      <c r="M4" s="581"/>
      <c r="N4" s="581"/>
      <c r="O4" s="581"/>
      <c r="P4" s="581"/>
      <c r="Q4" s="165"/>
      <c r="R4" s="165"/>
      <c r="S4" s="165"/>
      <c r="T4" s="165"/>
      <c r="U4" s="165"/>
      <c r="V4" s="165"/>
      <c r="W4" s="165"/>
      <c r="X4" s="165"/>
      <c r="Y4" s="165"/>
      <c r="Z4" s="165"/>
      <c r="AA4" s="165"/>
      <c r="AB4" s="165"/>
      <c r="AC4" s="165"/>
      <c r="AD4" s="165"/>
      <c r="AE4" s="165"/>
      <c r="AF4" s="165"/>
      <c r="AG4" s="165"/>
      <c r="AH4" s="165"/>
      <c r="AI4" s="165"/>
      <c r="AJ4" s="165"/>
      <c r="AK4" s="165"/>
      <c r="AL4" s="165"/>
      <c r="AM4" s="165"/>
    </row>
    <row r="5" spans="1:55">
      <c r="B5" s="166"/>
      <c r="C5" s="167" t="s">
        <v>1510</v>
      </c>
      <c r="D5" s="168" t="s">
        <v>1511</v>
      </c>
      <c r="E5" s="168"/>
      <c r="F5" s="168"/>
      <c r="G5" s="580" t="s">
        <v>1512</v>
      </c>
      <c r="H5" s="580"/>
      <c r="I5" s="580" t="s">
        <v>91</v>
      </c>
      <c r="J5" s="580"/>
      <c r="K5" s="168"/>
      <c r="L5" s="168"/>
      <c r="M5" s="168"/>
      <c r="N5" s="168"/>
      <c r="O5" s="168"/>
      <c r="P5" s="169"/>
      <c r="Q5" s="169"/>
      <c r="R5" s="169"/>
      <c r="S5" s="169"/>
      <c r="T5" s="165"/>
    </row>
    <row r="6" spans="1:55" ht="63">
      <c r="A6" s="170" t="s">
        <v>1533</v>
      </c>
      <c r="B6" s="171" t="s">
        <v>1425</v>
      </c>
      <c r="C6" s="583" t="s">
        <v>1426</v>
      </c>
      <c r="D6" s="583"/>
      <c r="E6" s="170" t="s">
        <v>1591</v>
      </c>
      <c r="F6" s="170" t="s">
        <v>415</v>
      </c>
      <c r="G6" s="13" t="str">
        <f>IF('LT01'!$C$6="","",'LT01'!$C$6)</f>
        <v>Anh văn 2</v>
      </c>
      <c r="H6" s="13" t="str">
        <f>IF('LT02'!$C$6="","",'LT02'!$C$6)</f>
        <v>Những NLCB của CNMLN 2</v>
      </c>
      <c r="I6" s="13" t="str">
        <f>IF('LT03'!$C$6="","",'LT03'!$C$6)</f>
        <v xml:space="preserve">Khí cụ điện và máy điện </v>
      </c>
      <c r="J6" s="13" t="str">
        <f>IF('LT04'!$C$6="","",'LT04'!$C$6)</f>
        <v xml:space="preserve">Kỹ thuật số </v>
      </c>
      <c r="K6" s="13" t="str">
        <f>IF('LT05'!$C$6="","",'LT05'!$C$6)</f>
        <v xml:space="preserve">Điện tử công suất </v>
      </c>
      <c r="L6" s="13" t="str">
        <f>IF('LT06'!$C$6="","",'LT06'!$C$6)</f>
        <v xml:space="preserve">Kỹ thuật truyền số liệu </v>
      </c>
      <c r="M6" s="13" t="str">
        <f>IF('LT07'!$C$6="","",'LT07'!$C$6)</f>
        <v/>
      </c>
      <c r="N6" s="13" t="str">
        <f>IF('LT08'!$C$6="","",'LT08'!$C$6)</f>
        <v/>
      </c>
      <c r="O6" s="13" t="str">
        <f>IF('LT09'!$C$6="","",'LT09'!$C$6)</f>
        <v/>
      </c>
      <c r="P6" s="13" t="str">
        <f>IF('TH01'!$C$6="","",'TH01'!$C$6)</f>
        <v xml:space="preserve">Thực tập Điện tử cơ bản </v>
      </c>
      <c r="Q6" s="13" t="str">
        <f>IF('TH02'!$C$6="","",'TH02'!$C$6)</f>
        <v xml:space="preserve">Thực tập Đo lường và mạch điện </v>
      </c>
      <c r="R6" s="118"/>
      <c r="S6" s="118"/>
      <c r="AV6" s="118"/>
      <c r="AW6" s="118"/>
      <c r="AX6" s="118"/>
      <c r="AY6" s="118"/>
      <c r="AZ6" s="118"/>
      <c r="BA6" s="118"/>
      <c r="BB6" s="118"/>
      <c r="BC6" s="118"/>
    </row>
    <row r="7" spans="1:55">
      <c r="A7" s="584" t="s">
        <v>656</v>
      </c>
      <c r="B7" s="585"/>
      <c r="C7" s="585"/>
      <c r="D7" s="585"/>
      <c r="E7" s="585"/>
      <c r="F7" s="586"/>
      <c r="G7" s="13">
        <f>IF('LT01'!$J$6="","",'LT01'!$J$6)</f>
        <v>2</v>
      </c>
      <c r="H7" s="13">
        <f>IF('LT02'!$J$6="","",'LT02'!$J$6)</f>
        <v>3</v>
      </c>
      <c r="I7" s="13">
        <f>IF('LT03'!$J$6="","",'LT03'!$J$6)</f>
        <v>3</v>
      </c>
      <c r="J7" s="13">
        <f>IF('LT04'!$J$6="","",'LT04'!$J$6)</f>
        <v>2</v>
      </c>
      <c r="K7" s="13">
        <f>IF('LT05'!$J$6="","",'LT05'!$J$6)</f>
        <v>2</v>
      </c>
      <c r="L7" s="13">
        <f>IF('LT06'!$J$6="","",'LT06'!$J$6)</f>
        <v>2</v>
      </c>
      <c r="M7" s="13" t="str">
        <f>IF('LT07'!$J$6="","",'LT07'!$J$6)</f>
        <v/>
      </c>
      <c r="N7" s="13" t="str">
        <f>IF('LT08'!$J$6="","",'LT08'!$J$6)</f>
        <v/>
      </c>
      <c r="O7" s="13" t="str">
        <f>IF('LT09'!$J$6="","",'LT09'!$J$6)</f>
        <v/>
      </c>
      <c r="P7" s="13">
        <f>IF('TH01'!$J$6="","",'TH01'!$J$6)</f>
        <v>2</v>
      </c>
      <c r="Q7" s="13">
        <f>IF('TH02'!$J$6="","",'TH02'!$J$6)</f>
        <v>2</v>
      </c>
      <c r="R7" s="118"/>
      <c r="S7" s="118"/>
      <c r="AV7" s="118"/>
      <c r="AW7" s="118"/>
      <c r="AX7" s="118"/>
      <c r="AY7" s="118"/>
      <c r="AZ7" s="118"/>
      <c r="BA7" s="118"/>
      <c r="BB7" s="118"/>
      <c r="BC7" s="118"/>
    </row>
    <row r="8" spans="1:55">
      <c r="A8" s="48">
        <f>IF(B8="",1,SUBTOTAL(3,$B$8:B8))</f>
        <v>1</v>
      </c>
      <c r="B8" s="49" t="str">
        <f>IF(HKI!$B11="","",HKI!B11)</f>
        <v>13D301Đ001</v>
      </c>
      <c r="C8" s="263" t="str">
        <f>IF(HKI!$B11="","",HKI!C11)</f>
        <v>Lương Hoàng Thuận</v>
      </c>
      <c r="D8" s="264" t="str">
        <f>IF(HKI!$B11="","",HKI!D11)</f>
        <v>An</v>
      </c>
      <c r="E8" s="14" t="str">
        <f t="shared" ref="E8:E39" si="0">IF(COUNTIF(G8:P8,"X")&gt;0,COUNTIF(G8:P8,"X"),"")</f>
        <v/>
      </c>
      <c r="F8" s="14" t="str">
        <f>IF(COUNTIF(G8:P8,"X")=0,"",SUMIF(G8:P8,"X",$G$7:$P$7))</f>
        <v/>
      </c>
      <c r="G8" s="11" t="str">
        <f>IF(HKI!I11&lt;4,"X","")</f>
        <v/>
      </c>
      <c r="H8" s="11" t="str">
        <f>IF(HKI!M11&lt;4,"X","")</f>
        <v/>
      </c>
      <c r="I8" s="11" t="str">
        <f>IF(HKI!Q11&lt;4,"X","")</f>
        <v/>
      </c>
      <c r="J8" s="11" t="str">
        <f>IF(HKI!U11&lt;4,"X","")</f>
        <v/>
      </c>
      <c r="K8" s="11" t="str">
        <f>IF(HKI!Y11&lt;4,"X","")</f>
        <v/>
      </c>
      <c r="L8" s="11" t="str">
        <f>IF(HKI!AC11&lt;4,"X","")</f>
        <v/>
      </c>
      <c r="M8" s="11" t="str">
        <f>IF(HKI!AG11&lt;4,"X","")</f>
        <v/>
      </c>
      <c r="N8" s="11" t="str">
        <f>IF(HKI!AK11&lt;4,"X","")</f>
        <v/>
      </c>
      <c r="O8" s="11" t="str">
        <f>IF(HKI!AO11&lt;4,"X","")</f>
        <v/>
      </c>
      <c r="P8" s="11" t="str">
        <f>IF(HKI!AS11&lt;4,"X","")</f>
        <v/>
      </c>
      <c r="Q8" s="11" t="str">
        <f>IF(HKI!AW11&lt;4,"X","")</f>
        <v/>
      </c>
      <c r="R8" s="118"/>
      <c r="S8" s="118"/>
      <c r="AV8" s="118"/>
      <c r="AW8" s="118"/>
      <c r="AX8" s="118"/>
      <c r="AY8" s="118"/>
      <c r="AZ8" s="118"/>
      <c r="BA8" s="118"/>
      <c r="BB8" s="118"/>
      <c r="BC8" s="118"/>
    </row>
    <row r="9" spans="1:55">
      <c r="A9" s="48">
        <f>IF(B9="","",SUBTOTAL(3,$B$8:B9))</f>
        <v>2</v>
      </c>
      <c r="B9" s="49" t="str">
        <f>IF(HKI!$B12="","",HKI!B12)</f>
        <v>13D301Đ009</v>
      </c>
      <c r="C9" s="263" t="str">
        <f>IF(HKI!$B12="","",HKI!C12)</f>
        <v>Võ Thành</v>
      </c>
      <c r="D9" s="264" t="str">
        <f>IF(HKI!$B12="","",HKI!D12)</f>
        <v>Bảo</v>
      </c>
      <c r="E9" s="14">
        <f t="shared" si="0"/>
        <v>1</v>
      </c>
      <c r="F9" s="14">
        <f t="shared" ref="F9:F72" si="1">IF(COUNTIF(G9:P9,"X")=0,"",SUMIF(G9:P9,"X",$G$7:$P$7))</f>
        <v>3</v>
      </c>
      <c r="G9" s="11" t="str">
        <f>IF(HKI!I12&lt;4,"X","")</f>
        <v/>
      </c>
      <c r="H9" s="11" t="str">
        <f>IF(HKI!M12&lt;4,"X","")</f>
        <v/>
      </c>
      <c r="I9" s="11" t="str">
        <f>IF(HKI!Q12&lt;4,"X","")</f>
        <v>X</v>
      </c>
      <c r="J9" s="11" t="str">
        <f>IF(HKI!U12&lt;4,"X","")</f>
        <v/>
      </c>
      <c r="K9" s="11" t="str">
        <f>IF(HKI!Y12&lt;4,"X","")</f>
        <v/>
      </c>
      <c r="L9" s="11" t="str">
        <f>IF(HKI!AC12&lt;4,"X","")</f>
        <v/>
      </c>
      <c r="M9" s="11" t="str">
        <f>IF(HKI!AG12&lt;4,"X","")</f>
        <v/>
      </c>
      <c r="N9" s="11" t="str">
        <f>IF(HKI!AK12&lt;4,"X","")</f>
        <v/>
      </c>
      <c r="O9" s="11" t="str">
        <f>IF(HKI!AO12&lt;4,"X","")</f>
        <v/>
      </c>
      <c r="P9" s="11" t="str">
        <f>IF(HKI!AS12&lt;4,"X","")</f>
        <v/>
      </c>
      <c r="Q9" s="11" t="str">
        <f>IF(HKI!AW12&lt;4,"X","")</f>
        <v/>
      </c>
      <c r="R9" s="118"/>
      <c r="S9" s="118"/>
      <c r="AV9" s="118"/>
      <c r="AW9" s="118"/>
      <c r="AX9" s="118"/>
      <c r="AY9" s="118"/>
      <c r="AZ9" s="118"/>
      <c r="BA9" s="118"/>
      <c r="BB9" s="118"/>
      <c r="BC9" s="118"/>
    </row>
    <row r="10" spans="1:55">
      <c r="A10" s="48">
        <f>IF(B10="","",SUBTOTAL(3,$B$8:B10))</f>
        <v>3</v>
      </c>
      <c r="B10" s="49" t="str">
        <f>IF(HKI!$B13="","",HKI!B13)</f>
        <v>13D301Đ013</v>
      </c>
      <c r="C10" s="263" t="str">
        <f>IF(HKI!$B13="","",HKI!C13)</f>
        <v>Nguyễn Chí</v>
      </c>
      <c r="D10" s="264" t="str">
        <f>IF(HKI!$B13="","",HKI!D13)</f>
        <v>Bình</v>
      </c>
      <c r="E10" s="14" t="str">
        <f t="shared" si="0"/>
        <v/>
      </c>
      <c r="F10" s="14" t="str">
        <f t="shared" si="1"/>
        <v/>
      </c>
      <c r="G10" s="11" t="str">
        <f>IF(HKI!I13&lt;4,"X","")</f>
        <v/>
      </c>
      <c r="H10" s="11" t="str">
        <f>IF(HKI!M13&lt;4,"X","")</f>
        <v/>
      </c>
      <c r="I10" s="11" t="str">
        <f>IF(HKI!Q13&lt;4,"X","")</f>
        <v/>
      </c>
      <c r="J10" s="11" t="str">
        <f>IF(HKI!U13&lt;4,"X","")</f>
        <v/>
      </c>
      <c r="K10" s="11" t="str">
        <f>IF(HKI!Y13&lt;4,"X","")</f>
        <v/>
      </c>
      <c r="L10" s="11" t="str">
        <f>IF(HKI!AC13&lt;4,"X","")</f>
        <v/>
      </c>
      <c r="M10" s="11" t="str">
        <f>IF(HKI!AG13&lt;4,"X","")</f>
        <v/>
      </c>
      <c r="N10" s="11" t="str">
        <f>IF(HKI!AK13&lt;4,"X","")</f>
        <v/>
      </c>
      <c r="O10" s="11" t="str">
        <f>IF(HKI!AO13&lt;4,"X","")</f>
        <v/>
      </c>
      <c r="P10" s="11" t="str">
        <f>IF(HKI!AS13&lt;4,"X","")</f>
        <v/>
      </c>
      <c r="Q10" s="11" t="str">
        <f>IF(HKI!AW13&lt;4,"X","")</f>
        <v/>
      </c>
      <c r="R10" s="118"/>
      <c r="S10" s="118"/>
      <c r="AV10" s="118"/>
      <c r="AW10" s="118"/>
      <c r="AX10" s="118"/>
      <c r="AY10" s="118"/>
      <c r="AZ10" s="118"/>
      <c r="BA10" s="118"/>
      <c r="BB10" s="118"/>
      <c r="BC10" s="118"/>
    </row>
    <row r="11" spans="1:55">
      <c r="A11" s="48">
        <f>IF(B11="","",SUBTOTAL(3,$B$8:B11))</f>
        <v>4</v>
      </c>
      <c r="B11" s="49" t="str">
        <f>IF(HKI!$B14="","",HKI!B14)</f>
        <v>13D301Đ017</v>
      </c>
      <c r="C11" s="263" t="str">
        <f>IF(HKI!$B14="","",HKI!C14)</f>
        <v>Trần Văn</v>
      </c>
      <c r="D11" s="264" t="str">
        <f>IF(HKI!$B14="","",HKI!D14)</f>
        <v>Chinh</v>
      </c>
      <c r="E11" s="14" t="str">
        <f t="shared" si="0"/>
        <v/>
      </c>
      <c r="F11" s="14" t="str">
        <f t="shared" si="1"/>
        <v/>
      </c>
      <c r="G11" s="11" t="str">
        <f>IF(HKI!I14&lt;4,"X","")</f>
        <v/>
      </c>
      <c r="H11" s="11" t="str">
        <f>IF(HKI!M14&lt;4,"X","")</f>
        <v/>
      </c>
      <c r="I11" s="11" t="str">
        <f>IF(HKI!Q14&lt;4,"X","")</f>
        <v/>
      </c>
      <c r="J11" s="11" t="str">
        <f>IF(HKI!U14&lt;4,"X","")</f>
        <v/>
      </c>
      <c r="K11" s="11" t="str">
        <f>IF(HKI!Y14&lt;4,"X","")</f>
        <v/>
      </c>
      <c r="L11" s="11" t="str">
        <f>IF(HKI!AC14&lt;4,"X","")</f>
        <v/>
      </c>
      <c r="M11" s="11" t="str">
        <f>IF(HKI!AG14&lt;4,"X","")</f>
        <v/>
      </c>
      <c r="N11" s="11" t="str">
        <f>IF(HKI!AK14&lt;4,"X","")</f>
        <v/>
      </c>
      <c r="O11" s="11" t="str">
        <f>IF(HKI!AO14&lt;4,"X","")</f>
        <v/>
      </c>
      <c r="P11" s="11" t="str">
        <f>IF(HKI!AS14&lt;4,"X","")</f>
        <v/>
      </c>
      <c r="Q11" s="11" t="str">
        <f>IF(HKI!AW14&lt;4,"X","")</f>
        <v/>
      </c>
      <c r="R11" s="118"/>
      <c r="S11" s="118"/>
      <c r="AV11" s="118"/>
      <c r="AW11" s="118"/>
      <c r="AX11" s="118"/>
      <c r="AY11" s="118"/>
      <c r="AZ11" s="118"/>
      <c r="BA11" s="118"/>
      <c r="BB11" s="118"/>
      <c r="BC11" s="118"/>
    </row>
    <row r="12" spans="1:55">
      <c r="A12" s="48">
        <f>IF(B12="","",SUBTOTAL(3,$B$8:B12))</f>
        <v>5</v>
      </c>
      <c r="B12" s="49" t="str">
        <f>IF(HKI!$B15="","",HKI!B15)</f>
        <v>13D301Đ021</v>
      </c>
      <c r="C12" s="263" t="str">
        <f>IF(HKI!$B15="","",HKI!C15)</f>
        <v>Nguyễn Chí</v>
      </c>
      <c r="D12" s="264" t="str">
        <f>IF(HKI!$B15="","",HKI!D15)</f>
        <v>Cường</v>
      </c>
      <c r="E12" s="14">
        <f t="shared" si="0"/>
        <v>2</v>
      </c>
      <c r="F12" s="14">
        <f t="shared" si="1"/>
        <v>4</v>
      </c>
      <c r="G12" s="11" t="str">
        <f>IF(HKI!I15&lt;4,"X","")</f>
        <v/>
      </c>
      <c r="H12" s="11" t="str">
        <f>IF(HKI!M15&lt;4,"X","")</f>
        <v/>
      </c>
      <c r="I12" s="11" t="str">
        <f>IF(HKI!Q15&lt;4,"X","")</f>
        <v/>
      </c>
      <c r="J12" s="11" t="str">
        <f>IF(HKI!U15&lt;4,"X","")</f>
        <v>X</v>
      </c>
      <c r="K12" s="11" t="str">
        <f>IF(HKI!Y15&lt;4,"X","")</f>
        <v/>
      </c>
      <c r="L12" s="11" t="str">
        <f>IF(HKI!AC15&lt;4,"X","")</f>
        <v>X</v>
      </c>
      <c r="M12" s="11" t="str">
        <f>IF(HKI!AG15&lt;4,"X","")</f>
        <v/>
      </c>
      <c r="N12" s="11" t="str">
        <f>IF(HKI!AK15&lt;4,"X","")</f>
        <v/>
      </c>
      <c r="O12" s="11" t="str">
        <f>IF(HKI!AO15&lt;4,"X","")</f>
        <v/>
      </c>
      <c r="P12" s="11" t="str">
        <f>IF(HKI!AS15&lt;4,"X","")</f>
        <v/>
      </c>
      <c r="Q12" s="11" t="str">
        <f>IF(HKI!AW15&lt;4,"X","")</f>
        <v/>
      </c>
      <c r="R12" s="118"/>
      <c r="S12" s="118"/>
      <c r="AV12" s="118"/>
      <c r="AW12" s="118"/>
      <c r="AX12" s="118"/>
      <c r="AY12" s="118"/>
      <c r="AZ12" s="118"/>
      <c r="BA12" s="118"/>
      <c r="BB12" s="118"/>
      <c r="BC12" s="118"/>
    </row>
    <row r="13" spans="1:55">
      <c r="A13" s="48">
        <f>IF(B13="","",SUBTOTAL(3,$B$8:B13))</f>
        <v>6</v>
      </c>
      <c r="B13" s="49" t="str">
        <f>IF(HKI!$B16="","",HKI!B16)</f>
        <v>13D301Đ025</v>
      </c>
      <c r="C13" s="263" t="str">
        <f>IF(HKI!$B16="","",HKI!C16)</f>
        <v>Nguyễn Ngọc</v>
      </c>
      <c r="D13" s="264" t="str">
        <f>IF(HKI!$B16="","",HKI!D16)</f>
        <v>Dũng</v>
      </c>
      <c r="E13" s="14">
        <f t="shared" si="0"/>
        <v>1</v>
      </c>
      <c r="F13" s="14">
        <f t="shared" si="1"/>
        <v>2</v>
      </c>
      <c r="G13" s="11" t="str">
        <f>IF(HKI!I16&lt;4,"X","")</f>
        <v/>
      </c>
      <c r="H13" s="11" t="str">
        <f>IF(HKI!M16&lt;4,"X","")</f>
        <v/>
      </c>
      <c r="I13" s="11" t="str">
        <f>IF(HKI!Q16&lt;4,"X","")</f>
        <v/>
      </c>
      <c r="J13" s="11" t="str">
        <f>IF(HKI!U16&lt;4,"X","")</f>
        <v>X</v>
      </c>
      <c r="K13" s="11" t="str">
        <f>IF(HKI!Y16&lt;4,"X","")</f>
        <v/>
      </c>
      <c r="L13" s="11" t="str">
        <f>IF(HKI!AC16&lt;4,"X","")</f>
        <v/>
      </c>
      <c r="M13" s="11" t="str">
        <f>IF(HKI!AG16&lt;4,"X","")</f>
        <v/>
      </c>
      <c r="N13" s="11" t="str">
        <f>IF(HKI!AK16&lt;4,"X","")</f>
        <v/>
      </c>
      <c r="O13" s="11" t="str">
        <f>IF(HKI!AO16&lt;4,"X","")</f>
        <v/>
      </c>
      <c r="P13" s="11" t="str">
        <f>IF(HKI!AS16&lt;4,"X","")</f>
        <v/>
      </c>
      <c r="Q13" s="11" t="str">
        <f>IF(HKI!AW16&lt;4,"X","")</f>
        <v/>
      </c>
      <c r="R13" s="118"/>
      <c r="S13" s="118"/>
      <c r="AV13" s="118"/>
      <c r="AW13" s="118"/>
      <c r="AX13" s="118"/>
      <c r="AY13" s="118"/>
      <c r="AZ13" s="118"/>
      <c r="BA13" s="118"/>
      <c r="BB13" s="118"/>
      <c r="BC13" s="118"/>
    </row>
    <row r="14" spans="1:55">
      <c r="A14" s="48">
        <f>IF(B14="","",SUBTOTAL(3,$B$8:B14))</f>
        <v>7</v>
      </c>
      <c r="B14" s="49" t="str">
        <f>IF(HKI!$B17="","",HKI!B17)</f>
        <v>13D301Đ033</v>
      </c>
      <c r="C14" s="263" t="str">
        <f>IF(HKI!$B17="","",HKI!C17)</f>
        <v xml:space="preserve">Trương Văn </v>
      </c>
      <c r="D14" s="264" t="str">
        <f>IF(HKI!$B17="","",HKI!D17)</f>
        <v>Đạt</v>
      </c>
      <c r="E14" s="14" t="str">
        <f t="shared" si="0"/>
        <v/>
      </c>
      <c r="F14" s="14" t="str">
        <f t="shared" si="1"/>
        <v/>
      </c>
      <c r="G14" s="11" t="str">
        <f>IF(HKI!I17&lt;4,"X","")</f>
        <v/>
      </c>
      <c r="H14" s="11" t="str">
        <f>IF(HKI!M17&lt;4,"X","")</f>
        <v/>
      </c>
      <c r="I14" s="11" t="str">
        <f>IF(HKI!Q17&lt;4,"X","")</f>
        <v/>
      </c>
      <c r="J14" s="11" t="str">
        <f>IF(HKI!U17&lt;4,"X","")</f>
        <v/>
      </c>
      <c r="K14" s="11" t="str">
        <f>IF(HKI!Y17&lt;4,"X","")</f>
        <v/>
      </c>
      <c r="L14" s="11" t="str">
        <f>IF(HKI!AC17&lt;4,"X","")</f>
        <v/>
      </c>
      <c r="M14" s="11" t="str">
        <f>IF(HKI!AG17&lt;4,"X","")</f>
        <v/>
      </c>
      <c r="N14" s="11" t="str">
        <f>IF(HKI!AK17&lt;4,"X","")</f>
        <v/>
      </c>
      <c r="O14" s="11" t="str">
        <f>IF(HKI!AO17&lt;4,"X","")</f>
        <v/>
      </c>
      <c r="P14" s="11" t="str">
        <f>IF(HKI!AS17&lt;4,"X","")</f>
        <v/>
      </c>
      <c r="Q14" s="11" t="str">
        <f>IF(HKI!AW17&lt;4,"X","")</f>
        <v/>
      </c>
      <c r="R14" s="118"/>
      <c r="S14" s="118"/>
      <c r="AV14" s="118"/>
      <c r="AW14" s="118"/>
      <c r="AX14" s="118"/>
      <c r="AY14" s="118"/>
      <c r="AZ14" s="118"/>
      <c r="BA14" s="118"/>
      <c r="BB14" s="118"/>
      <c r="BC14" s="118"/>
    </row>
    <row r="15" spans="1:55">
      <c r="A15" s="48">
        <f>IF(B15="","",SUBTOTAL(3,$B$8:B15))</f>
        <v>8</v>
      </c>
      <c r="B15" s="49" t="str">
        <f>IF(HKI!$B18="","",HKI!B18)</f>
        <v>13D301Đ037</v>
      </c>
      <c r="C15" s="263" t="str">
        <f>IF(HKI!$B18="","",HKI!C18)</f>
        <v>Nguyễn Thành</v>
      </c>
      <c r="D15" s="264" t="str">
        <f>IF(HKI!$B18="","",HKI!D18)</f>
        <v>Đông</v>
      </c>
      <c r="E15" s="14" t="str">
        <f t="shared" si="0"/>
        <v/>
      </c>
      <c r="F15" s="14" t="str">
        <f t="shared" si="1"/>
        <v/>
      </c>
      <c r="G15" s="11" t="str">
        <f>IF(HKI!I18&lt;4,"X","")</f>
        <v/>
      </c>
      <c r="H15" s="11" t="str">
        <f>IF(HKI!M18&lt;4,"X","")</f>
        <v/>
      </c>
      <c r="I15" s="11" t="str">
        <f>IF(HKI!Q18&lt;4,"X","")</f>
        <v/>
      </c>
      <c r="J15" s="11" t="str">
        <f>IF(HKI!U18&lt;4,"X","")</f>
        <v/>
      </c>
      <c r="K15" s="11" t="str">
        <f>IF(HKI!Y18&lt;4,"X","")</f>
        <v/>
      </c>
      <c r="L15" s="11" t="str">
        <f>IF(HKI!AC18&lt;4,"X","")</f>
        <v/>
      </c>
      <c r="M15" s="11" t="str">
        <f>IF(HKI!AG18&lt;4,"X","")</f>
        <v/>
      </c>
      <c r="N15" s="11" t="str">
        <f>IF(HKI!AK18&lt;4,"X","")</f>
        <v/>
      </c>
      <c r="O15" s="11" t="str">
        <f>IF(HKI!AO18&lt;4,"X","")</f>
        <v/>
      </c>
      <c r="P15" s="11" t="str">
        <f>IF(HKI!AS18&lt;4,"X","")</f>
        <v/>
      </c>
      <c r="Q15" s="11" t="str">
        <f>IF(HKI!AW18&lt;4,"X","")</f>
        <v/>
      </c>
      <c r="R15" s="118"/>
      <c r="S15" s="118"/>
      <c r="AV15" s="118"/>
      <c r="AW15" s="118"/>
      <c r="AX15" s="118"/>
      <c r="AY15" s="118"/>
      <c r="AZ15" s="118"/>
      <c r="BA15" s="118"/>
      <c r="BB15" s="118"/>
      <c r="BC15" s="118"/>
    </row>
    <row r="16" spans="1:55">
      <c r="A16" s="48">
        <f>IF(B16="","",SUBTOTAL(3,$B$8:B16))</f>
        <v>9</v>
      </c>
      <c r="B16" s="49" t="str">
        <f>IF(HKI!$B19="","",HKI!B19)</f>
        <v>13D301Đ041</v>
      </c>
      <c r="C16" s="263" t="str">
        <f>IF(HKI!$B19="","",HKI!C19)</f>
        <v>Lê Hoàng</v>
      </c>
      <c r="D16" s="264" t="str">
        <f>IF(HKI!$B19="","",HKI!D19)</f>
        <v>Giang</v>
      </c>
      <c r="E16" s="14">
        <f t="shared" si="0"/>
        <v>1</v>
      </c>
      <c r="F16" s="14">
        <f t="shared" si="1"/>
        <v>2</v>
      </c>
      <c r="G16" s="11" t="str">
        <f>IF(HKI!I19&lt;4,"X","")</f>
        <v/>
      </c>
      <c r="H16" s="11" t="str">
        <f>IF(HKI!M19&lt;4,"X","")</f>
        <v/>
      </c>
      <c r="I16" s="11" t="str">
        <f>IF(HKI!Q19&lt;4,"X","")</f>
        <v/>
      </c>
      <c r="J16" s="11" t="str">
        <f>IF(HKI!U19&lt;4,"X","")</f>
        <v/>
      </c>
      <c r="K16" s="11" t="str">
        <f>IF(HKI!Y19&lt;4,"X","")</f>
        <v/>
      </c>
      <c r="L16" s="11" t="str">
        <f>IF(HKI!AC19&lt;4,"X","")</f>
        <v>X</v>
      </c>
      <c r="M16" s="11" t="str">
        <f>IF(HKI!AG19&lt;4,"X","")</f>
        <v/>
      </c>
      <c r="N16" s="11" t="str">
        <f>IF(HKI!AK19&lt;4,"X","")</f>
        <v/>
      </c>
      <c r="O16" s="11" t="str">
        <f>IF(HKI!AO19&lt;4,"X","")</f>
        <v/>
      </c>
      <c r="P16" s="11" t="str">
        <f>IF(HKI!AS19&lt;4,"X","")</f>
        <v/>
      </c>
      <c r="Q16" s="11" t="str">
        <f>IF(HKI!AW19&lt;4,"X","")</f>
        <v/>
      </c>
      <c r="R16" s="118"/>
      <c r="S16" s="118"/>
      <c r="AV16" s="118"/>
      <c r="AW16" s="118"/>
      <c r="AX16" s="118"/>
      <c r="AY16" s="118"/>
      <c r="AZ16" s="118"/>
      <c r="BA16" s="118"/>
      <c r="BB16" s="118"/>
      <c r="BC16" s="118"/>
    </row>
    <row r="17" spans="1:55">
      <c r="A17" s="48">
        <f>IF(B17="","",SUBTOTAL(3,$B$8:B17))</f>
        <v>10</v>
      </c>
      <c r="B17" s="49" t="str">
        <f>IF(HKI!$B20="","",HKI!B20)</f>
        <v>13D301Đ045</v>
      </c>
      <c r="C17" s="263" t="str">
        <f>IF(HKI!$B20="","",HKI!C20)</f>
        <v>Lê Công</v>
      </c>
      <c r="D17" s="264" t="str">
        <f>IF(HKI!$B20="","",HKI!D20)</f>
        <v>Hậu</v>
      </c>
      <c r="E17" s="14">
        <f t="shared" si="0"/>
        <v>2</v>
      </c>
      <c r="F17" s="14">
        <f t="shared" si="1"/>
        <v>5</v>
      </c>
      <c r="G17" s="11" t="str">
        <f>IF(HKI!I20&lt;4,"X","")</f>
        <v/>
      </c>
      <c r="H17" s="11" t="str">
        <f>IF(HKI!M20&lt;4,"X","")</f>
        <v/>
      </c>
      <c r="I17" s="11" t="str">
        <f>IF(HKI!Q20&lt;4,"X","")</f>
        <v>X</v>
      </c>
      <c r="J17" s="11" t="str">
        <f>IF(HKI!U20&lt;4,"X","")</f>
        <v/>
      </c>
      <c r="K17" s="11" t="str">
        <f>IF(HKI!Y20&lt;4,"X","")</f>
        <v/>
      </c>
      <c r="L17" s="11" t="str">
        <f>IF(HKI!AC20&lt;4,"X","")</f>
        <v>X</v>
      </c>
      <c r="M17" s="11" t="str">
        <f>IF(HKI!AG20&lt;4,"X","")</f>
        <v/>
      </c>
      <c r="N17" s="11" t="str">
        <f>IF(HKI!AK20&lt;4,"X","")</f>
        <v/>
      </c>
      <c r="O17" s="11" t="str">
        <f>IF(HKI!AO20&lt;4,"X","")</f>
        <v/>
      </c>
      <c r="P17" s="11" t="str">
        <f>IF(HKI!AS20&lt;4,"X","")</f>
        <v/>
      </c>
      <c r="Q17" s="11" t="str">
        <f>IF(HKI!AW20&lt;4,"X","")</f>
        <v/>
      </c>
      <c r="R17" s="118"/>
      <c r="S17" s="118"/>
      <c r="AV17" s="118"/>
      <c r="AW17" s="118"/>
      <c r="AX17" s="118"/>
      <c r="AY17" s="118"/>
      <c r="AZ17" s="118"/>
      <c r="BA17" s="118"/>
      <c r="BB17" s="118"/>
      <c r="BC17" s="118"/>
    </row>
    <row r="18" spans="1:55">
      <c r="A18" s="48">
        <f>IF(B18="","",SUBTOTAL(3,$B$8:B18))</f>
        <v>11</v>
      </c>
      <c r="B18" s="49" t="str">
        <f>IF(HKI!$B21="","",HKI!B21)</f>
        <v>13D301Đ049</v>
      </c>
      <c r="C18" s="263" t="str">
        <f>IF(HKI!$B21="","",HKI!C21)</f>
        <v>Lê Minh</v>
      </c>
      <c r="D18" s="264" t="str">
        <f>IF(HKI!$B21="","",HKI!D21)</f>
        <v>Hiếu</v>
      </c>
      <c r="E18" s="14" t="str">
        <f t="shared" si="0"/>
        <v/>
      </c>
      <c r="F18" s="14" t="str">
        <f t="shared" si="1"/>
        <v/>
      </c>
      <c r="G18" s="11" t="str">
        <f>IF(HKI!I21&lt;4,"X","")</f>
        <v/>
      </c>
      <c r="H18" s="11" t="str">
        <f>IF(HKI!M21&lt;4,"X","")</f>
        <v/>
      </c>
      <c r="I18" s="11" t="str">
        <f>IF(HKI!Q21&lt;4,"X","")</f>
        <v/>
      </c>
      <c r="J18" s="11" t="str">
        <f>IF(HKI!U21&lt;4,"X","")</f>
        <v/>
      </c>
      <c r="K18" s="11" t="str">
        <f>IF(HKI!Y21&lt;4,"X","")</f>
        <v/>
      </c>
      <c r="L18" s="11" t="str">
        <f>IF(HKI!AC21&lt;4,"X","")</f>
        <v/>
      </c>
      <c r="M18" s="11" t="str">
        <f>IF(HKI!AG21&lt;4,"X","")</f>
        <v/>
      </c>
      <c r="N18" s="11" t="str">
        <f>IF(HKI!AK21&lt;4,"X","")</f>
        <v/>
      </c>
      <c r="O18" s="11" t="str">
        <f>IF(HKI!AO21&lt;4,"X","")</f>
        <v/>
      </c>
      <c r="P18" s="11" t="str">
        <f>IF(HKI!AS21&lt;4,"X","")</f>
        <v/>
      </c>
      <c r="Q18" s="11" t="str">
        <f>IF(HKI!AW21&lt;4,"X","")</f>
        <v/>
      </c>
      <c r="R18" s="118"/>
      <c r="S18" s="118"/>
      <c r="AV18" s="118"/>
      <c r="AW18" s="118"/>
      <c r="AX18" s="118"/>
      <c r="AY18" s="118"/>
      <c r="AZ18" s="118"/>
      <c r="BA18" s="118"/>
      <c r="BB18" s="118"/>
      <c r="BC18" s="118"/>
    </row>
    <row r="19" spans="1:55">
      <c r="A19" s="48">
        <f>IF(B19="","",SUBTOTAL(3,$B$8:B19))</f>
        <v>12</v>
      </c>
      <c r="B19" s="49" t="str">
        <f>IF(HKI!$B22="","",HKI!B22)</f>
        <v>13D301Đ053</v>
      </c>
      <c r="C19" s="263" t="str">
        <f>IF(HKI!$B22="","",HKI!C22)</f>
        <v>Nguyễn Ngọc</v>
      </c>
      <c r="D19" s="264" t="str">
        <f>IF(HKI!$B22="","",HKI!D22)</f>
        <v>Hoài</v>
      </c>
      <c r="E19" s="14" t="str">
        <f t="shared" si="0"/>
        <v/>
      </c>
      <c r="F19" s="14" t="str">
        <f t="shared" si="1"/>
        <v/>
      </c>
      <c r="G19" s="11" t="str">
        <f>IF(HKI!I22&lt;4,"X","")</f>
        <v/>
      </c>
      <c r="H19" s="11" t="str">
        <f>IF(HKI!M22&lt;4,"X","")</f>
        <v/>
      </c>
      <c r="I19" s="11" t="str">
        <f>IF(HKI!Q22&lt;4,"X","")</f>
        <v/>
      </c>
      <c r="J19" s="11" t="str">
        <f>IF(HKI!U22&lt;4,"X","")</f>
        <v/>
      </c>
      <c r="K19" s="11" t="str">
        <f>IF(HKI!Y22&lt;4,"X","")</f>
        <v/>
      </c>
      <c r="L19" s="11" t="str">
        <f>IF(HKI!AC22&lt;4,"X","")</f>
        <v/>
      </c>
      <c r="M19" s="11" t="str">
        <f>IF(HKI!AG22&lt;4,"X","")</f>
        <v/>
      </c>
      <c r="N19" s="11" t="str">
        <f>IF(HKI!AK22&lt;4,"X","")</f>
        <v/>
      </c>
      <c r="O19" s="11" t="str">
        <f>IF(HKI!AO22&lt;4,"X","")</f>
        <v/>
      </c>
      <c r="P19" s="11" t="str">
        <f>IF(HKI!AS22&lt;4,"X","")</f>
        <v/>
      </c>
      <c r="Q19" s="11" t="str">
        <f>IF(HKI!AW22&lt;4,"X","")</f>
        <v/>
      </c>
      <c r="R19" s="118"/>
      <c r="S19" s="118"/>
      <c r="AV19" s="118"/>
      <c r="AW19" s="118"/>
      <c r="AX19" s="118"/>
      <c r="AY19" s="118"/>
      <c r="AZ19" s="118"/>
      <c r="BA19" s="118"/>
      <c r="BB19" s="118"/>
      <c r="BC19" s="118"/>
    </row>
    <row r="20" spans="1:55">
      <c r="A20" s="48">
        <f>IF(B20="","",SUBTOTAL(3,$B$8:B20))</f>
        <v>13</v>
      </c>
      <c r="B20" s="49" t="str">
        <f>IF(HKI!$B23="","",HKI!B23)</f>
        <v>13D301Đ057</v>
      </c>
      <c r="C20" s="263" t="str">
        <f>IF(HKI!$B23="","",HKI!C23)</f>
        <v>Trịnh Thanh</v>
      </c>
      <c r="D20" s="264" t="str">
        <f>IF(HKI!$B23="","",HKI!D23)</f>
        <v>Hoàng</v>
      </c>
      <c r="E20" s="14" t="str">
        <f t="shared" si="0"/>
        <v/>
      </c>
      <c r="F20" s="14" t="str">
        <f t="shared" si="1"/>
        <v/>
      </c>
      <c r="G20" s="11" t="str">
        <f>IF(HKI!I23&lt;4,"X","")</f>
        <v/>
      </c>
      <c r="H20" s="11" t="str">
        <f>IF(HKI!M23&lt;4,"X","")</f>
        <v/>
      </c>
      <c r="I20" s="11" t="str">
        <f>IF(HKI!Q23&lt;4,"X","")</f>
        <v/>
      </c>
      <c r="J20" s="11" t="str">
        <f>IF(HKI!U23&lt;4,"X","")</f>
        <v/>
      </c>
      <c r="K20" s="11" t="str">
        <f>IF(HKI!Y23&lt;4,"X","")</f>
        <v/>
      </c>
      <c r="L20" s="11" t="str">
        <f>IF(HKI!AC23&lt;4,"X","")</f>
        <v/>
      </c>
      <c r="M20" s="11" t="str">
        <f>IF(HKI!AG23&lt;4,"X","")</f>
        <v/>
      </c>
      <c r="N20" s="11" t="str">
        <f>IF(HKI!AK23&lt;4,"X","")</f>
        <v/>
      </c>
      <c r="O20" s="11" t="str">
        <f>IF(HKI!AO23&lt;4,"X","")</f>
        <v/>
      </c>
      <c r="P20" s="11" t="str">
        <f>IF(HKI!AS23&lt;4,"X","")</f>
        <v/>
      </c>
      <c r="Q20" s="11" t="str">
        <f>IF(HKI!AW23&lt;4,"X","")</f>
        <v/>
      </c>
      <c r="R20" s="118"/>
      <c r="S20" s="118"/>
      <c r="AV20" s="118"/>
      <c r="AW20" s="118"/>
      <c r="AX20" s="118"/>
      <c r="AY20" s="118"/>
      <c r="AZ20" s="118"/>
      <c r="BA20" s="118"/>
      <c r="BB20" s="118"/>
      <c r="BC20" s="118"/>
    </row>
    <row r="21" spans="1:55">
      <c r="A21" s="48">
        <f>IF(B21="","",SUBTOTAL(3,$B$8:B21))</f>
        <v>14</v>
      </c>
      <c r="B21" s="49" t="str">
        <f>IF(HKI!$B24="","",HKI!B24)</f>
        <v>13D301Đ061</v>
      </c>
      <c r="C21" s="263" t="str">
        <f>IF(HKI!$B24="","",HKI!C24)</f>
        <v>Huỳnh Thanh</v>
      </c>
      <c r="D21" s="264" t="str">
        <f>IF(HKI!$B24="","",HKI!D24)</f>
        <v>Hùng</v>
      </c>
      <c r="E21" s="14">
        <f t="shared" si="0"/>
        <v>1</v>
      </c>
      <c r="F21" s="14">
        <f t="shared" si="1"/>
        <v>2</v>
      </c>
      <c r="G21" s="11" t="str">
        <f>IF(HKI!I24&lt;4,"X","")</f>
        <v/>
      </c>
      <c r="H21" s="11" t="str">
        <f>IF(HKI!M24&lt;4,"X","")</f>
        <v/>
      </c>
      <c r="I21" s="11" t="str">
        <f>IF(HKI!Q24&lt;4,"X","")</f>
        <v/>
      </c>
      <c r="J21" s="11" t="str">
        <f>IF(HKI!U24&lt;4,"X","")</f>
        <v/>
      </c>
      <c r="K21" s="11" t="str">
        <f>IF(HKI!Y24&lt;4,"X","")</f>
        <v/>
      </c>
      <c r="L21" s="11" t="str">
        <f>IF(HKI!AC24&lt;4,"X","")</f>
        <v>X</v>
      </c>
      <c r="M21" s="11" t="str">
        <f>IF(HKI!AG24&lt;4,"X","")</f>
        <v/>
      </c>
      <c r="N21" s="11" t="str">
        <f>IF(HKI!AK24&lt;4,"X","")</f>
        <v/>
      </c>
      <c r="O21" s="11" t="str">
        <f>IF(HKI!AO24&lt;4,"X","")</f>
        <v/>
      </c>
      <c r="P21" s="11" t="str">
        <f>IF(HKI!AS24&lt;4,"X","")</f>
        <v/>
      </c>
      <c r="Q21" s="11" t="str">
        <f>IF(HKI!AW24&lt;4,"X","")</f>
        <v/>
      </c>
      <c r="R21" s="118"/>
      <c r="S21" s="118"/>
      <c r="AV21" s="118"/>
      <c r="AW21" s="118"/>
      <c r="AX21" s="118"/>
      <c r="AY21" s="118"/>
      <c r="AZ21" s="118"/>
      <c r="BA21" s="118"/>
      <c r="BB21" s="118"/>
      <c r="BC21" s="118"/>
    </row>
    <row r="22" spans="1:55">
      <c r="A22" s="48">
        <f>IF(B22="","",SUBTOTAL(3,$B$8:B22))</f>
        <v>15</v>
      </c>
      <c r="B22" s="49" t="str">
        <f>IF(HKI!$B25="","",HKI!B25)</f>
        <v>13D301Đ065</v>
      </c>
      <c r="C22" s="263" t="str">
        <f>IF(HKI!$B25="","",HKI!C25)</f>
        <v>Đoàn Lê Xuân</v>
      </c>
      <c r="D22" s="264" t="str">
        <f>IF(HKI!$B25="","",HKI!D25)</f>
        <v>Huy</v>
      </c>
      <c r="E22" s="14" t="str">
        <f t="shared" si="0"/>
        <v/>
      </c>
      <c r="F22" s="14" t="str">
        <f t="shared" si="1"/>
        <v/>
      </c>
      <c r="G22" s="11" t="str">
        <f>IF(HKI!I25&lt;4,"X","")</f>
        <v/>
      </c>
      <c r="H22" s="11" t="str">
        <f>IF(HKI!M25&lt;4,"X","")</f>
        <v/>
      </c>
      <c r="I22" s="11" t="str">
        <f>IF(HKI!Q25&lt;4,"X","")</f>
        <v/>
      </c>
      <c r="J22" s="11" t="str">
        <f>IF(HKI!U25&lt;4,"X","")</f>
        <v/>
      </c>
      <c r="K22" s="11" t="str">
        <f>IF(HKI!Y25&lt;4,"X","")</f>
        <v/>
      </c>
      <c r="L22" s="11" t="str">
        <f>IF(HKI!AC25&lt;4,"X","")</f>
        <v/>
      </c>
      <c r="M22" s="11" t="str">
        <f>IF(HKI!AG25&lt;4,"X","")</f>
        <v/>
      </c>
      <c r="N22" s="11" t="str">
        <f>IF(HKI!AK25&lt;4,"X","")</f>
        <v/>
      </c>
      <c r="O22" s="11" t="str">
        <f>IF(HKI!AO25&lt;4,"X","")</f>
        <v/>
      </c>
      <c r="P22" s="11" t="str">
        <f>IF(HKI!AS25&lt;4,"X","")</f>
        <v/>
      </c>
      <c r="Q22" s="11" t="str">
        <f>IF(HKI!AW25&lt;4,"X","")</f>
        <v/>
      </c>
      <c r="R22" s="118"/>
      <c r="S22" s="118"/>
      <c r="AV22" s="118"/>
      <c r="AW22" s="118"/>
      <c r="AX22" s="118"/>
      <c r="AY22" s="118"/>
      <c r="AZ22" s="118"/>
      <c r="BA22" s="118"/>
      <c r="BB22" s="118"/>
      <c r="BC22" s="118"/>
    </row>
    <row r="23" spans="1:55">
      <c r="A23" s="48">
        <f>IF(B23="","",SUBTOTAL(3,$B$8:B23))</f>
        <v>16</v>
      </c>
      <c r="B23" s="49" t="str">
        <f>IF(HKI!$B26="","",HKI!B26)</f>
        <v>13D301Đ073</v>
      </c>
      <c r="C23" s="263" t="str">
        <f>IF(HKI!$B26="","",HKI!C26)</f>
        <v>Trịnh Đại</v>
      </c>
      <c r="D23" s="264" t="str">
        <f>IF(HKI!$B26="","",HKI!D26)</f>
        <v>Lăng</v>
      </c>
      <c r="E23" s="14">
        <f t="shared" si="0"/>
        <v>1</v>
      </c>
      <c r="F23" s="14">
        <f t="shared" si="1"/>
        <v>2</v>
      </c>
      <c r="G23" s="11" t="str">
        <f>IF(HKI!I26&lt;4,"X","")</f>
        <v/>
      </c>
      <c r="H23" s="11" t="str">
        <f>IF(HKI!M26&lt;4,"X","")</f>
        <v/>
      </c>
      <c r="I23" s="11" t="str">
        <f>IF(HKI!Q26&lt;4,"X","")</f>
        <v/>
      </c>
      <c r="J23" s="11" t="str">
        <f>IF(HKI!U26&lt;4,"X","")</f>
        <v>X</v>
      </c>
      <c r="K23" s="11" t="str">
        <f>IF(HKI!Y26&lt;4,"X","")</f>
        <v/>
      </c>
      <c r="L23" s="11" t="str">
        <f>IF(HKI!AC26&lt;4,"X","")</f>
        <v/>
      </c>
      <c r="M23" s="11" t="str">
        <f>IF(HKI!AG26&lt;4,"X","")</f>
        <v/>
      </c>
      <c r="N23" s="11" t="str">
        <f>IF(HKI!AK26&lt;4,"X","")</f>
        <v/>
      </c>
      <c r="O23" s="11" t="str">
        <f>IF(HKI!AO26&lt;4,"X","")</f>
        <v/>
      </c>
      <c r="P23" s="11" t="str">
        <f>IF(HKI!AS26&lt;4,"X","")</f>
        <v/>
      </c>
      <c r="Q23" s="11" t="str">
        <f>IF(HKI!AW26&lt;4,"X","")</f>
        <v/>
      </c>
      <c r="R23" s="118"/>
      <c r="S23" s="118"/>
      <c r="AV23" s="118"/>
      <c r="AW23" s="118"/>
      <c r="AX23" s="118"/>
      <c r="AY23" s="118"/>
      <c r="AZ23" s="118"/>
      <c r="BA23" s="118"/>
      <c r="BB23" s="118"/>
      <c r="BC23" s="118"/>
    </row>
    <row r="24" spans="1:55">
      <c r="A24" s="48">
        <f>IF(B24="","",SUBTOTAL(3,$B$8:B24))</f>
        <v>17</v>
      </c>
      <c r="B24" s="49" t="str">
        <f>IF(HKI!$B27="","",HKI!B27)</f>
        <v>13D301Đ204</v>
      </c>
      <c r="C24" s="263" t="str">
        <f>IF(HKI!$B27="","",HKI!C27)</f>
        <v>Nguyễn Khánh</v>
      </c>
      <c r="D24" s="264" t="str">
        <f>IF(HKI!$B27="","",HKI!D27)</f>
        <v>Linh</v>
      </c>
      <c r="E24" s="14" t="str">
        <f t="shared" si="0"/>
        <v/>
      </c>
      <c r="F24" s="14" t="str">
        <f t="shared" si="1"/>
        <v/>
      </c>
      <c r="G24" s="11" t="str">
        <f>IF(HKI!I27&lt;4,"X","")</f>
        <v/>
      </c>
      <c r="H24" s="11" t="str">
        <f>IF(HKI!M27&lt;4,"X","")</f>
        <v/>
      </c>
      <c r="I24" s="11" t="str">
        <f>IF(HKI!Q27&lt;4,"X","")</f>
        <v/>
      </c>
      <c r="J24" s="11" t="str">
        <f>IF(HKI!U27&lt;4,"X","")</f>
        <v/>
      </c>
      <c r="K24" s="11" t="str">
        <f>IF(HKI!Y27&lt;4,"X","")</f>
        <v/>
      </c>
      <c r="L24" s="11" t="str">
        <f>IF(HKI!AC27&lt;4,"X","")</f>
        <v/>
      </c>
      <c r="M24" s="11" t="str">
        <f>IF(HKI!AG27&lt;4,"X","")</f>
        <v/>
      </c>
      <c r="N24" s="11" t="str">
        <f>IF(HKI!AK27&lt;4,"X","")</f>
        <v/>
      </c>
      <c r="O24" s="11" t="str">
        <f>IF(HKI!AO27&lt;4,"X","")</f>
        <v/>
      </c>
      <c r="P24" s="11" t="str">
        <f>IF(HKI!AS27&lt;4,"X","")</f>
        <v/>
      </c>
      <c r="Q24" s="11" t="str">
        <f>IF(HKI!AW27&lt;4,"X","")</f>
        <v/>
      </c>
      <c r="R24" s="118"/>
      <c r="S24" s="118"/>
      <c r="AV24" s="118"/>
      <c r="AW24" s="118"/>
      <c r="AX24" s="118"/>
      <c r="AY24" s="118"/>
      <c r="AZ24" s="118"/>
      <c r="BA24" s="118"/>
      <c r="BB24" s="118"/>
      <c r="BC24" s="118"/>
    </row>
    <row r="25" spans="1:55">
      <c r="A25" s="48">
        <f>IF(B25="","",SUBTOTAL(3,$B$8:B25))</f>
        <v>18</v>
      </c>
      <c r="B25" s="49" t="str">
        <f>IF(HKI!$B28="","",HKI!B28)</f>
        <v>13D301Đ162</v>
      </c>
      <c r="C25" s="263" t="str">
        <f>IF(HKI!$B28="","",HKI!C28)</f>
        <v>Đỗ Văn</v>
      </c>
      <c r="D25" s="264" t="str">
        <f>IF(HKI!$B28="","",HKI!D28)</f>
        <v>Lượng</v>
      </c>
      <c r="E25" s="14">
        <f t="shared" si="0"/>
        <v>2</v>
      </c>
      <c r="F25" s="14">
        <f t="shared" si="1"/>
        <v>4</v>
      </c>
      <c r="G25" s="11" t="str">
        <f>IF(HKI!I28&lt;4,"X","")</f>
        <v/>
      </c>
      <c r="H25" s="11" t="str">
        <f>IF(HKI!M28&lt;4,"X","")</f>
        <v/>
      </c>
      <c r="I25" s="11" t="str">
        <f>IF(HKI!Q28&lt;4,"X","")</f>
        <v/>
      </c>
      <c r="J25" s="11" t="str">
        <f>IF(HKI!U28&lt;4,"X","")</f>
        <v>X</v>
      </c>
      <c r="K25" s="11" t="str">
        <f>IF(HKI!Y28&lt;4,"X","")</f>
        <v/>
      </c>
      <c r="L25" s="11" t="str">
        <f>IF(HKI!AC28&lt;4,"X","")</f>
        <v>X</v>
      </c>
      <c r="M25" s="11" t="str">
        <f>IF(HKI!AG28&lt;4,"X","")</f>
        <v/>
      </c>
      <c r="N25" s="11" t="str">
        <f>IF(HKI!AK28&lt;4,"X","")</f>
        <v/>
      </c>
      <c r="O25" s="11" t="str">
        <f>IF(HKI!AO28&lt;4,"X","")</f>
        <v/>
      </c>
      <c r="P25" s="11" t="str">
        <f>IF(HKI!AS28&lt;4,"X","")</f>
        <v/>
      </c>
      <c r="Q25" s="11" t="str">
        <f>IF(HKI!AW28&lt;4,"X","")</f>
        <v/>
      </c>
      <c r="R25" s="118"/>
      <c r="S25" s="118"/>
      <c r="AV25" s="118"/>
      <c r="AW25" s="118"/>
      <c r="AX25" s="118"/>
      <c r="AY25" s="118"/>
      <c r="AZ25" s="118"/>
      <c r="BA25" s="118"/>
      <c r="BB25" s="118"/>
      <c r="BC25" s="118"/>
    </row>
    <row r="26" spans="1:55">
      <c r="A26" s="48">
        <f>IF(B26="","",SUBTOTAL(3,$B$8:B26))</f>
        <v>19</v>
      </c>
      <c r="B26" s="49" t="str">
        <f>IF(HKI!$B29="","",HKI!B29)</f>
        <v>13D301Đ081</v>
      </c>
      <c r="C26" s="263" t="str">
        <f>IF(HKI!$B29="","",HKI!C29)</f>
        <v>Mai Đình</v>
      </c>
      <c r="D26" s="264" t="str">
        <f>IF(HKI!$B29="","",HKI!D29)</f>
        <v>Luyện</v>
      </c>
      <c r="E26" s="14">
        <f t="shared" si="0"/>
        <v>2</v>
      </c>
      <c r="F26" s="14">
        <f t="shared" si="1"/>
        <v>4</v>
      </c>
      <c r="G26" s="11" t="str">
        <f>IF(HKI!I29&lt;4,"X","")</f>
        <v/>
      </c>
      <c r="H26" s="11" t="str">
        <f>IF(HKI!M29&lt;4,"X","")</f>
        <v/>
      </c>
      <c r="I26" s="11" t="str">
        <f>IF(HKI!Q29&lt;4,"X","")</f>
        <v/>
      </c>
      <c r="J26" s="11" t="str">
        <f>IF(HKI!U29&lt;4,"X","")</f>
        <v>X</v>
      </c>
      <c r="K26" s="11" t="str">
        <f>IF(HKI!Y29&lt;4,"X","")</f>
        <v/>
      </c>
      <c r="L26" s="11" t="str">
        <f>IF(HKI!AC29&lt;4,"X","")</f>
        <v>X</v>
      </c>
      <c r="M26" s="11" t="str">
        <f>IF(HKI!AG29&lt;4,"X","")</f>
        <v/>
      </c>
      <c r="N26" s="11" t="str">
        <f>IF(HKI!AK29&lt;4,"X","")</f>
        <v/>
      </c>
      <c r="O26" s="11" t="str">
        <f>IF(HKI!AO29&lt;4,"X","")</f>
        <v/>
      </c>
      <c r="P26" s="11" t="str">
        <f>IF(HKI!AS29&lt;4,"X","")</f>
        <v/>
      </c>
      <c r="Q26" s="11" t="str">
        <f>IF(HKI!AW29&lt;4,"X","")</f>
        <v/>
      </c>
      <c r="R26" s="118"/>
      <c r="S26" s="118"/>
      <c r="AV26" s="118"/>
      <c r="AW26" s="118"/>
      <c r="AX26" s="118"/>
      <c r="AY26" s="118"/>
      <c r="AZ26" s="118"/>
      <c r="BA26" s="118"/>
      <c r="BB26" s="118"/>
      <c r="BC26" s="118"/>
    </row>
    <row r="27" spans="1:55">
      <c r="A27" s="48">
        <f>IF(B27="","",SUBTOTAL(3,$B$8:B27))</f>
        <v>20</v>
      </c>
      <c r="B27" s="49" t="str">
        <f>IF(HKI!$B30="","",HKI!B30)</f>
        <v>13D301Đ085</v>
      </c>
      <c r="C27" s="263" t="str">
        <f>IF(HKI!$B30="","",HKI!C30)</f>
        <v>Võ Hoài</v>
      </c>
      <c r="D27" s="264" t="str">
        <f>IF(HKI!$B30="","",HKI!D30)</f>
        <v>Nam</v>
      </c>
      <c r="E27" s="14">
        <f t="shared" si="0"/>
        <v>1</v>
      </c>
      <c r="F27" s="14">
        <f t="shared" si="1"/>
        <v>2</v>
      </c>
      <c r="G27" s="11" t="str">
        <f>IF(HKI!I30&lt;4,"X","")</f>
        <v/>
      </c>
      <c r="H27" s="11" t="str">
        <f>IF(HKI!M30&lt;4,"X","")</f>
        <v/>
      </c>
      <c r="I27" s="11" t="str">
        <f>IF(HKI!Q30&lt;4,"X","")</f>
        <v/>
      </c>
      <c r="J27" s="11" t="str">
        <f>IF(HKI!U30&lt;4,"X","")</f>
        <v/>
      </c>
      <c r="K27" s="11" t="str">
        <f>IF(HKI!Y30&lt;4,"X","")</f>
        <v/>
      </c>
      <c r="L27" s="11" t="str">
        <f>IF(HKI!AC30&lt;4,"X","")</f>
        <v>X</v>
      </c>
      <c r="M27" s="11" t="str">
        <f>IF(HKI!AG30&lt;4,"X","")</f>
        <v/>
      </c>
      <c r="N27" s="11" t="str">
        <f>IF(HKI!AK30&lt;4,"X","")</f>
        <v/>
      </c>
      <c r="O27" s="11" t="str">
        <f>IF(HKI!AO30&lt;4,"X","")</f>
        <v/>
      </c>
      <c r="P27" s="11" t="str">
        <f>IF(HKI!AS30&lt;4,"X","")</f>
        <v/>
      </c>
      <c r="Q27" s="11" t="str">
        <f>IF(HKI!AW30&lt;4,"X","")</f>
        <v/>
      </c>
      <c r="R27" s="118"/>
      <c r="S27" s="118"/>
      <c r="AV27" s="118"/>
      <c r="AW27" s="118"/>
      <c r="AX27" s="118"/>
      <c r="AY27" s="118"/>
      <c r="AZ27" s="118"/>
      <c r="BA27" s="118"/>
      <c r="BB27" s="118"/>
      <c r="BC27" s="118"/>
    </row>
    <row r="28" spans="1:55">
      <c r="A28" s="48">
        <f>IF(B28="","",SUBTOTAL(3,$B$8:B28))</f>
        <v>21</v>
      </c>
      <c r="B28" s="49" t="str">
        <f>IF(HKI!$B31="","",HKI!B31)</f>
        <v>13D301Đ089</v>
      </c>
      <c r="C28" s="263" t="str">
        <f>IF(HKI!$B31="","",HKI!C31)</f>
        <v>Nguyễn Hữu</v>
      </c>
      <c r="D28" s="264" t="str">
        <f>IF(HKI!$B31="","",HKI!D31)</f>
        <v>Nghĩa</v>
      </c>
      <c r="E28" s="14">
        <f t="shared" si="0"/>
        <v>2</v>
      </c>
      <c r="F28" s="14">
        <f t="shared" si="1"/>
        <v>4</v>
      </c>
      <c r="G28" s="11" t="str">
        <f>IF(HKI!I31&lt;4,"X","")</f>
        <v/>
      </c>
      <c r="H28" s="11" t="str">
        <f>IF(HKI!M31&lt;4,"X","")</f>
        <v/>
      </c>
      <c r="I28" s="11" t="str">
        <f>IF(HKI!Q31&lt;4,"X","")</f>
        <v/>
      </c>
      <c r="J28" s="11" t="str">
        <f>IF(HKI!U31&lt;4,"X","")</f>
        <v/>
      </c>
      <c r="K28" s="11" t="str">
        <f>IF(HKI!Y31&lt;4,"X","")</f>
        <v>X</v>
      </c>
      <c r="L28" s="11" t="str">
        <f>IF(HKI!AC31&lt;4,"X","")</f>
        <v>X</v>
      </c>
      <c r="M28" s="11" t="str">
        <f>IF(HKI!AG31&lt;4,"X","")</f>
        <v/>
      </c>
      <c r="N28" s="11" t="str">
        <f>IF(HKI!AK31&lt;4,"X","")</f>
        <v/>
      </c>
      <c r="O28" s="11" t="str">
        <f>IF(HKI!AO31&lt;4,"X","")</f>
        <v/>
      </c>
      <c r="P28" s="11" t="str">
        <f>IF(HKI!AS31&lt;4,"X","")</f>
        <v/>
      </c>
      <c r="Q28" s="11" t="str">
        <f>IF(HKI!AW31&lt;4,"X","")</f>
        <v/>
      </c>
      <c r="R28" s="118"/>
      <c r="S28" s="118"/>
      <c r="AV28" s="118"/>
      <c r="AW28" s="118"/>
      <c r="AX28" s="118"/>
      <c r="AY28" s="118"/>
      <c r="AZ28" s="118"/>
      <c r="BA28" s="118"/>
      <c r="BB28" s="118"/>
      <c r="BC28" s="118"/>
    </row>
    <row r="29" spans="1:55">
      <c r="A29" s="48">
        <f>IF(B29="","",SUBTOTAL(3,$B$8:B29))</f>
        <v>22</v>
      </c>
      <c r="B29" s="49" t="str">
        <f>IF(HKI!$B32="","",HKI!B32)</f>
        <v>13D301Đ097</v>
      </c>
      <c r="C29" s="263" t="str">
        <f>IF(HKI!$B32="","",HKI!C32)</f>
        <v>Nguyễn Thành</v>
      </c>
      <c r="D29" s="264" t="str">
        <f>IF(HKI!$B32="","",HKI!D32)</f>
        <v>Phát</v>
      </c>
      <c r="E29" s="14" t="str">
        <f t="shared" si="0"/>
        <v/>
      </c>
      <c r="F29" s="14" t="str">
        <f t="shared" si="1"/>
        <v/>
      </c>
      <c r="G29" s="11" t="str">
        <f>IF(HKI!I32&lt;4,"X","")</f>
        <v/>
      </c>
      <c r="H29" s="11" t="str">
        <f>IF(HKI!M32&lt;4,"X","")</f>
        <v/>
      </c>
      <c r="I29" s="11" t="str">
        <f>IF(HKI!Q32&lt;4,"X","")</f>
        <v/>
      </c>
      <c r="J29" s="11" t="str">
        <f>IF(HKI!U32&lt;4,"X","")</f>
        <v/>
      </c>
      <c r="K29" s="11" t="str">
        <f>IF(HKI!Y32&lt;4,"X","")</f>
        <v/>
      </c>
      <c r="L29" s="11" t="str">
        <f>IF(HKI!AC32&lt;4,"X","")</f>
        <v/>
      </c>
      <c r="M29" s="11" t="str">
        <f>IF(HKI!AG32&lt;4,"X","")</f>
        <v/>
      </c>
      <c r="N29" s="11" t="str">
        <f>IF(HKI!AK32&lt;4,"X","")</f>
        <v/>
      </c>
      <c r="O29" s="11" t="str">
        <f>IF(HKI!AO32&lt;4,"X","")</f>
        <v/>
      </c>
      <c r="P29" s="11" t="str">
        <f>IF(HKI!AS32&lt;4,"X","")</f>
        <v/>
      </c>
      <c r="Q29" s="11" t="str">
        <f>IF(HKI!AW32&lt;4,"X","")</f>
        <v/>
      </c>
      <c r="R29" s="118"/>
      <c r="S29" s="118"/>
      <c r="AV29" s="118"/>
      <c r="AW29" s="118"/>
      <c r="AX29" s="118"/>
      <c r="AY29" s="118"/>
      <c r="AZ29" s="118"/>
      <c r="BA29" s="118"/>
      <c r="BB29" s="118"/>
      <c r="BC29" s="118"/>
    </row>
    <row r="30" spans="1:55">
      <c r="A30" s="48">
        <f>IF(B30="","",SUBTOTAL(3,$B$8:B30))</f>
        <v>23</v>
      </c>
      <c r="B30" s="49" t="str">
        <f>IF(HKI!$B33="","",HKI!B33)</f>
        <v>13D301Đ101</v>
      </c>
      <c r="C30" s="263" t="str">
        <f>IF(HKI!$B33="","",HKI!C33)</f>
        <v>Huỳnh Thanh</v>
      </c>
      <c r="D30" s="264" t="str">
        <f>IF(HKI!$B33="","",HKI!D33)</f>
        <v>Phú</v>
      </c>
      <c r="E30" s="14">
        <f t="shared" si="0"/>
        <v>6</v>
      </c>
      <c r="F30" s="14">
        <f t="shared" si="1"/>
        <v>14</v>
      </c>
      <c r="G30" s="11" t="str">
        <f>IF(HKI!I33&lt;4,"X","")</f>
        <v>X</v>
      </c>
      <c r="H30" s="11" t="str">
        <f>IF(HKI!M33&lt;4,"X","")</f>
        <v>X</v>
      </c>
      <c r="I30" s="11" t="str">
        <f>IF(HKI!Q33&lt;4,"X","")</f>
        <v>X</v>
      </c>
      <c r="J30" s="11" t="str">
        <f>IF(HKI!U33&lt;4,"X","")</f>
        <v>X</v>
      </c>
      <c r="K30" s="11" t="str">
        <f>IF(HKI!Y33&lt;4,"X","")</f>
        <v>X</v>
      </c>
      <c r="L30" s="11" t="str">
        <f>IF(HKI!AC33&lt;4,"X","")</f>
        <v>X</v>
      </c>
      <c r="M30" s="11" t="str">
        <f>IF(HKI!AG33&lt;4,"X","")</f>
        <v/>
      </c>
      <c r="N30" s="11" t="str">
        <f>IF(HKI!AK33&lt;4,"X","")</f>
        <v/>
      </c>
      <c r="O30" s="11" t="str">
        <f>IF(HKI!AO33&lt;4,"X","")</f>
        <v/>
      </c>
      <c r="P30" s="11" t="str">
        <f>IF(HKI!AS33&lt;4,"X","")</f>
        <v/>
      </c>
      <c r="Q30" s="11" t="str">
        <f>IF(HKI!AW33&lt;4,"X","")</f>
        <v/>
      </c>
      <c r="R30" s="118"/>
      <c r="S30" s="118"/>
      <c r="AV30" s="118"/>
      <c r="AW30" s="118"/>
      <c r="AX30" s="118"/>
      <c r="AY30" s="118"/>
      <c r="AZ30" s="118"/>
      <c r="BA30" s="118"/>
      <c r="BB30" s="118"/>
      <c r="BC30" s="118"/>
    </row>
    <row r="31" spans="1:55">
      <c r="A31" s="48">
        <f>IF(B31="","",SUBTOTAL(3,$B$8:B31))</f>
        <v>24</v>
      </c>
      <c r="B31" s="49" t="str">
        <f>IF(HKI!$B34="","",HKI!B34)</f>
        <v>13D301Đ117</v>
      </c>
      <c r="C31" s="263" t="str">
        <f>IF(HKI!$B34="","",HKI!C34)</f>
        <v>Trịnh Ngọc</v>
      </c>
      <c r="D31" s="264" t="str">
        <f>IF(HKI!$B34="","",HKI!D34)</f>
        <v>Sơn</v>
      </c>
      <c r="E31" s="14">
        <f t="shared" si="0"/>
        <v>2</v>
      </c>
      <c r="F31" s="14">
        <f t="shared" si="1"/>
        <v>4</v>
      </c>
      <c r="G31" s="11" t="str">
        <f>IF(HKI!I34&lt;4,"X","")</f>
        <v/>
      </c>
      <c r="H31" s="11" t="str">
        <f>IF(HKI!M34&lt;4,"X","")</f>
        <v/>
      </c>
      <c r="I31" s="11" t="str">
        <f>IF(HKI!Q34&lt;4,"X","")</f>
        <v/>
      </c>
      <c r="J31" s="11" t="str">
        <f>IF(HKI!U34&lt;4,"X","")</f>
        <v>X</v>
      </c>
      <c r="K31" s="11" t="str">
        <f>IF(HKI!Y34&lt;4,"X","")</f>
        <v/>
      </c>
      <c r="L31" s="11" t="str">
        <f>IF(HKI!AC34&lt;4,"X","")</f>
        <v>X</v>
      </c>
      <c r="M31" s="11" t="str">
        <f>IF(HKI!AG34&lt;4,"X","")</f>
        <v/>
      </c>
      <c r="N31" s="11" t="str">
        <f>IF(HKI!AK34&lt;4,"X","")</f>
        <v/>
      </c>
      <c r="O31" s="11" t="str">
        <f>IF(HKI!AO34&lt;4,"X","")</f>
        <v/>
      </c>
      <c r="P31" s="11" t="str">
        <f>IF(HKI!AS34&lt;4,"X","")</f>
        <v/>
      </c>
      <c r="Q31" s="11" t="str">
        <f>IF(HKI!AW34&lt;4,"X","")</f>
        <v/>
      </c>
      <c r="R31" s="118"/>
      <c r="S31" s="118"/>
      <c r="AV31" s="118"/>
      <c r="AW31" s="118"/>
      <c r="AX31" s="118"/>
      <c r="AY31" s="118"/>
      <c r="AZ31" s="118"/>
      <c r="BA31" s="118"/>
      <c r="BB31" s="118"/>
      <c r="BC31" s="118"/>
    </row>
    <row r="32" spans="1:55">
      <c r="A32" s="48">
        <f>IF(B32="","",SUBTOTAL(3,$B$8:B32))</f>
        <v>25</v>
      </c>
      <c r="B32" s="49" t="str">
        <f>IF(HKI!$B35="","",HKI!B35)</f>
        <v>13D301Đ121</v>
      </c>
      <c r="C32" s="263" t="str">
        <f>IF(HKI!$B35="","",HKI!C35)</f>
        <v>Lê Minh</v>
      </c>
      <c r="D32" s="264" t="str">
        <f>IF(HKI!$B35="","",HKI!D35)</f>
        <v>Tâm</v>
      </c>
      <c r="E32" s="14">
        <f t="shared" si="0"/>
        <v>4</v>
      </c>
      <c r="F32" s="14">
        <f t="shared" si="1"/>
        <v>9</v>
      </c>
      <c r="G32" s="11" t="str">
        <f>IF(HKI!I35&lt;4,"X","")</f>
        <v/>
      </c>
      <c r="H32" s="11" t="str">
        <f>IF(HKI!M35&lt;4,"X","")</f>
        <v/>
      </c>
      <c r="I32" s="11" t="str">
        <f>IF(HKI!Q35&lt;4,"X","")</f>
        <v>X</v>
      </c>
      <c r="J32" s="11" t="str">
        <f>IF(HKI!U35&lt;4,"X","")</f>
        <v>X</v>
      </c>
      <c r="K32" s="11" t="str">
        <f>IF(HKI!Y35&lt;4,"X","")</f>
        <v>X</v>
      </c>
      <c r="L32" s="11" t="str">
        <f>IF(HKI!AC35&lt;4,"X","")</f>
        <v>X</v>
      </c>
      <c r="M32" s="11" t="str">
        <f>IF(HKI!AG35&lt;4,"X","")</f>
        <v/>
      </c>
      <c r="N32" s="11" t="str">
        <f>IF(HKI!AK35&lt;4,"X","")</f>
        <v/>
      </c>
      <c r="O32" s="11" t="str">
        <f>IF(HKI!AO35&lt;4,"X","")</f>
        <v/>
      </c>
      <c r="P32" s="11" t="str">
        <f>IF(HKI!AS35&lt;4,"X","")</f>
        <v/>
      </c>
      <c r="Q32" s="11" t="str">
        <f>IF(HKI!AW35&lt;4,"X","")</f>
        <v/>
      </c>
      <c r="R32" s="118"/>
      <c r="S32" s="118"/>
      <c r="AV32" s="118"/>
      <c r="AW32" s="118"/>
      <c r="AX32" s="118"/>
      <c r="AY32" s="118"/>
      <c r="AZ32" s="118"/>
      <c r="BA32" s="118"/>
      <c r="BB32" s="118"/>
      <c r="BC32" s="118"/>
    </row>
    <row r="33" spans="1:55">
      <c r="A33" s="48">
        <f>IF(B33="","",SUBTOTAL(3,$B$8:B33))</f>
        <v>26</v>
      </c>
      <c r="B33" s="49" t="str">
        <f>IF(HKI!$B36="","",HKI!B36)</f>
        <v>13D301Đ124</v>
      </c>
      <c r="C33" s="263" t="str">
        <f>IF(HKI!$B36="","",HKI!C36)</f>
        <v>Cao Nguyễn Nhật</v>
      </c>
      <c r="D33" s="264" t="str">
        <f>IF(HKI!$B36="","",HKI!D36)</f>
        <v>Tân</v>
      </c>
      <c r="E33" s="14" t="str">
        <f t="shared" si="0"/>
        <v/>
      </c>
      <c r="F33" s="14" t="str">
        <f t="shared" si="1"/>
        <v/>
      </c>
      <c r="G33" s="11" t="str">
        <f>IF(HKI!I36&lt;4,"X","")</f>
        <v/>
      </c>
      <c r="H33" s="11" t="str">
        <f>IF(HKI!M36&lt;4,"X","")</f>
        <v/>
      </c>
      <c r="I33" s="11" t="str">
        <f>IF(HKI!Q36&lt;4,"X","")</f>
        <v/>
      </c>
      <c r="J33" s="11" t="str">
        <f>IF(HKI!U36&lt;4,"X","")</f>
        <v/>
      </c>
      <c r="K33" s="11" t="str">
        <f>IF(HKI!Y36&lt;4,"X","")</f>
        <v/>
      </c>
      <c r="L33" s="11" t="str">
        <f>IF(HKI!AC36&lt;4,"X","")</f>
        <v/>
      </c>
      <c r="M33" s="11" t="str">
        <f>IF(HKI!AG36&lt;4,"X","")</f>
        <v/>
      </c>
      <c r="N33" s="11" t="str">
        <f>IF(HKI!AK36&lt;4,"X","")</f>
        <v/>
      </c>
      <c r="O33" s="11" t="str">
        <f>IF(HKI!AO36&lt;4,"X","")</f>
        <v/>
      </c>
      <c r="P33" s="11" t="str">
        <f>IF(HKI!AS36&lt;4,"X","")</f>
        <v/>
      </c>
      <c r="Q33" s="11" t="str">
        <f>IF(HKI!AW36&lt;4,"X","")</f>
        <v/>
      </c>
      <c r="R33" s="118"/>
      <c r="S33" s="118"/>
      <c r="AV33" s="118"/>
      <c r="AW33" s="118"/>
      <c r="AX33" s="118"/>
      <c r="AY33" s="118"/>
      <c r="AZ33" s="118"/>
      <c r="BA33" s="118"/>
      <c r="BB33" s="118"/>
      <c r="BC33" s="118"/>
    </row>
    <row r="34" spans="1:55">
      <c r="A34" s="48">
        <f>IF(B34="","",SUBTOTAL(3,$B$8:B34))</f>
        <v>27</v>
      </c>
      <c r="B34" s="49" t="str">
        <f>IF(HKI!$B37="","",HKI!B37)</f>
        <v>13D301Đ130</v>
      </c>
      <c r="C34" s="263" t="str">
        <f>IF(HKI!$B37="","",HKI!C37)</f>
        <v>Nguyễn Việt</v>
      </c>
      <c r="D34" s="264" t="str">
        <f>IF(HKI!$B37="","",HKI!D37)</f>
        <v>Thắng</v>
      </c>
      <c r="E34" s="14">
        <f t="shared" si="0"/>
        <v>1</v>
      </c>
      <c r="F34" s="14">
        <f t="shared" si="1"/>
        <v>2</v>
      </c>
      <c r="G34" s="11" t="str">
        <f>IF(HKI!I37&lt;4,"X","")</f>
        <v/>
      </c>
      <c r="H34" s="11" t="str">
        <f>IF(HKI!M37&lt;4,"X","")</f>
        <v/>
      </c>
      <c r="I34" s="11" t="str">
        <f>IF(HKI!Q37&lt;4,"X","")</f>
        <v/>
      </c>
      <c r="J34" s="11" t="str">
        <f>IF(HKI!U37&lt;4,"X","")</f>
        <v>X</v>
      </c>
      <c r="K34" s="11" t="str">
        <f>IF(HKI!Y37&lt;4,"X","")</f>
        <v/>
      </c>
      <c r="L34" s="11" t="str">
        <f>IF(HKI!AC37&lt;4,"X","")</f>
        <v/>
      </c>
      <c r="M34" s="11" t="str">
        <f>IF(HKI!AG37&lt;4,"X","")</f>
        <v/>
      </c>
      <c r="N34" s="11" t="str">
        <f>IF(HKI!AK37&lt;4,"X","")</f>
        <v/>
      </c>
      <c r="O34" s="11" t="str">
        <f>IF(HKI!AO37&lt;4,"X","")</f>
        <v/>
      </c>
      <c r="P34" s="11" t="str">
        <f>IF(HKI!AS37&lt;4,"X","")</f>
        <v/>
      </c>
      <c r="Q34" s="11" t="str">
        <f>IF(HKI!AW37&lt;4,"X","")</f>
        <v/>
      </c>
      <c r="R34" s="118"/>
      <c r="S34" s="118"/>
      <c r="AV34" s="118"/>
      <c r="AW34" s="118"/>
      <c r="AX34" s="118"/>
      <c r="AY34" s="118"/>
      <c r="AZ34" s="118"/>
      <c r="BA34" s="118"/>
      <c r="BB34" s="118"/>
      <c r="BC34" s="118"/>
    </row>
    <row r="35" spans="1:55">
      <c r="A35" s="48">
        <f>IF(B35="","",SUBTOTAL(3,$B$8:B35))</f>
        <v>28</v>
      </c>
      <c r="B35" s="49" t="str">
        <f>IF(HKI!$B38="","",HKI!B38)</f>
        <v>13D301Đ133</v>
      </c>
      <c r="C35" s="263" t="str">
        <f>IF(HKI!$B38="","",HKI!C38)</f>
        <v>Nguyễn Khắc</v>
      </c>
      <c r="D35" s="264" t="str">
        <f>IF(HKI!$B38="","",HKI!D38)</f>
        <v>Thành</v>
      </c>
      <c r="E35" s="14">
        <f t="shared" si="0"/>
        <v>3</v>
      </c>
      <c r="F35" s="14">
        <f t="shared" si="1"/>
        <v>6</v>
      </c>
      <c r="G35" s="11" t="str">
        <f>IF(HKI!I38&lt;4,"X","")</f>
        <v/>
      </c>
      <c r="H35" s="11" t="str">
        <f>IF(HKI!M38&lt;4,"X","")</f>
        <v/>
      </c>
      <c r="I35" s="11" t="str">
        <f>IF(HKI!Q38&lt;4,"X","")</f>
        <v/>
      </c>
      <c r="J35" s="11" t="str">
        <f>IF(HKI!U38&lt;4,"X","")</f>
        <v>X</v>
      </c>
      <c r="K35" s="11" t="str">
        <f>IF(HKI!Y38&lt;4,"X","")</f>
        <v>X</v>
      </c>
      <c r="L35" s="11" t="str">
        <f>IF(HKI!AC38&lt;4,"X","")</f>
        <v>X</v>
      </c>
      <c r="M35" s="11" t="str">
        <f>IF(HKI!AG38&lt;4,"X","")</f>
        <v/>
      </c>
      <c r="N35" s="11" t="str">
        <f>IF(HKI!AK38&lt;4,"X","")</f>
        <v/>
      </c>
      <c r="O35" s="11" t="str">
        <f>IF(HKI!AO38&lt;4,"X","")</f>
        <v/>
      </c>
      <c r="P35" s="11" t="str">
        <f>IF(HKI!AS38&lt;4,"X","")</f>
        <v/>
      </c>
      <c r="Q35" s="11" t="str">
        <f>IF(HKI!AW38&lt;4,"X","")</f>
        <v/>
      </c>
      <c r="R35" s="118"/>
      <c r="S35" s="118"/>
      <c r="AV35" s="118"/>
      <c r="AW35" s="118"/>
      <c r="AX35" s="118"/>
      <c r="AY35" s="118"/>
      <c r="AZ35" s="118"/>
      <c r="BA35" s="118"/>
      <c r="BB35" s="118"/>
      <c r="BC35" s="118"/>
    </row>
    <row r="36" spans="1:55">
      <c r="A36" s="48">
        <f>IF(B36="","",SUBTOTAL(3,$B$8:B36))</f>
        <v>29</v>
      </c>
      <c r="B36" s="49" t="str">
        <f>IF(HKI!$B39="","",HKI!B39)</f>
        <v>13D301Đ136</v>
      </c>
      <c r="C36" s="263" t="str">
        <f>IF(HKI!$B39="","",HKI!C39)</f>
        <v>Trần Minh</v>
      </c>
      <c r="D36" s="264" t="str">
        <f>IF(HKI!$B39="","",HKI!D39)</f>
        <v>Thanh</v>
      </c>
      <c r="E36" s="14" t="str">
        <f t="shared" si="0"/>
        <v/>
      </c>
      <c r="F36" s="14" t="str">
        <f t="shared" si="1"/>
        <v/>
      </c>
      <c r="G36" s="11" t="str">
        <f>IF(HKI!I39&lt;4,"X","")</f>
        <v/>
      </c>
      <c r="H36" s="11" t="str">
        <f>IF(HKI!M39&lt;4,"X","")</f>
        <v/>
      </c>
      <c r="I36" s="11" t="str">
        <f>IF(HKI!Q39&lt;4,"X","")</f>
        <v/>
      </c>
      <c r="J36" s="11" t="str">
        <f>IF(HKI!U39&lt;4,"X","")</f>
        <v/>
      </c>
      <c r="K36" s="11" t="str">
        <f>IF(HKI!Y39&lt;4,"X","")</f>
        <v/>
      </c>
      <c r="L36" s="11" t="str">
        <f>IF(HKI!AC39&lt;4,"X","")</f>
        <v/>
      </c>
      <c r="M36" s="11" t="str">
        <f>IF(HKI!AG39&lt;4,"X","")</f>
        <v/>
      </c>
      <c r="N36" s="11" t="str">
        <f>IF(HKI!AK39&lt;4,"X","")</f>
        <v/>
      </c>
      <c r="O36" s="11" t="str">
        <f>IF(HKI!AO39&lt;4,"X","")</f>
        <v/>
      </c>
      <c r="P36" s="11" t="str">
        <f>IF(HKI!AS39&lt;4,"X","")</f>
        <v/>
      </c>
      <c r="Q36" s="11" t="str">
        <f>IF(HKI!AW39&lt;4,"X","")</f>
        <v/>
      </c>
      <c r="R36" s="118"/>
      <c r="S36" s="118"/>
      <c r="AV36" s="118"/>
      <c r="AW36" s="118"/>
      <c r="AX36" s="118"/>
      <c r="AY36" s="118"/>
      <c r="AZ36" s="118"/>
      <c r="BA36" s="118"/>
      <c r="BB36" s="118"/>
      <c r="BC36" s="118"/>
    </row>
    <row r="37" spans="1:55">
      <c r="A37" s="48">
        <f>IF(B37="","",SUBTOTAL(3,$B$8:B37))</f>
        <v>30</v>
      </c>
      <c r="B37" s="49" t="str">
        <f>IF(HKI!$B40="","",HKI!B40)</f>
        <v>13D301Đ169</v>
      </c>
      <c r="C37" s="263" t="str">
        <f>IF(HKI!$B40="","",HKI!C40)</f>
        <v>Nguyễn Thanh</v>
      </c>
      <c r="D37" s="264" t="str">
        <f>IF(HKI!$B40="","",HKI!D40)</f>
        <v>Thảo</v>
      </c>
      <c r="E37" s="14">
        <f t="shared" si="0"/>
        <v>2</v>
      </c>
      <c r="F37" s="14">
        <f t="shared" si="1"/>
        <v>4</v>
      </c>
      <c r="G37" s="11" t="str">
        <f>IF(HKI!I40&lt;4,"X","")</f>
        <v/>
      </c>
      <c r="H37" s="11" t="str">
        <f>IF(HKI!M40&lt;4,"X","")</f>
        <v/>
      </c>
      <c r="I37" s="11" t="str">
        <f>IF(HKI!Q40&lt;4,"X","")</f>
        <v/>
      </c>
      <c r="J37" s="11" t="str">
        <f>IF(HKI!U40&lt;4,"X","")</f>
        <v>X</v>
      </c>
      <c r="K37" s="11" t="str">
        <f>IF(HKI!Y40&lt;4,"X","")</f>
        <v/>
      </c>
      <c r="L37" s="11" t="str">
        <f>IF(HKI!AC40&lt;4,"X","")</f>
        <v>X</v>
      </c>
      <c r="M37" s="11" t="str">
        <f>IF(HKI!AG40&lt;4,"X","")</f>
        <v/>
      </c>
      <c r="N37" s="11" t="str">
        <f>IF(HKI!AK40&lt;4,"X","")</f>
        <v/>
      </c>
      <c r="O37" s="11" t="str">
        <f>IF(HKI!AO40&lt;4,"X","")</f>
        <v/>
      </c>
      <c r="P37" s="11" t="str">
        <f>IF(HKI!AS40&lt;4,"X","")</f>
        <v/>
      </c>
      <c r="Q37" s="11" t="str">
        <f>IF(HKI!AW40&lt;4,"X","")</f>
        <v/>
      </c>
      <c r="R37" s="118"/>
      <c r="S37" s="118"/>
      <c r="AV37" s="118"/>
      <c r="AW37" s="118"/>
      <c r="AX37" s="118"/>
      <c r="AY37" s="118"/>
      <c r="AZ37" s="118"/>
      <c r="BA37" s="118"/>
      <c r="BB37" s="118"/>
      <c r="BC37" s="118"/>
    </row>
    <row r="38" spans="1:55">
      <c r="A38" s="48">
        <f>IF(B38="","",SUBTOTAL(3,$B$8:B38))</f>
        <v>31</v>
      </c>
      <c r="B38" s="49" t="str">
        <f>IF(HKI!$B41="","",HKI!B41)</f>
        <v>13D301Đ154</v>
      </c>
      <c r="C38" s="263" t="str">
        <f>IF(HKI!$B41="","",HKI!C41)</f>
        <v>Võ Đức</v>
      </c>
      <c r="D38" s="264" t="str">
        <f>IF(HKI!$B41="","",HKI!D41)</f>
        <v>Trí</v>
      </c>
      <c r="E38" s="14">
        <f t="shared" si="0"/>
        <v>2</v>
      </c>
      <c r="F38" s="14">
        <f t="shared" si="1"/>
        <v>4</v>
      </c>
      <c r="G38" s="11" t="str">
        <f>IF(HKI!I41&lt;4,"X","")</f>
        <v/>
      </c>
      <c r="H38" s="11" t="str">
        <f>IF(HKI!M41&lt;4,"X","")</f>
        <v/>
      </c>
      <c r="I38" s="11" t="str">
        <f>IF(HKI!Q41&lt;4,"X","")</f>
        <v/>
      </c>
      <c r="J38" s="11" t="str">
        <f>IF(HKI!U41&lt;4,"X","")</f>
        <v>X</v>
      </c>
      <c r="K38" s="11" t="str">
        <f>IF(HKI!Y41&lt;4,"X","")</f>
        <v/>
      </c>
      <c r="L38" s="11" t="str">
        <f>IF(HKI!AC41&lt;4,"X","")</f>
        <v>X</v>
      </c>
      <c r="M38" s="11" t="str">
        <f>IF(HKI!AG41&lt;4,"X","")</f>
        <v/>
      </c>
      <c r="N38" s="11" t="str">
        <f>IF(HKI!AK41&lt;4,"X","")</f>
        <v/>
      </c>
      <c r="O38" s="11" t="str">
        <f>IF(HKI!AO41&lt;4,"X","")</f>
        <v/>
      </c>
      <c r="P38" s="11" t="str">
        <f>IF(HKI!AS41&lt;4,"X","")</f>
        <v/>
      </c>
      <c r="Q38" s="11" t="str">
        <f>IF(HKI!AW41&lt;4,"X","")</f>
        <v/>
      </c>
      <c r="R38" s="118"/>
      <c r="S38" s="118"/>
      <c r="AV38" s="118"/>
      <c r="AW38" s="118"/>
      <c r="AX38" s="118"/>
      <c r="AY38" s="118"/>
      <c r="AZ38" s="118"/>
      <c r="BA38" s="118"/>
      <c r="BB38" s="118"/>
      <c r="BC38" s="118"/>
    </row>
    <row r="39" spans="1:55">
      <c r="A39" s="48">
        <f>IF(B39="","",SUBTOTAL(3,$B$8:B39))</f>
        <v>32</v>
      </c>
      <c r="B39" s="49" t="str">
        <f>IF(HKI!$B42="","",HKI!B42)</f>
        <v>13D301Đ160</v>
      </c>
      <c r="C39" s="263" t="str">
        <f>IF(HKI!$B42="","",HKI!C42)</f>
        <v>Nguyễn Bá</v>
      </c>
      <c r="D39" s="264" t="str">
        <f>IF(HKI!$B42="","",HKI!D42)</f>
        <v>Trung</v>
      </c>
      <c r="E39" s="14">
        <f t="shared" si="0"/>
        <v>1</v>
      </c>
      <c r="F39" s="14">
        <f t="shared" si="1"/>
        <v>2</v>
      </c>
      <c r="G39" s="11" t="str">
        <f>IF(HKI!I42&lt;4,"X","")</f>
        <v/>
      </c>
      <c r="H39" s="11" t="str">
        <f>IF(HKI!M42&lt;4,"X","")</f>
        <v/>
      </c>
      <c r="I39" s="11" t="str">
        <f>IF(HKI!Q42&lt;4,"X","")</f>
        <v/>
      </c>
      <c r="J39" s="11" t="str">
        <f>IF(HKI!U42&lt;4,"X","")</f>
        <v/>
      </c>
      <c r="K39" s="11" t="str">
        <f>IF(HKI!Y42&lt;4,"X","")</f>
        <v/>
      </c>
      <c r="L39" s="11" t="str">
        <f>IF(HKI!AC42&lt;4,"X","")</f>
        <v>X</v>
      </c>
      <c r="M39" s="11" t="str">
        <f>IF(HKI!AG42&lt;4,"X","")</f>
        <v/>
      </c>
      <c r="N39" s="11" t="str">
        <f>IF(HKI!AK42&lt;4,"X","")</f>
        <v/>
      </c>
      <c r="O39" s="11" t="str">
        <f>IF(HKI!AO42&lt;4,"X","")</f>
        <v/>
      </c>
      <c r="P39" s="11" t="str">
        <f>IF(HKI!AS42&lt;4,"X","")</f>
        <v/>
      </c>
      <c r="Q39" s="11" t="str">
        <f>IF(HKI!AW42&lt;4,"X","")</f>
        <v/>
      </c>
      <c r="R39" s="118"/>
      <c r="S39" s="118"/>
      <c r="AV39" s="118"/>
      <c r="AW39" s="118"/>
      <c r="AX39" s="118"/>
      <c r="AY39" s="118"/>
      <c r="AZ39" s="118"/>
      <c r="BA39" s="118"/>
      <c r="BB39" s="118"/>
      <c r="BC39" s="118"/>
    </row>
    <row r="40" spans="1:55">
      <c r="A40" s="48">
        <f>IF(B40="","",SUBTOTAL(3,$B$8:B40))</f>
        <v>33</v>
      </c>
      <c r="B40" s="49" t="str">
        <f>IF(HKI!$B43="","",HKI!B43)</f>
        <v>13D301Đ163</v>
      </c>
      <c r="C40" s="263" t="str">
        <f>IF(HKI!$B43="","",HKI!C43)</f>
        <v>Mai Ngọc</v>
      </c>
      <c r="D40" s="264" t="str">
        <f>IF(HKI!$B43="","",HKI!D43)</f>
        <v>Trước</v>
      </c>
      <c r="E40" s="14" t="str">
        <f t="shared" ref="E40:E72" si="2">IF(COUNTIF(G40:P40,"X")&gt;0,COUNTIF(G40:P40,"X"),"")</f>
        <v/>
      </c>
      <c r="F40" s="14" t="str">
        <f t="shared" si="1"/>
        <v/>
      </c>
      <c r="G40" s="11" t="str">
        <f>IF(HKI!I43&lt;4,"X","")</f>
        <v/>
      </c>
      <c r="H40" s="11" t="str">
        <f>IF(HKI!M43&lt;4,"X","")</f>
        <v/>
      </c>
      <c r="I40" s="11" t="str">
        <f>IF(HKI!Q43&lt;4,"X","")</f>
        <v/>
      </c>
      <c r="J40" s="11" t="str">
        <f>IF(HKI!U43&lt;4,"X","")</f>
        <v/>
      </c>
      <c r="K40" s="11" t="str">
        <f>IF(HKI!Y43&lt;4,"X","")</f>
        <v/>
      </c>
      <c r="L40" s="11" t="str">
        <f>IF(HKI!AC43&lt;4,"X","")</f>
        <v/>
      </c>
      <c r="M40" s="11" t="str">
        <f>IF(HKI!AG43&lt;4,"X","")</f>
        <v/>
      </c>
      <c r="N40" s="11" t="str">
        <f>IF(HKI!AK43&lt;4,"X","")</f>
        <v/>
      </c>
      <c r="O40" s="11" t="str">
        <f>IF(HKI!AO43&lt;4,"X","")</f>
        <v/>
      </c>
      <c r="P40" s="11" t="str">
        <f>IF(HKI!AS43&lt;4,"X","")</f>
        <v/>
      </c>
      <c r="Q40" s="11" t="str">
        <f>IF(HKI!AW43&lt;4,"X","")</f>
        <v/>
      </c>
      <c r="R40" s="118"/>
      <c r="S40" s="118"/>
      <c r="AV40" s="118"/>
      <c r="AW40" s="118"/>
      <c r="AX40" s="118"/>
      <c r="AY40" s="118"/>
      <c r="AZ40" s="118"/>
      <c r="BA40" s="118"/>
      <c r="BB40" s="118"/>
      <c r="BC40" s="118"/>
    </row>
    <row r="41" spans="1:55">
      <c r="A41" s="48">
        <f>IF(B41="","",SUBTOTAL(3,$B$8:B41))</f>
        <v>34</v>
      </c>
      <c r="B41" s="49" t="str">
        <f>IF(HKI!$B44="","",HKI!B44)</f>
        <v>13D301Đ166</v>
      </c>
      <c r="C41" s="263" t="str">
        <f>IF(HKI!$B44="","",HKI!C44)</f>
        <v>Nguyễn Văn</v>
      </c>
      <c r="D41" s="264" t="str">
        <f>IF(HKI!$B44="","",HKI!D44)</f>
        <v>Tư</v>
      </c>
      <c r="E41" s="14" t="str">
        <f t="shared" si="2"/>
        <v/>
      </c>
      <c r="F41" s="14" t="str">
        <f t="shared" si="1"/>
        <v/>
      </c>
      <c r="G41" s="11" t="str">
        <f>IF(HKI!I44&lt;4,"X","")</f>
        <v/>
      </c>
      <c r="H41" s="11" t="str">
        <f>IF(HKI!M44&lt;4,"X","")</f>
        <v/>
      </c>
      <c r="I41" s="11" t="str">
        <f>IF(HKI!Q44&lt;4,"X","")</f>
        <v/>
      </c>
      <c r="J41" s="11" t="str">
        <f>IF(HKI!U44&lt;4,"X","")</f>
        <v/>
      </c>
      <c r="K41" s="11" t="str">
        <f>IF(HKI!Y44&lt;4,"X","")</f>
        <v/>
      </c>
      <c r="L41" s="11" t="str">
        <f>IF(HKI!AC44&lt;4,"X","")</f>
        <v/>
      </c>
      <c r="M41" s="11" t="str">
        <f>IF(HKI!AG44&lt;4,"X","")</f>
        <v/>
      </c>
      <c r="N41" s="11" t="str">
        <f>IF(HKI!AK44&lt;4,"X","")</f>
        <v/>
      </c>
      <c r="O41" s="11" t="str">
        <f>IF(HKI!AO44&lt;4,"X","")</f>
        <v/>
      </c>
      <c r="P41" s="11" t="str">
        <f>IF(HKI!AS44&lt;4,"X","")</f>
        <v/>
      </c>
      <c r="Q41" s="11" t="str">
        <f>IF(HKI!AW44&lt;4,"X","")</f>
        <v/>
      </c>
      <c r="R41" s="118"/>
      <c r="S41" s="118"/>
      <c r="AV41" s="118"/>
      <c r="AW41" s="118"/>
      <c r="AX41" s="118"/>
      <c r="AY41" s="118"/>
      <c r="AZ41" s="118"/>
      <c r="BA41" s="118"/>
      <c r="BB41" s="118"/>
      <c r="BC41" s="118"/>
    </row>
    <row r="42" spans="1:55">
      <c r="A42" s="48">
        <f>IF(B42="","",SUBTOTAL(3,$B$8:B42))</f>
        <v>35</v>
      </c>
      <c r="B42" s="49" t="str">
        <f>IF(HKI!$B45="","",HKI!B45)</f>
        <v>13D301Đ178</v>
      </c>
      <c r="C42" s="263" t="str">
        <f>IF(HKI!$B45="","",HKI!C45)</f>
        <v>Lê Văn</v>
      </c>
      <c r="D42" s="264" t="str">
        <f>IF(HKI!$B45="","",HKI!D45)</f>
        <v>Vũ</v>
      </c>
      <c r="E42" s="14">
        <f t="shared" si="2"/>
        <v>1</v>
      </c>
      <c r="F42" s="14">
        <f t="shared" si="1"/>
        <v>2</v>
      </c>
      <c r="G42" s="11" t="str">
        <f>IF(HKI!I45&lt;4,"X","")</f>
        <v/>
      </c>
      <c r="H42" s="11" t="str">
        <f>IF(HKI!M45&lt;4,"X","")</f>
        <v/>
      </c>
      <c r="I42" s="11" t="str">
        <f>IF(HKI!Q45&lt;4,"X","")</f>
        <v/>
      </c>
      <c r="J42" s="11" t="str">
        <f>IF(HKI!U45&lt;4,"X","")</f>
        <v/>
      </c>
      <c r="K42" s="11" t="str">
        <f>IF(HKI!Y45&lt;4,"X","")</f>
        <v/>
      </c>
      <c r="L42" s="11" t="str">
        <f>IF(HKI!AC45&lt;4,"X","")</f>
        <v>X</v>
      </c>
      <c r="M42" s="11" t="str">
        <f>IF(HKI!AG45&lt;4,"X","")</f>
        <v/>
      </c>
      <c r="N42" s="11" t="str">
        <f>IF(HKI!AK45&lt;4,"X","")</f>
        <v/>
      </c>
      <c r="O42" s="11" t="str">
        <f>IF(HKI!AO45&lt;4,"X","")</f>
        <v/>
      </c>
      <c r="P42" s="11" t="str">
        <f>IF(HKI!AS45&lt;4,"X","")</f>
        <v/>
      </c>
      <c r="Q42" s="11" t="str">
        <f>IF(HKI!AW45&lt;4,"X","")</f>
        <v/>
      </c>
      <c r="R42" s="118"/>
      <c r="S42" s="118"/>
      <c r="AV42" s="118"/>
      <c r="AW42" s="118"/>
      <c r="AX42" s="118"/>
      <c r="AY42" s="118"/>
      <c r="AZ42" s="118"/>
      <c r="BA42" s="118"/>
      <c r="BB42" s="118"/>
      <c r="BC42" s="118"/>
    </row>
    <row r="43" spans="1:55">
      <c r="A43" s="48" t="str">
        <f>IF(B43="","",SUBTOTAL(3,$B$8:B43))</f>
        <v/>
      </c>
      <c r="B43" s="49" t="str">
        <f>IF(HKI!$B46="","",HKI!B46)</f>
        <v/>
      </c>
      <c r="C43" s="263" t="str">
        <f>IF(HKI!$B46="","",HKI!C46)</f>
        <v/>
      </c>
      <c r="D43" s="264" t="str">
        <f>IF(HKI!$B46="","",HKI!D46)</f>
        <v/>
      </c>
      <c r="E43" s="14" t="str">
        <f t="shared" si="2"/>
        <v/>
      </c>
      <c r="F43" s="14" t="str">
        <f t="shared" si="1"/>
        <v/>
      </c>
      <c r="G43" s="11" t="str">
        <f>IF(HKI!I46&lt;4,"X","")</f>
        <v/>
      </c>
      <c r="H43" s="11" t="str">
        <f>IF(HKI!M46&lt;4,"X","")</f>
        <v/>
      </c>
      <c r="I43" s="11" t="str">
        <f>IF(HKI!Q46&lt;4,"X","")</f>
        <v/>
      </c>
      <c r="J43" s="11" t="str">
        <f>IF(HKI!U46&lt;4,"X","")</f>
        <v/>
      </c>
      <c r="K43" s="11" t="str">
        <f>IF(HKI!Y46&lt;4,"X","")</f>
        <v/>
      </c>
      <c r="L43" s="11" t="str">
        <f>IF(HKI!AC46&lt;4,"X","")</f>
        <v/>
      </c>
      <c r="M43" s="11" t="str">
        <f>IF(HKI!AG46&lt;4,"X","")</f>
        <v/>
      </c>
      <c r="N43" s="11" t="str">
        <f>IF(HKI!AK46&lt;4,"X","")</f>
        <v/>
      </c>
      <c r="O43" s="11" t="str">
        <f>IF(HKI!AO46&lt;4,"X","")</f>
        <v/>
      </c>
      <c r="P43" s="11" t="str">
        <f>IF(HKI!AS46&lt;4,"X","")</f>
        <v/>
      </c>
      <c r="Q43" s="11" t="str">
        <f>IF(HKI!AW46&lt;4,"X","")</f>
        <v/>
      </c>
      <c r="R43" s="118"/>
      <c r="S43" s="118"/>
      <c r="AV43" s="118"/>
      <c r="AW43" s="118"/>
      <c r="AX43" s="118"/>
      <c r="AY43" s="118"/>
      <c r="AZ43" s="118"/>
      <c r="BA43" s="118"/>
      <c r="BB43" s="118"/>
      <c r="BC43" s="118"/>
    </row>
    <row r="44" spans="1:55">
      <c r="A44" s="48" t="str">
        <f>IF(B44="","",SUBTOTAL(3,$B$8:B44))</f>
        <v/>
      </c>
      <c r="B44" s="49" t="str">
        <f>IF(HKI!$B47="","",HKI!B47)</f>
        <v/>
      </c>
      <c r="C44" s="263" t="str">
        <f>IF(HKI!$B47="","",HKI!C47)</f>
        <v/>
      </c>
      <c r="D44" s="264" t="str">
        <f>IF(HKI!$B47="","",HKI!D47)</f>
        <v/>
      </c>
      <c r="E44" s="14" t="str">
        <f t="shared" si="2"/>
        <v/>
      </c>
      <c r="F44" s="14" t="str">
        <f t="shared" si="1"/>
        <v/>
      </c>
      <c r="G44" s="11" t="str">
        <f>IF(HKI!I47&lt;4,"X","")</f>
        <v/>
      </c>
      <c r="H44" s="11" t="str">
        <f>IF(HKI!M47&lt;4,"X","")</f>
        <v/>
      </c>
      <c r="I44" s="11" t="str">
        <f>IF(HKI!Q47&lt;4,"X","")</f>
        <v/>
      </c>
      <c r="J44" s="11" t="str">
        <f>IF(HKI!U47&lt;4,"X","")</f>
        <v/>
      </c>
      <c r="K44" s="11" t="str">
        <f>IF(HKI!Y47&lt;4,"X","")</f>
        <v/>
      </c>
      <c r="L44" s="11" t="str">
        <f>IF(HKI!AC47&lt;4,"X","")</f>
        <v/>
      </c>
      <c r="M44" s="11" t="str">
        <f>IF(HKI!AG47&lt;4,"X","")</f>
        <v/>
      </c>
      <c r="N44" s="11" t="str">
        <f>IF(HKI!AK47&lt;4,"X","")</f>
        <v/>
      </c>
      <c r="O44" s="11" t="str">
        <f>IF(HKI!AO47&lt;4,"X","")</f>
        <v/>
      </c>
      <c r="P44" s="11" t="str">
        <f>IF(HKI!AS47&lt;4,"X","")</f>
        <v/>
      </c>
      <c r="Q44" s="11" t="str">
        <f>IF(HKI!AW47&lt;4,"X","")</f>
        <v/>
      </c>
      <c r="R44" s="118"/>
      <c r="S44" s="118"/>
      <c r="AV44" s="118"/>
      <c r="AW44" s="118"/>
      <c r="AX44" s="118"/>
      <c r="AY44" s="118"/>
      <c r="AZ44" s="118"/>
      <c r="BA44" s="118"/>
      <c r="BB44" s="118"/>
      <c r="BC44" s="118"/>
    </row>
    <row r="45" spans="1:55">
      <c r="A45" s="48" t="str">
        <f>IF(B45="","",SUBTOTAL(3,$B$8:B45))</f>
        <v/>
      </c>
      <c r="B45" s="49" t="str">
        <f>IF(HKI!$B48="","",HKI!B48)</f>
        <v/>
      </c>
      <c r="C45" s="263" t="str">
        <f>IF(HKI!$B48="","",HKI!C48)</f>
        <v/>
      </c>
      <c r="D45" s="264" t="str">
        <f>IF(HKI!$B48="","",HKI!D48)</f>
        <v/>
      </c>
      <c r="E45" s="14" t="str">
        <f t="shared" si="2"/>
        <v/>
      </c>
      <c r="F45" s="14" t="str">
        <f t="shared" si="1"/>
        <v/>
      </c>
      <c r="G45" s="11" t="str">
        <f>IF(HKI!I48&lt;4,"X","")</f>
        <v/>
      </c>
      <c r="H45" s="11" t="str">
        <f>IF(HKI!M48&lt;4,"X","")</f>
        <v/>
      </c>
      <c r="I45" s="11" t="str">
        <f>IF(HKI!Q48&lt;4,"X","")</f>
        <v/>
      </c>
      <c r="J45" s="11" t="str">
        <f>IF(HKI!U48&lt;4,"X","")</f>
        <v/>
      </c>
      <c r="K45" s="11" t="str">
        <f>IF(HKI!Y48&lt;4,"X","")</f>
        <v/>
      </c>
      <c r="L45" s="11" t="str">
        <f>IF(HKI!AC48&lt;4,"X","")</f>
        <v/>
      </c>
      <c r="M45" s="11" t="str">
        <f>IF(HKI!AG48&lt;4,"X","")</f>
        <v/>
      </c>
      <c r="N45" s="11" t="str">
        <f>IF(HKI!AK48&lt;4,"X","")</f>
        <v/>
      </c>
      <c r="O45" s="11" t="str">
        <f>IF(HKI!AO48&lt;4,"X","")</f>
        <v/>
      </c>
      <c r="P45" s="11" t="str">
        <f>IF(HKI!AS48&lt;4,"X","")</f>
        <v/>
      </c>
      <c r="Q45" s="11" t="str">
        <f>IF(HKI!AW48&lt;4,"X","")</f>
        <v/>
      </c>
      <c r="R45" s="118"/>
      <c r="S45" s="118"/>
      <c r="AV45" s="118"/>
      <c r="AW45" s="118"/>
      <c r="AX45" s="118"/>
      <c r="AY45" s="118"/>
      <c r="AZ45" s="118"/>
      <c r="BA45" s="118"/>
      <c r="BB45" s="118"/>
      <c r="BC45" s="118"/>
    </row>
    <row r="46" spans="1:55">
      <c r="A46" s="48" t="str">
        <f>IF(B46="","",SUBTOTAL(3,$B$8:B46))</f>
        <v/>
      </c>
      <c r="B46" s="49" t="str">
        <f>IF(HKI!$B49="","",HKI!B49)</f>
        <v/>
      </c>
      <c r="C46" s="263" t="str">
        <f>IF(HKI!$B49="","",HKI!C49)</f>
        <v/>
      </c>
      <c r="D46" s="264" t="str">
        <f>IF(HKI!$B49="","",HKI!D49)</f>
        <v/>
      </c>
      <c r="E46" s="14" t="str">
        <f t="shared" si="2"/>
        <v/>
      </c>
      <c r="F46" s="14" t="str">
        <f t="shared" si="1"/>
        <v/>
      </c>
      <c r="G46" s="11" t="str">
        <f>IF(HKI!I49&lt;4,"X","")</f>
        <v/>
      </c>
      <c r="H46" s="11" t="str">
        <f>IF(HKI!M49&lt;4,"X","")</f>
        <v/>
      </c>
      <c r="I46" s="11" t="str">
        <f>IF(HKI!Q49&lt;4,"X","")</f>
        <v/>
      </c>
      <c r="J46" s="11" t="str">
        <f>IF(HKI!U49&lt;4,"X","")</f>
        <v/>
      </c>
      <c r="K46" s="11" t="str">
        <f>IF(HKI!Y49&lt;4,"X","")</f>
        <v/>
      </c>
      <c r="L46" s="11" t="str">
        <f>IF(HKI!AC49&lt;4,"X","")</f>
        <v/>
      </c>
      <c r="M46" s="11" t="str">
        <f>IF(HKI!AG49&lt;4,"X","")</f>
        <v/>
      </c>
      <c r="N46" s="11" t="str">
        <f>IF(HKI!AK49&lt;4,"X","")</f>
        <v/>
      </c>
      <c r="O46" s="11" t="str">
        <f>IF(HKI!AO49&lt;4,"X","")</f>
        <v/>
      </c>
      <c r="P46" s="11" t="str">
        <f>IF(HKI!AS49&lt;4,"X","")</f>
        <v/>
      </c>
      <c r="Q46" s="11" t="str">
        <f>IF(HKI!AW49&lt;4,"X","")</f>
        <v/>
      </c>
      <c r="R46" s="118"/>
      <c r="S46" s="118"/>
      <c r="AV46" s="118"/>
      <c r="AW46" s="118"/>
      <c r="AX46" s="118"/>
      <c r="AY46" s="118"/>
      <c r="AZ46" s="118"/>
      <c r="BA46" s="118"/>
      <c r="BB46" s="118"/>
      <c r="BC46" s="118"/>
    </row>
    <row r="47" spans="1:55">
      <c r="A47" s="48" t="str">
        <f>IF(B47="","",SUBTOTAL(3,$B$8:B47))</f>
        <v/>
      </c>
      <c r="B47" s="49" t="str">
        <f>IF(HKI!$B50="","",HKI!B50)</f>
        <v/>
      </c>
      <c r="C47" s="263" t="str">
        <f>IF(HKI!$B50="","",HKI!C50)</f>
        <v/>
      </c>
      <c r="D47" s="264" t="str">
        <f>IF(HKI!$B50="","",HKI!D50)</f>
        <v/>
      </c>
      <c r="E47" s="14" t="str">
        <f t="shared" si="2"/>
        <v/>
      </c>
      <c r="F47" s="14" t="str">
        <f t="shared" si="1"/>
        <v/>
      </c>
      <c r="G47" s="11" t="str">
        <f>IF(HKI!I50&lt;4,"X","")</f>
        <v/>
      </c>
      <c r="H47" s="11" t="str">
        <f>IF(HKI!M50&lt;4,"X","")</f>
        <v/>
      </c>
      <c r="I47" s="11" t="str">
        <f>IF(HKI!Q50&lt;4,"X","")</f>
        <v/>
      </c>
      <c r="J47" s="11" t="str">
        <f>IF(HKI!U50&lt;4,"X","")</f>
        <v/>
      </c>
      <c r="K47" s="11" t="str">
        <f>IF(HKI!Y50&lt;4,"X","")</f>
        <v/>
      </c>
      <c r="L47" s="11" t="str">
        <f>IF(HKI!AC50&lt;4,"X","")</f>
        <v/>
      </c>
      <c r="M47" s="11" t="str">
        <f>IF(HKI!AG50&lt;4,"X","")</f>
        <v/>
      </c>
      <c r="N47" s="11" t="str">
        <f>IF(HKI!AK50&lt;4,"X","")</f>
        <v/>
      </c>
      <c r="O47" s="11" t="str">
        <f>IF(HKI!AO50&lt;4,"X","")</f>
        <v/>
      </c>
      <c r="P47" s="11" t="str">
        <f>IF(HKI!AS50&lt;4,"X","")</f>
        <v/>
      </c>
      <c r="Q47" s="11" t="str">
        <f>IF(HKI!AW50&lt;4,"X","")</f>
        <v/>
      </c>
      <c r="R47" s="118"/>
      <c r="S47" s="118"/>
      <c r="AV47" s="118"/>
      <c r="AW47" s="118"/>
      <c r="AX47" s="118"/>
      <c r="AY47" s="118"/>
      <c r="AZ47" s="118"/>
      <c r="BA47" s="118"/>
      <c r="BB47" s="118"/>
      <c r="BC47" s="118"/>
    </row>
    <row r="48" spans="1:55">
      <c r="A48" s="48" t="str">
        <f>IF(B48="","",SUBTOTAL(3,$B$8:B48))</f>
        <v/>
      </c>
      <c r="B48" s="49" t="str">
        <f>IF(HKI!$B51="","",HKI!B51)</f>
        <v/>
      </c>
      <c r="C48" s="263" t="str">
        <f>IF(HKI!$B51="","",HKI!C51)</f>
        <v/>
      </c>
      <c r="D48" s="264" t="str">
        <f>IF(HKI!$B51="","",HKI!D51)</f>
        <v/>
      </c>
      <c r="E48" s="14" t="str">
        <f t="shared" si="2"/>
        <v/>
      </c>
      <c r="F48" s="14" t="str">
        <f t="shared" si="1"/>
        <v/>
      </c>
      <c r="G48" s="11" t="str">
        <f>IF(HKI!I51&lt;4,"X","")</f>
        <v/>
      </c>
      <c r="H48" s="11" t="str">
        <f>IF(HKI!M51&lt;4,"X","")</f>
        <v/>
      </c>
      <c r="I48" s="11" t="str">
        <f>IF(HKI!Q51&lt;4,"X","")</f>
        <v/>
      </c>
      <c r="J48" s="11" t="str">
        <f>IF(HKI!U51&lt;4,"X","")</f>
        <v/>
      </c>
      <c r="K48" s="11" t="str">
        <f>IF(HKI!Y51&lt;4,"X","")</f>
        <v/>
      </c>
      <c r="L48" s="11" t="str">
        <f>IF(HKI!AC51&lt;4,"X","")</f>
        <v/>
      </c>
      <c r="M48" s="11" t="str">
        <f>IF(HKI!AG51&lt;4,"X","")</f>
        <v/>
      </c>
      <c r="N48" s="11" t="str">
        <f>IF(HKI!AK51&lt;4,"X","")</f>
        <v/>
      </c>
      <c r="O48" s="11" t="str">
        <f>IF(HKI!AO51&lt;4,"X","")</f>
        <v/>
      </c>
      <c r="P48" s="11" t="str">
        <f>IF(HKI!AS51&lt;4,"X","")</f>
        <v/>
      </c>
      <c r="Q48" s="11" t="str">
        <f>IF(HKI!AW51&lt;4,"X","")</f>
        <v/>
      </c>
      <c r="R48" s="118"/>
      <c r="S48" s="118"/>
      <c r="AV48" s="118"/>
      <c r="AW48" s="118"/>
      <c r="AX48" s="118"/>
      <c r="AY48" s="118"/>
      <c r="AZ48" s="118"/>
      <c r="BA48" s="118"/>
      <c r="BB48" s="118"/>
      <c r="BC48" s="118"/>
    </row>
    <row r="49" spans="1:55">
      <c r="A49" s="48" t="str">
        <f>IF(B49="","",SUBTOTAL(3,$B$8:B49))</f>
        <v/>
      </c>
      <c r="B49" s="49" t="str">
        <f>IF(HKI!$B52="","",HKI!B52)</f>
        <v/>
      </c>
      <c r="C49" s="263" t="str">
        <f>IF(HKI!$B52="","",HKI!C52)</f>
        <v/>
      </c>
      <c r="D49" s="264" t="str">
        <f>IF(HKI!$B52="","",HKI!D52)</f>
        <v/>
      </c>
      <c r="E49" s="14" t="str">
        <f t="shared" si="2"/>
        <v/>
      </c>
      <c r="F49" s="14" t="str">
        <f t="shared" si="1"/>
        <v/>
      </c>
      <c r="G49" s="11" t="str">
        <f>IF(HKI!I52&lt;4,"X","")</f>
        <v/>
      </c>
      <c r="H49" s="11" t="str">
        <f>IF(HKI!M52&lt;4,"X","")</f>
        <v/>
      </c>
      <c r="I49" s="11" t="str">
        <f>IF(HKI!Q52&lt;4,"X","")</f>
        <v/>
      </c>
      <c r="J49" s="11" t="str">
        <f>IF(HKI!U52&lt;4,"X","")</f>
        <v/>
      </c>
      <c r="K49" s="11" t="str">
        <f>IF(HKI!Y52&lt;4,"X","")</f>
        <v/>
      </c>
      <c r="L49" s="11" t="str">
        <f>IF(HKI!AC52&lt;4,"X","")</f>
        <v/>
      </c>
      <c r="M49" s="11" t="str">
        <f>IF(HKI!AG52&lt;4,"X","")</f>
        <v/>
      </c>
      <c r="N49" s="11" t="str">
        <f>IF(HKI!AK52&lt;4,"X","")</f>
        <v/>
      </c>
      <c r="O49" s="11" t="str">
        <f>IF(HKI!AO52&lt;4,"X","")</f>
        <v/>
      </c>
      <c r="P49" s="11" t="str">
        <f>IF(HKI!AS52&lt;4,"X","")</f>
        <v/>
      </c>
      <c r="Q49" s="11" t="str">
        <f>IF(HKI!AW52&lt;4,"X","")</f>
        <v/>
      </c>
      <c r="R49" s="118"/>
      <c r="S49" s="118"/>
      <c r="AV49" s="118"/>
      <c r="AW49" s="118"/>
      <c r="AX49" s="118"/>
      <c r="AY49" s="118"/>
      <c r="AZ49" s="118"/>
      <c r="BA49" s="118"/>
      <c r="BB49" s="118"/>
      <c r="BC49" s="118"/>
    </row>
    <row r="50" spans="1:55">
      <c r="A50" s="48" t="str">
        <f>IF(B50="","",SUBTOTAL(3,$B$8:B50))</f>
        <v/>
      </c>
      <c r="B50" s="49" t="str">
        <f>IF(HKI!$B53="","",HKI!B53)</f>
        <v/>
      </c>
      <c r="C50" s="263" t="str">
        <f>IF(HKI!$B53="","",HKI!C53)</f>
        <v/>
      </c>
      <c r="D50" s="264" t="str">
        <f>IF(HKI!$B53="","",HKI!D53)</f>
        <v/>
      </c>
      <c r="E50" s="14" t="str">
        <f t="shared" si="2"/>
        <v/>
      </c>
      <c r="F50" s="14" t="str">
        <f t="shared" si="1"/>
        <v/>
      </c>
      <c r="G50" s="11" t="str">
        <f>IF(HKI!I53&lt;4,"X","")</f>
        <v/>
      </c>
      <c r="H50" s="11" t="str">
        <f>IF(HKI!M53&lt;4,"X","")</f>
        <v/>
      </c>
      <c r="I50" s="11" t="str">
        <f>IF(HKI!Q53&lt;4,"X","")</f>
        <v/>
      </c>
      <c r="J50" s="11" t="str">
        <f>IF(HKI!U53&lt;4,"X","")</f>
        <v/>
      </c>
      <c r="K50" s="11" t="str">
        <f>IF(HKI!Y53&lt;4,"X","")</f>
        <v/>
      </c>
      <c r="L50" s="11" t="str">
        <f>IF(HKI!AC53&lt;4,"X","")</f>
        <v/>
      </c>
      <c r="M50" s="11" t="str">
        <f>IF(HKI!AG53&lt;4,"X","")</f>
        <v/>
      </c>
      <c r="N50" s="11" t="str">
        <f>IF(HKI!AK53&lt;4,"X","")</f>
        <v/>
      </c>
      <c r="O50" s="11" t="str">
        <f>IF(HKI!AO53&lt;4,"X","")</f>
        <v/>
      </c>
      <c r="P50" s="11" t="str">
        <f>IF(HKI!AS53&lt;4,"X","")</f>
        <v/>
      </c>
      <c r="Q50" s="11" t="str">
        <f>IF(HKI!AW53&lt;4,"X","")</f>
        <v/>
      </c>
      <c r="R50" s="118"/>
      <c r="S50" s="118"/>
      <c r="AV50" s="118"/>
      <c r="AW50" s="118"/>
      <c r="AX50" s="118"/>
      <c r="AY50" s="118"/>
      <c r="AZ50" s="118"/>
      <c r="BA50" s="118"/>
      <c r="BB50" s="118"/>
      <c r="BC50" s="118"/>
    </row>
    <row r="51" spans="1:55">
      <c r="A51" s="48" t="str">
        <f>IF(B51="","",SUBTOTAL(3,$B$8:B51))</f>
        <v/>
      </c>
      <c r="B51" s="49" t="str">
        <f>IF(HKI!$B54="","",HKI!B54)</f>
        <v/>
      </c>
      <c r="C51" s="263" t="str">
        <f>IF(HKI!$B54="","",HKI!C54)</f>
        <v/>
      </c>
      <c r="D51" s="264" t="str">
        <f>IF(HKI!$B54="","",HKI!D54)</f>
        <v/>
      </c>
      <c r="E51" s="14" t="str">
        <f t="shared" si="2"/>
        <v/>
      </c>
      <c r="F51" s="14" t="str">
        <f t="shared" si="1"/>
        <v/>
      </c>
      <c r="G51" s="11" t="str">
        <f>IF(HKI!I54&lt;4,"X","")</f>
        <v/>
      </c>
      <c r="H51" s="11" t="str">
        <f>IF(HKI!M54&lt;4,"X","")</f>
        <v/>
      </c>
      <c r="I51" s="11" t="str">
        <f>IF(HKI!Q54&lt;4,"X","")</f>
        <v/>
      </c>
      <c r="J51" s="11" t="str">
        <f>IF(HKI!U54&lt;4,"X","")</f>
        <v/>
      </c>
      <c r="K51" s="11" t="str">
        <f>IF(HKI!Y54&lt;4,"X","")</f>
        <v/>
      </c>
      <c r="L51" s="11" t="str">
        <f>IF(HKI!AC54&lt;4,"X","")</f>
        <v/>
      </c>
      <c r="M51" s="11" t="str">
        <f>IF(HKI!AG54&lt;4,"X","")</f>
        <v/>
      </c>
      <c r="N51" s="11" t="str">
        <f>IF(HKI!AK54&lt;4,"X","")</f>
        <v/>
      </c>
      <c r="O51" s="11" t="str">
        <f>IF(HKI!AO54&lt;4,"X","")</f>
        <v/>
      </c>
      <c r="P51" s="11" t="str">
        <f>IF(HKI!AS54&lt;4,"X","")</f>
        <v/>
      </c>
      <c r="Q51" s="11" t="str">
        <f>IF(HKI!AW54&lt;4,"X","")</f>
        <v/>
      </c>
      <c r="R51" s="118"/>
      <c r="S51" s="118"/>
      <c r="AV51" s="118"/>
      <c r="AW51" s="118"/>
      <c r="AX51" s="118"/>
      <c r="AY51" s="118"/>
      <c r="AZ51" s="118"/>
      <c r="BA51" s="118"/>
      <c r="BB51" s="118"/>
      <c r="BC51" s="118"/>
    </row>
    <row r="52" spans="1:55">
      <c r="A52" s="48" t="str">
        <f>IF(B52="","",SUBTOTAL(3,$B$8:B52))</f>
        <v/>
      </c>
      <c r="B52" s="49" t="str">
        <f>IF(HKI!$B55="","",HKI!B55)</f>
        <v/>
      </c>
      <c r="C52" s="263" t="str">
        <f>IF(HKI!$B55="","",HKI!C55)</f>
        <v/>
      </c>
      <c r="D52" s="264" t="str">
        <f>IF(HKI!$B55="","",HKI!D55)</f>
        <v/>
      </c>
      <c r="E52" s="14" t="str">
        <f t="shared" si="2"/>
        <v/>
      </c>
      <c r="F52" s="14" t="str">
        <f t="shared" si="1"/>
        <v/>
      </c>
      <c r="G52" s="11" t="str">
        <f>IF(HKI!I55&lt;4,"X","")</f>
        <v/>
      </c>
      <c r="H52" s="11" t="str">
        <f>IF(HKI!M55&lt;4,"X","")</f>
        <v/>
      </c>
      <c r="I52" s="11" t="str">
        <f>IF(HKI!Q55&lt;4,"X","")</f>
        <v/>
      </c>
      <c r="J52" s="11" t="str">
        <f>IF(HKI!U55&lt;4,"X","")</f>
        <v/>
      </c>
      <c r="K52" s="11" t="str">
        <f>IF(HKI!Y55&lt;4,"X","")</f>
        <v/>
      </c>
      <c r="L52" s="11" t="str">
        <f>IF(HKI!AC55&lt;4,"X","")</f>
        <v/>
      </c>
      <c r="M52" s="11" t="str">
        <f>IF(HKI!AG55&lt;4,"X","")</f>
        <v/>
      </c>
      <c r="N52" s="11" t="str">
        <f>IF(HKI!AK55&lt;4,"X","")</f>
        <v/>
      </c>
      <c r="O52" s="11" t="str">
        <f>IF(HKI!AO55&lt;4,"X","")</f>
        <v/>
      </c>
      <c r="P52" s="11" t="str">
        <f>IF(HKI!AS55&lt;4,"X","")</f>
        <v/>
      </c>
      <c r="Q52" s="11" t="str">
        <f>IF(HKI!AW55&lt;4,"X","")</f>
        <v/>
      </c>
      <c r="R52" s="118"/>
      <c r="S52" s="118"/>
      <c r="AV52" s="118"/>
      <c r="AW52" s="118"/>
      <c r="AX52" s="118"/>
      <c r="AY52" s="118"/>
      <c r="AZ52" s="118"/>
      <c r="BA52" s="118"/>
      <c r="BB52" s="118"/>
      <c r="BC52" s="118"/>
    </row>
    <row r="53" spans="1:55">
      <c r="A53" s="48" t="str">
        <f>IF(B53="","",SUBTOTAL(3,$B$8:B53))</f>
        <v/>
      </c>
      <c r="B53" s="49" t="str">
        <f>IF(HKI!$B56="","",HKI!B56)</f>
        <v/>
      </c>
      <c r="C53" s="263" t="str">
        <f>IF(HKI!$B56="","",HKI!C56)</f>
        <v/>
      </c>
      <c r="D53" s="264" t="str">
        <f>IF(HKI!$B56="","",HKI!D56)</f>
        <v/>
      </c>
      <c r="E53" s="14" t="str">
        <f t="shared" si="2"/>
        <v/>
      </c>
      <c r="F53" s="14" t="str">
        <f t="shared" si="1"/>
        <v/>
      </c>
      <c r="G53" s="11" t="str">
        <f>IF(HKI!I56&lt;4,"X","")</f>
        <v/>
      </c>
      <c r="H53" s="11" t="str">
        <f>IF(HKI!M56&lt;4,"X","")</f>
        <v/>
      </c>
      <c r="I53" s="11" t="str">
        <f>IF(HKI!Q56&lt;4,"X","")</f>
        <v/>
      </c>
      <c r="J53" s="11" t="str">
        <f>IF(HKI!U56&lt;4,"X","")</f>
        <v/>
      </c>
      <c r="K53" s="11" t="str">
        <f>IF(HKI!Y56&lt;4,"X","")</f>
        <v/>
      </c>
      <c r="L53" s="11" t="str">
        <f>IF(HKI!AC56&lt;4,"X","")</f>
        <v/>
      </c>
      <c r="M53" s="11" t="str">
        <f>IF(HKI!AG56&lt;4,"X","")</f>
        <v/>
      </c>
      <c r="N53" s="11" t="str">
        <f>IF(HKI!AK56&lt;4,"X","")</f>
        <v/>
      </c>
      <c r="O53" s="11" t="str">
        <f>IF(HKI!AO56&lt;4,"X","")</f>
        <v/>
      </c>
      <c r="P53" s="11" t="str">
        <f>IF(HKI!AS56&lt;4,"X","")</f>
        <v/>
      </c>
      <c r="Q53" s="11" t="str">
        <f>IF(HKI!AW56&lt;4,"X","")</f>
        <v/>
      </c>
      <c r="R53" s="118"/>
      <c r="S53" s="118"/>
      <c r="AV53" s="118"/>
      <c r="AW53" s="118"/>
      <c r="AX53" s="118"/>
      <c r="AY53" s="118"/>
      <c r="AZ53" s="118"/>
      <c r="BA53" s="118"/>
      <c r="BB53" s="118"/>
      <c r="BC53" s="118"/>
    </row>
    <row r="54" spans="1:55">
      <c r="A54" s="48" t="str">
        <f>IF(B54="","",SUBTOTAL(3,$B$8:B54))</f>
        <v/>
      </c>
      <c r="B54" s="49" t="str">
        <f>IF(HKI!$B57="","",HKI!B57)</f>
        <v/>
      </c>
      <c r="C54" s="263" t="str">
        <f>IF(HKI!$B57="","",HKI!C57)</f>
        <v/>
      </c>
      <c r="D54" s="264" t="str">
        <f>IF(HKI!$B57="","",HKI!D57)</f>
        <v/>
      </c>
      <c r="E54" s="14" t="str">
        <f t="shared" si="2"/>
        <v/>
      </c>
      <c r="F54" s="14" t="str">
        <f t="shared" si="1"/>
        <v/>
      </c>
      <c r="G54" s="11" t="str">
        <f>IF(HKI!I57&lt;4,"X","")</f>
        <v/>
      </c>
      <c r="H54" s="11" t="str">
        <f>IF(HKI!M57&lt;4,"X","")</f>
        <v/>
      </c>
      <c r="I54" s="11" t="str">
        <f>IF(HKI!Q57&lt;4,"X","")</f>
        <v/>
      </c>
      <c r="J54" s="11" t="str">
        <f>IF(HKI!U57&lt;4,"X","")</f>
        <v/>
      </c>
      <c r="K54" s="11" t="str">
        <f>IF(HKI!Y57&lt;4,"X","")</f>
        <v/>
      </c>
      <c r="L54" s="11" t="str">
        <f>IF(HKI!AC57&lt;4,"X","")</f>
        <v/>
      </c>
      <c r="M54" s="11" t="str">
        <f>IF(HKI!AG57&lt;4,"X","")</f>
        <v/>
      </c>
      <c r="N54" s="11" t="str">
        <f>IF(HKI!AK57&lt;4,"X","")</f>
        <v/>
      </c>
      <c r="O54" s="11" t="str">
        <f>IF(HKI!AO57&lt;4,"X","")</f>
        <v/>
      </c>
      <c r="P54" s="11" t="str">
        <f>IF(HKI!AS57&lt;4,"X","")</f>
        <v/>
      </c>
      <c r="Q54" s="11" t="str">
        <f>IF(HKI!AW57&lt;4,"X","")</f>
        <v/>
      </c>
      <c r="R54" s="118"/>
      <c r="S54" s="118"/>
      <c r="AV54" s="118"/>
      <c r="AW54" s="118"/>
      <c r="AX54" s="118"/>
      <c r="AY54" s="118"/>
      <c r="AZ54" s="118"/>
      <c r="BA54" s="118"/>
      <c r="BB54" s="118"/>
      <c r="BC54" s="118"/>
    </row>
    <row r="55" spans="1:55">
      <c r="A55" s="48" t="str">
        <f>IF(B55="","",SUBTOTAL(3,$B$8:B55))</f>
        <v/>
      </c>
      <c r="B55" s="49" t="str">
        <f>IF(HKI!$B58="","",HKI!B58)</f>
        <v/>
      </c>
      <c r="C55" s="263" t="str">
        <f>IF(HKI!$B58="","",HKI!C58)</f>
        <v/>
      </c>
      <c r="D55" s="264" t="str">
        <f>IF(HKI!$B58="","",HKI!D58)</f>
        <v/>
      </c>
      <c r="E55" s="14" t="str">
        <f t="shared" si="2"/>
        <v/>
      </c>
      <c r="F55" s="14" t="str">
        <f t="shared" si="1"/>
        <v/>
      </c>
      <c r="G55" s="11" t="str">
        <f>IF(HKI!I58&lt;4,"X","")</f>
        <v/>
      </c>
      <c r="H55" s="11" t="str">
        <f>IF(HKI!M58&lt;4,"X","")</f>
        <v/>
      </c>
      <c r="I55" s="11" t="str">
        <f>IF(HKI!Q58&lt;4,"X","")</f>
        <v/>
      </c>
      <c r="J55" s="11" t="str">
        <f>IF(HKI!U58&lt;4,"X","")</f>
        <v/>
      </c>
      <c r="K55" s="11" t="str">
        <f>IF(HKI!Y58&lt;4,"X","")</f>
        <v/>
      </c>
      <c r="L55" s="11" t="str">
        <f>IF(HKI!AC58&lt;4,"X","")</f>
        <v/>
      </c>
      <c r="M55" s="11" t="str">
        <f>IF(HKI!AG58&lt;4,"X","")</f>
        <v/>
      </c>
      <c r="N55" s="11" t="str">
        <f>IF(HKI!AK58&lt;4,"X","")</f>
        <v/>
      </c>
      <c r="O55" s="11" t="str">
        <f>IF(HKI!AO58&lt;4,"X","")</f>
        <v/>
      </c>
      <c r="P55" s="11" t="str">
        <f>IF(HKI!AS58&lt;4,"X","")</f>
        <v/>
      </c>
      <c r="Q55" s="11" t="str">
        <f>IF(HKI!AW58&lt;4,"X","")</f>
        <v/>
      </c>
      <c r="R55" s="118"/>
      <c r="S55" s="118"/>
      <c r="AV55" s="118"/>
      <c r="AW55" s="118"/>
      <c r="AX55" s="118"/>
      <c r="AY55" s="118"/>
      <c r="AZ55" s="118"/>
      <c r="BA55" s="118"/>
      <c r="BB55" s="118"/>
      <c r="BC55" s="118"/>
    </row>
    <row r="56" spans="1:55">
      <c r="A56" s="48" t="str">
        <f>IF(B56="","",SUBTOTAL(3,$B$8:B56))</f>
        <v/>
      </c>
      <c r="B56" s="49" t="str">
        <f>IF(HKI!$B59="","",HKI!B59)</f>
        <v/>
      </c>
      <c r="C56" s="263" t="str">
        <f>IF(HKI!$B59="","",HKI!C59)</f>
        <v/>
      </c>
      <c r="D56" s="264" t="str">
        <f>IF(HKI!$B59="","",HKI!D59)</f>
        <v/>
      </c>
      <c r="E56" s="14" t="str">
        <f t="shared" si="2"/>
        <v/>
      </c>
      <c r="F56" s="14" t="str">
        <f t="shared" si="1"/>
        <v/>
      </c>
      <c r="G56" s="11" t="str">
        <f>IF(HKI!I59&lt;4,"X","")</f>
        <v/>
      </c>
      <c r="H56" s="11" t="str">
        <f>IF(HKI!M59&lt;4,"X","")</f>
        <v/>
      </c>
      <c r="I56" s="11" t="str">
        <f>IF(HKI!Q59&lt;4,"X","")</f>
        <v/>
      </c>
      <c r="J56" s="11" t="str">
        <f>IF(HKI!U59&lt;4,"X","")</f>
        <v/>
      </c>
      <c r="K56" s="11" t="str">
        <f>IF(HKI!Y59&lt;4,"X","")</f>
        <v/>
      </c>
      <c r="L56" s="11" t="str">
        <f>IF(HKI!AC59&lt;4,"X","")</f>
        <v/>
      </c>
      <c r="M56" s="11" t="str">
        <f>IF(HKI!AG59&lt;4,"X","")</f>
        <v/>
      </c>
      <c r="N56" s="11" t="str">
        <f>IF(HKI!AK59&lt;4,"X","")</f>
        <v/>
      </c>
      <c r="O56" s="11" t="str">
        <f>IF(HKI!AO59&lt;4,"X","")</f>
        <v/>
      </c>
      <c r="P56" s="11" t="str">
        <f>IF(HKI!AS59&lt;4,"X","")</f>
        <v/>
      </c>
      <c r="Q56" s="11" t="str">
        <f>IF(HKI!AW59&lt;4,"X","")</f>
        <v/>
      </c>
      <c r="R56" s="118"/>
      <c r="S56" s="118"/>
      <c r="AV56" s="118"/>
      <c r="AW56" s="118"/>
      <c r="AX56" s="118"/>
      <c r="AY56" s="118"/>
      <c r="AZ56" s="118"/>
      <c r="BA56" s="118"/>
      <c r="BB56" s="118"/>
      <c r="BC56" s="118"/>
    </row>
    <row r="57" spans="1:55">
      <c r="A57" s="48" t="str">
        <f>IF(B57="","",SUBTOTAL(3,$B$8:B57))</f>
        <v/>
      </c>
      <c r="B57" s="49" t="str">
        <f>IF(HKI!$B60="","",HKI!B60)</f>
        <v/>
      </c>
      <c r="C57" s="263" t="str">
        <f>IF(HKI!$B60="","",HKI!C60)</f>
        <v/>
      </c>
      <c r="D57" s="264" t="str">
        <f>IF(HKI!$B60="","",HKI!D60)</f>
        <v/>
      </c>
      <c r="E57" s="14" t="str">
        <f t="shared" si="2"/>
        <v/>
      </c>
      <c r="F57" s="14" t="str">
        <f t="shared" si="1"/>
        <v/>
      </c>
      <c r="G57" s="11" t="str">
        <f>IF(HKI!I60&lt;4,"X","")</f>
        <v/>
      </c>
      <c r="H57" s="11" t="str">
        <f>IF(HKI!M60&lt;4,"X","")</f>
        <v/>
      </c>
      <c r="I57" s="11" t="str">
        <f>IF(HKI!Q60&lt;4,"X","")</f>
        <v/>
      </c>
      <c r="J57" s="11" t="str">
        <f>IF(HKI!U60&lt;4,"X","")</f>
        <v/>
      </c>
      <c r="K57" s="11" t="str">
        <f>IF(HKI!Y60&lt;4,"X","")</f>
        <v/>
      </c>
      <c r="L57" s="11" t="str">
        <f>IF(HKI!AC60&lt;4,"X","")</f>
        <v/>
      </c>
      <c r="M57" s="11" t="str">
        <f>IF(HKI!AG60&lt;4,"X","")</f>
        <v/>
      </c>
      <c r="N57" s="11" t="str">
        <f>IF(HKI!AK60&lt;4,"X","")</f>
        <v/>
      </c>
      <c r="O57" s="11" t="str">
        <f>IF(HKI!AO60&lt;4,"X","")</f>
        <v/>
      </c>
      <c r="P57" s="11" t="str">
        <f>IF(HKI!AS60&lt;4,"X","")</f>
        <v/>
      </c>
      <c r="Q57" s="11" t="str">
        <f>IF(HKI!AW60&lt;4,"X","")</f>
        <v/>
      </c>
      <c r="R57" s="118"/>
      <c r="S57" s="118"/>
      <c r="AV57" s="118"/>
      <c r="AW57" s="118"/>
      <c r="AX57" s="118"/>
      <c r="AY57" s="118"/>
      <c r="AZ57" s="118"/>
      <c r="BA57" s="118"/>
      <c r="BB57" s="118"/>
      <c r="BC57" s="118"/>
    </row>
    <row r="58" spans="1:55">
      <c r="A58" s="48" t="str">
        <f>IF(B58="","",SUBTOTAL(3,$B$8:B58))</f>
        <v/>
      </c>
      <c r="B58" s="49" t="str">
        <f>IF(HKI!$B61="","",HKI!B61)</f>
        <v/>
      </c>
      <c r="C58" s="263" t="str">
        <f>IF(HKI!$B61="","",HKI!C61)</f>
        <v/>
      </c>
      <c r="D58" s="264" t="str">
        <f>IF(HKI!$B61="","",HKI!D61)</f>
        <v/>
      </c>
      <c r="E58" s="14" t="str">
        <f t="shared" si="2"/>
        <v/>
      </c>
      <c r="F58" s="14" t="str">
        <f t="shared" si="1"/>
        <v/>
      </c>
      <c r="G58" s="11" t="str">
        <f>IF(HKI!I61&lt;4,"X","")</f>
        <v/>
      </c>
      <c r="H58" s="11" t="str">
        <f>IF(HKI!M61&lt;4,"X","")</f>
        <v/>
      </c>
      <c r="I58" s="11" t="str">
        <f>IF(HKI!Q61&lt;4,"X","")</f>
        <v/>
      </c>
      <c r="J58" s="11" t="str">
        <f>IF(HKI!U61&lt;4,"X","")</f>
        <v/>
      </c>
      <c r="K58" s="11" t="str">
        <f>IF(HKI!Y61&lt;4,"X","")</f>
        <v/>
      </c>
      <c r="L58" s="11" t="str">
        <f>IF(HKI!AC61&lt;4,"X","")</f>
        <v/>
      </c>
      <c r="M58" s="11" t="str">
        <f>IF(HKI!AG61&lt;4,"X","")</f>
        <v/>
      </c>
      <c r="N58" s="11" t="str">
        <f>IF(HKI!AK61&lt;4,"X","")</f>
        <v/>
      </c>
      <c r="O58" s="11" t="str">
        <f>IF(HKI!AO61&lt;4,"X","")</f>
        <v/>
      </c>
      <c r="P58" s="11" t="str">
        <f>IF(HKI!AS61&lt;4,"X","")</f>
        <v/>
      </c>
      <c r="Q58" s="11" t="str">
        <f>IF(HKI!AW61&lt;4,"X","")</f>
        <v/>
      </c>
      <c r="R58" s="118"/>
      <c r="S58" s="118"/>
      <c r="AV58" s="118"/>
      <c r="AW58" s="118"/>
      <c r="AX58" s="118"/>
      <c r="AY58" s="118"/>
      <c r="AZ58" s="118"/>
      <c r="BA58" s="118"/>
      <c r="BB58" s="118"/>
      <c r="BC58" s="118"/>
    </row>
    <row r="59" spans="1:55">
      <c r="A59" s="48" t="str">
        <f>IF(B59="","",SUBTOTAL(3,$B$8:B59))</f>
        <v/>
      </c>
      <c r="B59" s="49" t="str">
        <f>IF(HKI!$B62="","",HKI!B62)</f>
        <v/>
      </c>
      <c r="C59" s="263" t="str">
        <f>IF(HKI!$B62="","",HKI!C62)</f>
        <v/>
      </c>
      <c r="D59" s="264" t="str">
        <f>IF(HKI!$B62="","",HKI!D62)</f>
        <v/>
      </c>
      <c r="E59" s="14" t="str">
        <f t="shared" si="2"/>
        <v/>
      </c>
      <c r="F59" s="14" t="str">
        <f t="shared" si="1"/>
        <v/>
      </c>
      <c r="G59" s="11" t="str">
        <f>IF(HKI!I62&lt;4,"X","")</f>
        <v/>
      </c>
      <c r="H59" s="11" t="str">
        <f>IF(HKI!M62&lt;4,"X","")</f>
        <v/>
      </c>
      <c r="I59" s="11" t="str">
        <f>IF(HKI!Q62&lt;4,"X","")</f>
        <v/>
      </c>
      <c r="J59" s="11" t="str">
        <f>IF(HKI!U62&lt;4,"X","")</f>
        <v/>
      </c>
      <c r="K59" s="11" t="str">
        <f>IF(HKI!Y62&lt;4,"X","")</f>
        <v/>
      </c>
      <c r="L59" s="11" t="str">
        <f>IF(HKI!AC62&lt;4,"X","")</f>
        <v/>
      </c>
      <c r="M59" s="11" t="str">
        <f>IF(HKI!AG62&lt;4,"X","")</f>
        <v/>
      </c>
      <c r="N59" s="11" t="str">
        <f>IF(HKI!AK62&lt;4,"X","")</f>
        <v/>
      </c>
      <c r="O59" s="11" t="str">
        <f>IF(HKI!AO62&lt;4,"X","")</f>
        <v/>
      </c>
      <c r="P59" s="11" t="str">
        <f>IF(HKI!AS62&lt;4,"X","")</f>
        <v/>
      </c>
      <c r="Q59" s="11" t="str">
        <f>IF(HKI!AW62&lt;4,"X","")</f>
        <v/>
      </c>
      <c r="R59" s="118"/>
      <c r="S59" s="118"/>
      <c r="AV59" s="118"/>
      <c r="AW59" s="118"/>
      <c r="AX59" s="118"/>
      <c r="AY59" s="118"/>
      <c r="AZ59" s="118"/>
      <c r="BA59" s="118"/>
      <c r="BB59" s="118"/>
      <c r="BC59" s="118"/>
    </row>
    <row r="60" spans="1:55">
      <c r="A60" s="48" t="str">
        <f>IF(B60="","",SUBTOTAL(3,$B$8:B60))</f>
        <v/>
      </c>
      <c r="B60" s="49" t="str">
        <f>IF(HKI!$B63="","",HKI!B63)</f>
        <v/>
      </c>
      <c r="C60" s="263" t="str">
        <f>IF(HKI!$B63="","",HKI!C63)</f>
        <v/>
      </c>
      <c r="D60" s="264" t="str">
        <f>IF(HKI!$B63="","",HKI!D63)</f>
        <v/>
      </c>
      <c r="E60" s="14" t="str">
        <f t="shared" si="2"/>
        <v/>
      </c>
      <c r="F60" s="14" t="str">
        <f t="shared" si="1"/>
        <v/>
      </c>
      <c r="G60" s="11" t="str">
        <f>IF(HKI!I63&lt;4,"X","")</f>
        <v/>
      </c>
      <c r="H60" s="11" t="str">
        <f>IF(HKI!M63&lt;4,"X","")</f>
        <v/>
      </c>
      <c r="I60" s="11" t="str">
        <f>IF(HKI!Q63&lt;4,"X","")</f>
        <v/>
      </c>
      <c r="J60" s="11" t="str">
        <f>IF(HKI!U63&lt;4,"X","")</f>
        <v/>
      </c>
      <c r="K60" s="11" t="str">
        <f>IF(HKI!Y63&lt;4,"X","")</f>
        <v/>
      </c>
      <c r="L60" s="11" t="str">
        <f>IF(HKI!AC63&lt;4,"X","")</f>
        <v/>
      </c>
      <c r="M60" s="11" t="str">
        <f>IF(HKI!AG63&lt;4,"X","")</f>
        <v/>
      </c>
      <c r="N60" s="11" t="str">
        <f>IF(HKI!AK63&lt;4,"X","")</f>
        <v/>
      </c>
      <c r="O60" s="11" t="str">
        <f>IF(HKI!AO63&lt;4,"X","")</f>
        <v/>
      </c>
      <c r="P60" s="11" t="str">
        <f>IF(HKI!AS63&lt;4,"X","")</f>
        <v/>
      </c>
      <c r="Q60" s="11" t="str">
        <f>IF(HKI!AW63&lt;4,"X","")</f>
        <v/>
      </c>
      <c r="R60" s="118"/>
      <c r="S60" s="118"/>
      <c r="AV60" s="118"/>
      <c r="AW60" s="118"/>
      <c r="AX60" s="118"/>
      <c r="AY60" s="118"/>
      <c r="AZ60" s="118"/>
      <c r="BA60" s="118"/>
      <c r="BB60" s="118"/>
      <c r="BC60" s="118"/>
    </row>
    <row r="61" spans="1:55">
      <c r="A61" s="48" t="str">
        <f>IF(B61="","",SUBTOTAL(3,$B$8:B61))</f>
        <v/>
      </c>
      <c r="B61" s="49" t="str">
        <f>IF(HKI!$B64="","",HKI!B64)</f>
        <v/>
      </c>
      <c r="C61" s="263" t="str">
        <f>IF(HKI!$B64="","",HKI!C64)</f>
        <v/>
      </c>
      <c r="D61" s="264" t="str">
        <f>IF(HKI!$B64="","",HKI!D64)</f>
        <v/>
      </c>
      <c r="E61" s="14" t="str">
        <f t="shared" si="2"/>
        <v/>
      </c>
      <c r="F61" s="14" t="str">
        <f t="shared" si="1"/>
        <v/>
      </c>
      <c r="G61" s="11" t="str">
        <f>IF(HKI!I64&lt;4,"X","")</f>
        <v/>
      </c>
      <c r="H61" s="11" t="str">
        <f>IF(HKI!M64&lt;4,"X","")</f>
        <v/>
      </c>
      <c r="I61" s="11" t="str">
        <f>IF(HKI!Q64&lt;4,"X","")</f>
        <v/>
      </c>
      <c r="J61" s="11" t="str">
        <f>IF(HKI!U64&lt;4,"X","")</f>
        <v/>
      </c>
      <c r="K61" s="11" t="str">
        <f>IF(HKI!Y64&lt;4,"X","")</f>
        <v/>
      </c>
      <c r="L61" s="11" t="str">
        <f>IF(HKI!AC64&lt;4,"X","")</f>
        <v/>
      </c>
      <c r="M61" s="11" t="str">
        <f>IF(HKI!AG64&lt;4,"X","")</f>
        <v/>
      </c>
      <c r="N61" s="11" t="str">
        <f>IF(HKI!AK64&lt;4,"X","")</f>
        <v/>
      </c>
      <c r="O61" s="11" t="str">
        <f>IF(HKI!AO64&lt;4,"X","")</f>
        <v/>
      </c>
      <c r="P61" s="11" t="str">
        <f>IF(HKI!AS64&lt;4,"X","")</f>
        <v/>
      </c>
      <c r="Q61" s="11" t="str">
        <f>IF(HKI!AW64&lt;4,"X","")</f>
        <v/>
      </c>
      <c r="R61" s="118"/>
      <c r="S61" s="118"/>
      <c r="AV61" s="118"/>
      <c r="AW61" s="118"/>
      <c r="AX61" s="118"/>
      <c r="AY61" s="118"/>
      <c r="AZ61" s="118"/>
      <c r="BA61" s="118"/>
      <c r="BB61" s="118"/>
      <c r="BC61" s="118"/>
    </row>
    <row r="62" spans="1:55">
      <c r="A62" s="48" t="str">
        <f>IF(B62="","",SUBTOTAL(3,$B$8:B62))</f>
        <v/>
      </c>
      <c r="B62" s="49" t="str">
        <f>IF(HKI!$B65="","",HKI!B65)</f>
        <v/>
      </c>
      <c r="C62" s="263" t="str">
        <f>IF(HKI!$B65="","",HKI!C65)</f>
        <v/>
      </c>
      <c r="D62" s="264" t="str">
        <f>IF(HKI!$B65="","",HKI!D65)</f>
        <v/>
      </c>
      <c r="E62" s="14" t="str">
        <f t="shared" si="2"/>
        <v/>
      </c>
      <c r="F62" s="14" t="str">
        <f t="shared" si="1"/>
        <v/>
      </c>
      <c r="G62" s="11" t="str">
        <f>IF(HKI!I65&lt;4,"X","")</f>
        <v/>
      </c>
      <c r="H62" s="11" t="str">
        <f>IF(HKI!M65&lt;4,"X","")</f>
        <v/>
      </c>
      <c r="I62" s="11" t="str">
        <f>IF(HKI!Q65&lt;4,"X","")</f>
        <v/>
      </c>
      <c r="J62" s="11" t="str">
        <f>IF(HKI!U65&lt;4,"X","")</f>
        <v/>
      </c>
      <c r="K62" s="11" t="str">
        <f>IF(HKI!Y65&lt;4,"X","")</f>
        <v/>
      </c>
      <c r="L62" s="11" t="str">
        <f>IF(HKI!AC65&lt;4,"X","")</f>
        <v/>
      </c>
      <c r="M62" s="11" t="str">
        <f>IF(HKI!AG65&lt;4,"X","")</f>
        <v/>
      </c>
      <c r="N62" s="11" t="str">
        <f>IF(HKI!AK65&lt;4,"X","")</f>
        <v/>
      </c>
      <c r="O62" s="11" t="str">
        <f>IF(HKI!AO65&lt;4,"X","")</f>
        <v/>
      </c>
      <c r="P62" s="11" t="str">
        <f>IF(HKI!AS65&lt;4,"X","")</f>
        <v/>
      </c>
      <c r="Q62" s="11" t="str">
        <f>IF(HKI!AW65&lt;4,"X","")</f>
        <v/>
      </c>
      <c r="R62" s="118"/>
      <c r="S62" s="118"/>
      <c r="AV62" s="118"/>
      <c r="AW62" s="118"/>
      <c r="AX62" s="118"/>
      <c r="AY62" s="118"/>
      <c r="AZ62" s="118"/>
      <c r="BA62" s="118"/>
      <c r="BB62" s="118"/>
      <c r="BC62" s="118"/>
    </row>
    <row r="63" spans="1:55">
      <c r="A63" s="48" t="str">
        <f>IF(B63="","",SUBTOTAL(3,$B$8:B63))</f>
        <v/>
      </c>
      <c r="B63" s="49" t="str">
        <f>IF(HKI!$B66="","",HKI!B66)</f>
        <v/>
      </c>
      <c r="C63" s="263" t="str">
        <f>IF(HKI!$B66="","",HKI!C66)</f>
        <v/>
      </c>
      <c r="D63" s="264" t="str">
        <f>IF(HKI!$B66="","",HKI!D66)</f>
        <v/>
      </c>
      <c r="E63" s="14" t="str">
        <f t="shared" si="2"/>
        <v/>
      </c>
      <c r="F63" s="14" t="str">
        <f t="shared" si="1"/>
        <v/>
      </c>
      <c r="G63" s="11" t="str">
        <f>IF(HKI!I66&lt;4,"X","")</f>
        <v/>
      </c>
      <c r="H63" s="11" t="str">
        <f>IF(HKI!M66&lt;4,"X","")</f>
        <v/>
      </c>
      <c r="I63" s="11" t="str">
        <f>IF(HKI!Q66&lt;4,"X","")</f>
        <v/>
      </c>
      <c r="J63" s="11" t="str">
        <f>IF(HKI!U66&lt;4,"X","")</f>
        <v/>
      </c>
      <c r="K63" s="11" t="str">
        <f>IF(HKI!Y66&lt;4,"X","")</f>
        <v/>
      </c>
      <c r="L63" s="11" t="str">
        <f>IF(HKI!AC66&lt;4,"X","")</f>
        <v/>
      </c>
      <c r="M63" s="11" t="str">
        <f>IF(HKI!AG66&lt;4,"X","")</f>
        <v/>
      </c>
      <c r="N63" s="11" t="str">
        <f>IF(HKI!AK66&lt;4,"X","")</f>
        <v/>
      </c>
      <c r="O63" s="11" t="str">
        <f>IF(HKI!AO66&lt;4,"X","")</f>
        <v/>
      </c>
      <c r="P63" s="11" t="str">
        <f>IF(HKI!AS66&lt;4,"X","")</f>
        <v/>
      </c>
      <c r="Q63" s="11" t="str">
        <f>IF(HKI!AW66&lt;4,"X","")</f>
        <v/>
      </c>
      <c r="R63" s="118"/>
      <c r="S63" s="118"/>
      <c r="AV63" s="118"/>
      <c r="AW63" s="118"/>
      <c r="AX63" s="118"/>
      <c r="AY63" s="118"/>
      <c r="AZ63" s="118"/>
      <c r="BA63" s="118"/>
      <c r="BB63" s="118"/>
      <c r="BC63" s="118"/>
    </row>
    <row r="64" spans="1:55">
      <c r="A64" s="48" t="str">
        <f>IF(B64="","",SUBTOTAL(3,$B$8:B64))</f>
        <v/>
      </c>
      <c r="B64" s="49" t="str">
        <f>IF(HKI!$B67="","",HKI!B67)</f>
        <v/>
      </c>
      <c r="C64" s="263" t="str">
        <f>IF(HKI!$B67="","",HKI!C67)</f>
        <v/>
      </c>
      <c r="D64" s="264" t="str">
        <f>IF(HKI!$B67="","",HKI!D67)</f>
        <v/>
      </c>
      <c r="E64" s="14" t="str">
        <f t="shared" si="2"/>
        <v/>
      </c>
      <c r="F64" s="14" t="str">
        <f t="shared" si="1"/>
        <v/>
      </c>
      <c r="G64" s="11" t="str">
        <f>IF(HKI!I67&lt;4,"X","")</f>
        <v/>
      </c>
      <c r="H64" s="11" t="str">
        <f>IF(HKI!M67&lt;4,"X","")</f>
        <v/>
      </c>
      <c r="I64" s="11" t="str">
        <f>IF(HKI!Q67&lt;4,"X","")</f>
        <v/>
      </c>
      <c r="J64" s="11" t="str">
        <f>IF(HKI!U67&lt;4,"X","")</f>
        <v/>
      </c>
      <c r="K64" s="11" t="str">
        <f>IF(HKI!Y67&lt;4,"X","")</f>
        <v/>
      </c>
      <c r="L64" s="11" t="str">
        <f>IF(HKI!AC67&lt;4,"X","")</f>
        <v/>
      </c>
      <c r="M64" s="11" t="str">
        <f>IF(HKI!AG67&lt;4,"X","")</f>
        <v/>
      </c>
      <c r="N64" s="11" t="str">
        <f>IF(HKI!AK67&lt;4,"X","")</f>
        <v/>
      </c>
      <c r="O64" s="11" t="str">
        <f>IF(HKI!AO67&lt;4,"X","")</f>
        <v/>
      </c>
      <c r="P64" s="11" t="str">
        <f>IF(HKI!AS67&lt;4,"X","")</f>
        <v/>
      </c>
      <c r="Q64" s="11" t="str">
        <f>IF(HKI!AW67&lt;4,"X","")</f>
        <v/>
      </c>
      <c r="R64" s="118"/>
      <c r="S64" s="118"/>
      <c r="AV64" s="118"/>
      <c r="AW64" s="118"/>
      <c r="AX64" s="118"/>
      <c r="AY64" s="118"/>
      <c r="AZ64" s="118"/>
      <c r="BA64" s="118"/>
      <c r="BB64" s="118"/>
      <c r="BC64" s="118"/>
    </row>
    <row r="65" spans="1:55">
      <c r="A65" s="48" t="str">
        <f>IF(B65="","",SUBTOTAL(3,$B$8:B65))</f>
        <v/>
      </c>
      <c r="B65" s="49" t="str">
        <f>IF(HKI!$B68="","",HKI!B68)</f>
        <v/>
      </c>
      <c r="C65" s="263" t="str">
        <f>IF(HKI!$B68="","",HKI!C68)</f>
        <v/>
      </c>
      <c r="D65" s="264" t="str">
        <f>IF(HKI!$B68="","",HKI!D68)</f>
        <v/>
      </c>
      <c r="E65" s="14" t="str">
        <f t="shared" si="2"/>
        <v/>
      </c>
      <c r="F65" s="14" t="str">
        <f t="shared" si="1"/>
        <v/>
      </c>
      <c r="G65" s="11" t="str">
        <f>IF(HKI!I68&lt;4,"X","")</f>
        <v/>
      </c>
      <c r="H65" s="11" t="str">
        <f>IF(HKI!M68&lt;4,"X","")</f>
        <v/>
      </c>
      <c r="I65" s="11" t="str">
        <f>IF(HKI!Q68&lt;4,"X","")</f>
        <v/>
      </c>
      <c r="J65" s="11" t="str">
        <f>IF(HKI!U68&lt;4,"X","")</f>
        <v/>
      </c>
      <c r="K65" s="11" t="str">
        <f>IF(HKI!Y68&lt;4,"X","")</f>
        <v/>
      </c>
      <c r="L65" s="11" t="str">
        <f>IF(HKI!AC68&lt;4,"X","")</f>
        <v/>
      </c>
      <c r="M65" s="11" t="str">
        <f>IF(HKI!AG68&lt;4,"X","")</f>
        <v/>
      </c>
      <c r="N65" s="11" t="str">
        <f>IF(HKI!AK68&lt;4,"X","")</f>
        <v/>
      </c>
      <c r="O65" s="11" t="str">
        <f>IF(HKI!AO68&lt;4,"X","")</f>
        <v/>
      </c>
      <c r="P65" s="11" t="str">
        <f>IF(HKI!AS68&lt;4,"X","")</f>
        <v/>
      </c>
      <c r="Q65" s="11" t="str">
        <f>IF(HKI!AW68&lt;4,"X","")</f>
        <v/>
      </c>
      <c r="R65" s="118"/>
      <c r="S65" s="118"/>
      <c r="AV65" s="118"/>
      <c r="AW65" s="118"/>
      <c r="AX65" s="118"/>
      <c r="AY65" s="118"/>
      <c r="AZ65" s="118"/>
      <c r="BA65" s="118"/>
      <c r="BB65" s="118"/>
      <c r="BC65" s="118"/>
    </row>
    <row r="66" spans="1:55">
      <c r="A66" s="48" t="str">
        <f>IF(B66="","",SUBTOTAL(3,$B$8:B66))</f>
        <v/>
      </c>
      <c r="B66" s="49" t="str">
        <f>IF(HKI!$B69="","",HKI!B69)</f>
        <v/>
      </c>
      <c r="C66" s="263" t="str">
        <f>IF(HKI!$B69="","",HKI!C69)</f>
        <v/>
      </c>
      <c r="D66" s="264" t="str">
        <f>IF(HKI!$B69="","",HKI!D69)</f>
        <v/>
      </c>
      <c r="E66" s="14" t="str">
        <f t="shared" si="2"/>
        <v/>
      </c>
      <c r="F66" s="14" t="str">
        <f t="shared" si="1"/>
        <v/>
      </c>
      <c r="G66" s="11" t="str">
        <f>IF(HKI!I69&lt;4,"X","")</f>
        <v/>
      </c>
      <c r="H66" s="11" t="str">
        <f>IF(HKI!M69&lt;4,"X","")</f>
        <v/>
      </c>
      <c r="I66" s="11" t="str">
        <f>IF(HKI!Q69&lt;4,"X","")</f>
        <v/>
      </c>
      <c r="J66" s="11" t="str">
        <f>IF(HKI!U69&lt;4,"X","")</f>
        <v/>
      </c>
      <c r="K66" s="11" t="str">
        <f>IF(HKI!Y69&lt;4,"X","")</f>
        <v/>
      </c>
      <c r="L66" s="11" t="str">
        <f>IF(HKI!AC69&lt;4,"X","")</f>
        <v/>
      </c>
      <c r="M66" s="11" t="str">
        <f>IF(HKI!AG69&lt;4,"X","")</f>
        <v/>
      </c>
      <c r="N66" s="11" t="str">
        <f>IF(HKI!AK69&lt;4,"X","")</f>
        <v/>
      </c>
      <c r="O66" s="11" t="str">
        <f>IF(HKI!AO69&lt;4,"X","")</f>
        <v/>
      </c>
      <c r="P66" s="11" t="str">
        <f>IF(HKI!AS69&lt;4,"X","")</f>
        <v/>
      </c>
      <c r="Q66" s="11" t="str">
        <f>IF(HKI!AW69&lt;4,"X","")</f>
        <v/>
      </c>
      <c r="R66" s="118"/>
      <c r="S66" s="118"/>
      <c r="AV66" s="118"/>
      <c r="AW66" s="118"/>
      <c r="AX66" s="118"/>
      <c r="AY66" s="118"/>
      <c r="AZ66" s="118"/>
      <c r="BA66" s="118"/>
      <c r="BB66" s="118"/>
      <c r="BC66" s="118"/>
    </row>
    <row r="67" spans="1:55">
      <c r="A67" s="48" t="str">
        <f>IF(B67="","",SUBTOTAL(3,$B$8:B67))</f>
        <v/>
      </c>
      <c r="B67" s="49" t="str">
        <f>IF(HKI!$B70="","",HKI!B70)</f>
        <v/>
      </c>
      <c r="C67" s="263" t="str">
        <f>IF(HKI!$B70="","",HKI!C70)</f>
        <v/>
      </c>
      <c r="D67" s="264" t="str">
        <f>IF(HKI!$B70="","",HKI!D70)</f>
        <v/>
      </c>
      <c r="E67" s="14" t="str">
        <f t="shared" si="2"/>
        <v/>
      </c>
      <c r="F67" s="14" t="str">
        <f t="shared" si="1"/>
        <v/>
      </c>
      <c r="G67" s="11" t="str">
        <f>IF(HKI!I70&lt;4,"X","")</f>
        <v/>
      </c>
      <c r="H67" s="11" t="str">
        <f>IF(HKI!M70&lt;4,"X","")</f>
        <v/>
      </c>
      <c r="I67" s="11" t="str">
        <f>IF(HKI!Q70&lt;4,"X","")</f>
        <v/>
      </c>
      <c r="J67" s="11" t="str">
        <f>IF(HKI!U70&lt;4,"X","")</f>
        <v/>
      </c>
      <c r="K67" s="11" t="str">
        <f>IF(HKI!Y70&lt;4,"X","")</f>
        <v/>
      </c>
      <c r="L67" s="11" t="str">
        <f>IF(HKI!AC70&lt;4,"X","")</f>
        <v/>
      </c>
      <c r="M67" s="11" t="str">
        <f>IF(HKI!AG70&lt;4,"X","")</f>
        <v/>
      </c>
      <c r="N67" s="11" t="str">
        <f>IF(HKI!AK70&lt;4,"X","")</f>
        <v/>
      </c>
      <c r="O67" s="11" t="str">
        <f>IF(HKI!AO70&lt;4,"X","")</f>
        <v/>
      </c>
      <c r="P67" s="11" t="str">
        <f>IF(HKI!AS70&lt;4,"X","")</f>
        <v/>
      </c>
      <c r="Q67" s="11" t="str">
        <f>IF(HKI!AW70&lt;4,"X","")</f>
        <v/>
      </c>
      <c r="R67" s="118"/>
      <c r="S67" s="118"/>
      <c r="AV67" s="118"/>
      <c r="AW67" s="118"/>
      <c r="AX67" s="118"/>
      <c r="AY67" s="118"/>
      <c r="AZ67" s="118"/>
      <c r="BA67" s="118"/>
      <c r="BB67" s="118"/>
      <c r="BC67" s="118"/>
    </row>
    <row r="68" spans="1:55">
      <c r="A68" s="48" t="str">
        <f>IF(B68="","",SUBTOTAL(3,$B$8:B68))</f>
        <v/>
      </c>
      <c r="B68" s="49" t="str">
        <f>IF(HKI!$B71="","",HKI!B71)</f>
        <v/>
      </c>
      <c r="C68" s="263" t="str">
        <f>IF(HKI!$B71="","",HKI!C71)</f>
        <v/>
      </c>
      <c r="D68" s="264" t="str">
        <f>IF(HKI!$B71="","",HKI!D71)</f>
        <v/>
      </c>
      <c r="E68" s="14" t="str">
        <f t="shared" si="2"/>
        <v/>
      </c>
      <c r="F68" s="14" t="str">
        <f t="shared" si="1"/>
        <v/>
      </c>
      <c r="G68" s="11" t="str">
        <f>IF(HKI!I71&lt;4,"X","")</f>
        <v/>
      </c>
      <c r="H68" s="11" t="str">
        <f>IF(HKI!M71&lt;4,"X","")</f>
        <v/>
      </c>
      <c r="I68" s="11" t="str">
        <f>IF(HKI!Q71&lt;4,"X","")</f>
        <v/>
      </c>
      <c r="J68" s="11" t="str">
        <f>IF(HKI!U71&lt;4,"X","")</f>
        <v/>
      </c>
      <c r="K68" s="11" t="str">
        <f>IF(HKI!Y71&lt;4,"X","")</f>
        <v/>
      </c>
      <c r="L68" s="11" t="str">
        <f>IF(HKI!AC71&lt;4,"X","")</f>
        <v/>
      </c>
      <c r="M68" s="11" t="str">
        <f>IF(HKI!AG71&lt;4,"X","")</f>
        <v/>
      </c>
      <c r="N68" s="11" t="str">
        <f>IF(HKI!AK71&lt;4,"X","")</f>
        <v/>
      </c>
      <c r="O68" s="11" t="str">
        <f>IF(HKI!AO71&lt;4,"X","")</f>
        <v/>
      </c>
      <c r="P68" s="11" t="str">
        <f>IF(HKI!AS71&lt;4,"X","")</f>
        <v/>
      </c>
      <c r="Q68" s="11" t="str">
        <f>IF(HKI!AW71&lt;4,"X","")</f>
        <v/>
      </c>
      <c r="R68" s="118"/>
      <c r="S68" s="118"/>
      <c r="AV68" s="118"/>
      <c r="AW68" s="118"/>
      <c r="AX68" s="118"/>
      <c r="AY68" s="118"/>
      <c r="AZ68" s="118"/>
      <c r="BA68" s="118"/>
      <c r="BB68" s="118"/>
      <c r="BC68" s="118"/>
    </row>
    <row r="69" spans="1:55">
      <c r="A69" s="48" t="str">
        <f>IF(B69="","",SUBTOTAL(3,$B$8:B69))</f>
        <v/>
      </c>
      <c r="B69" s="49" t="str">
        <f>IF(HKI!$B72="","",HKI!B72)</f>
        <v/>
      </c>
      <c r="C69" s="263" t="str">
        <f>IF(HKI!$B72="","",HKI!C72)</f>
        <v/>
      </c>
      <c r="D69" s="264" t="str">
        <f>IF(HKI!$B72="","",HKI!D72)</f>
        <v/>
      </c>
      <c r="E69" s="14" t="str">
        <f t="shared" si="2"/>
        <v/>
      </c>
      <c r="F69" s="14" t="str">
        <f t="shared" si="1"/>
        <v/>
      </c>
      <c r="G69" s="11" t="str">
        <f>IF(HKI!I72&lt;4,"X","")</f>
        <v/>
      </c>
      <c r="H69" s="11" t="str">
        <f>IF(HKI!M72&lt;4,"X","")</f>
        <v/>
      </c>
      <c r="I69" s="11" t="str">
        <f>IF(HKI!Q72&lt;4,"X","")</f>
        <v/>
      </c>
      <c r="J69" s="11" t="str">
        <f>IF(HKI!U72&lt;4,"X","")</f>
        <v/>
      </c>
      <c r="K69" s="11" t="str">
        <f>IF(HKI!Y72&lt;4,"X","")</f>
        <v/>
      </c>
      <c r="L69" s="11" t="str">
        <f>IF(HKI!AC72&lt;4,"X","")</f>
        <v/>
      </c>
      <c r="M69" s="11" t="str">
        <f>IF(HKI!AG72&lt;4,"X","")</f>
        <v/>
      </c>
      <c r="N69" s="11" t="str">
        <f>IF(HKI!AK72&lt;4,"X","")</f>
        <v/>
      </c>
      <c r="O69" s="11" t="str">
        <f>IF(HKI!AO72&lt;4,"X","")</f>
        <v/>
      </c>
      <c r="P69" s="11" t="str">
        <f>IF(HKI!AS72&lt;4,"X","")</f>
        <v/>
      </c>
      <c r="Q69" s="11" t="str">
        <f>IF(HKI!AW72&lt;4,"X","")</f>
        <v/>
      </c>
      <c r="R69" s="118"/>
      <c r="S69" s="118"/>
      <c r="AV69" s="118"/>
      <c r="AW69" s="118"/>
      <c r="AX69" s="118"/>
      <c r="AY69" s="118"/>
      <c r="AZ69" s="118"/>
      <c r="BA69" s="118"/>
      <c r="BB69" s="118"/>
      <c r="BC69" s="118"/>
    </row>
    <row r="70" spans="1:55">
      <c r="A70" s="48" t="str">
        <f>IF(B70="","",SUBTOTAL(3,$B$8:B70))</f>
        <v/>
      </c>
      <c r="B70" s="49" t="str">
        <f>IF(HKI!$B73="","",HKI!B73)</f>
        <v/>
      </c>
      <c r="C70" s="263" t="str">
        <f>IF(HKI!$B73="","",HKI!C73)</f>
        <v/>
      </c>
      <c r="D70" s="264" t="str">
        <f>IF(HKI!$B73="","",HKI!D73)</f>
        <v/>
      </c>
      <c r="E70" s="14" t="str">
        <f t="shared" si="2"/>
        <v/>
      </c>
      <c r="F70" s="14" t="str">
        <f t="shared" si="1"/>
        <v/>
      </c>
      <c r="G70" s="11" t="str">
        <f>IF(HKI!I73&lt;4,"X","")</f>
        <v/>
      </c>
      <c r="H70" s="11" t="str">
        <f>IF(HKI!M73&lt;4,"X","")</f>
        <v/>
      </c>
      <c r="I70" s="11" t="str">
        <f>IF(HKI!Q73&lt;4,"X","")</f>
        <v/>
      </c>
      <c r="J70" s="11" t="str">
        <f>IF(HKI!U73&lt;4,"X","")</f>
        <v/>
      </c>
      <c r="K70" s="11" t="str">
        <f>IF(HKI!Y73&lt;4,"X","")</f>
        <v/>
      </c>
      <c r="L70" s="11" t="str">
        <f>IF(HKI!AC73&lt;4,"X","")</f>
        <v/>
      </c>
      <c r="M70" s="11" t="str">
        <f>IF(HKI!AG73&lt;4,"X","")</f>
        <v/>
      </c>
      <c r="N70" s="11" t="str">
        <f>IF(HKI!AK73&lt;4,"X","")</f>
        <v/>
      </c>
      <c r="O70" s="11" t="str">
        <f>IF(HKI!AO73&lt;4,"X","")</f>
        <v/>
      </c>
      <c r="P70" s="11" t="str">
        <f>IF(HKI!AS73&lt;4,"X","")</f>
        <v/>
      </c>
      <c r="Q70" s="11" t="str">
        <f>IF(HKI!AW73&lt;4,"X","")</f>
        <v/>
      </c>
      <c r="R70" s="118"/>
      <c r="S70" s="118"/>
      <c r="AV70" s="118"/>
      <c r="AW70" s="118"/>
      <c r="AX70" s="118"/>
      <c r="AY70" s="118"/>
      <c r="AZ70" s="118"/>
      <c r="BA70" s="118"/>
      <c r="BB70" s="118"/>
      <c r="BC70" s="118"/>
    </row>
    <row r="71" spans="1:55">
      <c r="A71" s="48" t="str">
        <f>IF(B71="","",SUBTOTAL(3,$B$8:B71))</f>
        <v/>
      </c>
      <c r="B71" s="49" t="str">
        <f>IF(HKI!$B74="","",HKI!B74)</f>
        <v/>
      </c>
      <c r="C71" s="263" t="str">
        <f>IF(HKI!$B74="","",HKI!C74)</f>
        <v/>
      </c>
      <c r="D71" s="264" t="str">
        <f>IF(HKI!$B74="","",HKI!D74)</f>
        <v/>
      </c>
      <c r="E71" s="14" t="str">
        <f t="shared" si="2"/>
        <v/>
      </c>
      <c r="F71" s="14" t="str">
        <f t="shared" si="1"/>
        <v/>
      </c>
      <c r="G71" s="11" t="str">
        <f>IF(HKI!I74&lt;4,"X","")</f>
        <v/>
      </c>
      <c r="H71" s="11" t="str">
        <f>IF(HKI!M74&lt;4,"X","")</f>
        <v/>
      </c>
      <c r="I71" s="11" t="str">
        <f>IF(HKI!Q74&lt;4,"X","")</f>
        <v/>
      </c>
      <c r="J71" s="11" t="str">
        <f>IF(HKI!U74&lt;4,"X","")</f>
        <v/>
      </c>
      <c r="K71" s="11" t="str">
        <f>IF(HKI!Y74&lt;4,"X","")</f>
        <v/>
      </c>
      <c r="L71" s="11" t="str">
        <f>IF(HKI!AC74&lt;4,"X","")</f>
        <v/>
      </c>
      <c r="M71" s="11" t="str">
        <f>IF(HKI!AG74&lt;4,"X","")</f>
        <v/>
      </c>
      <c r="N71" s="11" t="str">
        <f>IF(HKI!AK74&lt;4,"X","")</f>
        <v/>
      </c>
      <c r="O71" s="11" t="str">
        <f>IF(HKI!AO74&lt;4,"X","")</f>
        <v/>
      </c>
      <c r="P71" s="11" t="str">
        <f>IF(HKI!AS74&lt;4,"X","")</f>
        <v/>
      </c>
      <c r="Q71" s="11" t="str">
        <f>IF(HKI!AW74&lt;4,"X","")</f>
        <v/>
      </c>
      <c r="R71" s="118"/>
      <c r="S71" s="118"/>
      <c r="AV71" s="118"/>
      <c r="AW71" s="118"/>
      <c r="AX71" s="118"/>
      <c r="AY71" s="118"/>
      <c r="AZ71" s="118"/>
      <c r="BA71" s="118"/>
      <c r="BB71" s="118"/>
      <c r="BC71" s="118"/>
    </row>
    <row r="72" spans="1:55">
      <c r="A72" s="48" t="str">
        <f>IF(B72="","",SUBTOTAL(3,$B$8:B72))</f>
        <v/>
      </c>
      <c r="B72" s="49" t="str">
        <f>IF(HKI!$B75="","",HKI!B75)</f>
        <v/>
      </c>
      <c r="C72" s="265" t="str">
        <f>IF(HKI!$B75="","",HKI!C75)</f>
        <v/>
      </c>
      <c r="D72" s="266" t="str">
        <f>IF(HKI!$B75="","",HKI!D75)</f>
        <v/>
      </c>
      <c r="E72" s="14" t="str">
        <f t="shared" si="2"/>
        <v/>
      </c>
      <c r="F72" s="14" t="str">
        <f t="shared" si="1"/>
        <v/>
      </c>
      <c r="G72" s="11" t="str">
        <f>IF(HKI!I75&lt;4,"X","")</f>
        <v/>
      </c>
      <c r="H72" s="11" t="str">
        <f>IF(HKI!M75&lt;4,"X","")</f>
        <v/>
      </c>
      <c r="I72" s="11" t="str">
        <f>IF(HKI!Q75&lt;4,"X","")</f>
        <v/>
      </c>
      <c r="J72" s="11" t="str">
        <f>IF(HKI!U75&lt;4,"X","")</f>
        <v/>
      </c>
      <c r="K72" s="11" t="str">
        <f>IF(HKI!Y75&lt;4,"X","")</f>
        <v/>
      </c>
      <c r="L72" s="11" t="str">
        <f>IF(HKI!AC75&lt;4,"X","")</f>
        <v/>
      </c>
      <c r="M72" s="11" t="str">
        <f>IF(HKI!AG75&lt;4,"X","")</f>
        <v/>
      </c>
      <c r="N72" s="11" t="str">
        <f>IF(HKI!AK75&lt;4,"X","")</f>
        <v/>
      </c>
      <c r="O72" s="11" t="str">
        <f>IF(HKI!AO75&lt;4,"X","")</f>
        <v/>
      </c>
      <c r="P72" s="11" t="str">
        <f>IF(HKI!AS75&lt;4,"X","")</f>
        <v/>
      </c>
      <c r="Q72" s="11" t="str">
        <f>IF(HKI!AW75&lt;4,"X","")</f>
        <v/>
      </c>
      <c r="R72" s="118"/>
      <c r="S72" s="118"/>
      <c r="AV72" s="118"/>
      <c r="AW72" s="118"/>
      <c r="AX72" s="118"/>
      <c r="AY72" s="118"/>
      <c r="AZ72" s="118"/>
      <c r="BA72" s="118"/>
      <c r="BB72" s="118"/>
      <c r="BC72" s="118"/>
    </row>
    <row r="73" spans="1:55">
      <c r="A73" s="579" t="s">
        <v>1592</v>
      </c>
      <c r="B73" s="579"/>
      <c r="C73" s="579"/>
      <c r="D73" s="579"/>
      <c r="E73" s="579"/>
      <c r="F73" s="142"/>
      <c r="G73" s="161">
        <f>COUNTIF(G8:G72,"X")</f>
        <v>1</v>
      </c>
      <c r="H73" s="161">
        <f t="shared" ref="H73:O73" si="3">COUNTIF(H8:H72,"X")</f>
        <v>1</v>
      </c>
      <c r="I73" s="161">
        <f t="shared" si="3"/>
        <v>4</v>
      </c>
      <c r="J73" s="161">
        <f t="shared" si="3"/>
        <v>12</v>
      </c>
      <c r="K73" s="161">
        <f t="shared" si="3"/>
        <v>4</v>
      </c>
      <c r="L73" s="161">
        <f t="shared" si="3"/>
        <v>16</v>
      </c>
      <c r="M73" s="161">
        <f t="shared" si="3"/>
        <v>0</v>
      </c>
      <c r="N73" s="161">
        <f t="shared" si="3"/>
        <v>0</v>
      </c>
      <c r="O73" s="161">
        <f t="shared" si="3"/>
        <v>0</v>
      </c>
      <c r="P73" s="161">
        <f>COUNTIF(P8:P72,"X")</f>
        <v>0</v>
      </c>
      <c r="Q73" s="161">
        <f>COUNTIF(Q8:Q72,"X")</f>
        <v>0</v>
      </c>
      <c r="R73" s="162"/>
      <c r="S73" s="162"/>
      <c r="T73" s="162"/>
    </row>
  </sheetData>
  <sheetProtection password="E4CC" sheet="1" objects="1" scenarios="1" formatCells="0" formatRows="0"/>
  <mergeCells count="8">
    <mergeCell ref="A1:H1"/>
    <mergeCell ref="C6:D6"/>
    <mergeCell ref="A7:F7"/>
    <mergeCell ref="A73:E73"/>
    <mergeCell ref="A2:H2"/>
    <mergeCell ref="G5:H5"/>
    <mergeCell ref="I5:J5"/>
    <mergeCell ref="A4:P4"/>
  </mergeCells>
  <phoneticPr fontId="9" type="noConversion"/>
  <printOptions horizontalCentered="1"/>
  <pageMargins left="0.25" right="0.25" top="0.25" bottom="0.5" header="0.25" footer="0.25"/>
  <pageSetup paperSize="9" scale="67" orientation="portrait" horizontalDpi="1200" verticalDpi="1200" r:id="rId1"/>
  <headerFooter alignWithMargins="0"/>
</worksheet>
</file>

<file path=xl/worksheets/sheet6.xml><?xml version="1.0" encoding="utf-8"?>
<worksheet xmlns="http://schemas.openxmlformats.org/spreadsheetml/2006/main" xmlns:r="http://schemas.openxmlformats.org/officeDocument/2006/relationships">
  <dimension ref="A1:FM114"/>
  <sheetViews>
    <sheetView topLeftCell="A16" zoomScale="71" zoomScaleNormal="71" workbookViewId="0">
      <selection activeCell="BS12" sqref="BS12"/>
    </sheetView>
  </sheetViews>
  <sheetFormatPr defaultRowHeight="15.75"/>
  <cols>
    <col min="1" max="1" width="6" style="38" bestFit="1" customWidth="1"/>
    <col min="2" max="2" width="18.42578125" style="38" bestFit="1" customWidth="1"/>
    <col min="3" max="3" width="27.7109375" style="38" bestFit="1" customWidth="1"/>
    <col min="4" max="4" width="10.42578125" style="38" bestFit="1" customWidth="1"/>
    <col min="5" max="5" width="10.140625" style="38" bestFit="1" customWidth="1"/>
    <col min="6" max="7" width="5.28515625" style="38" customWidth="1"/>
    <col min="8" max="9" width="6.7109375" style="38" customWidth="1"/>
    <col min="10" max="21" width="6.7109375" style="272" customWidth="1"/>
    <col min="22" max="23" width="6.7109375" style="272" hidden="1" customWidth="1"/>
    <col min="24" max="25" width="6.7109375" style="38" hidden="1" customWidth="1"/>
    <col min="26" max="43" width="6.7109375" style="38" customWidth="1"/>
    <col min="44" max="49" width="6.7109375" style="38" hidden="1" customWidth="1"/>
    <col min="50" max="51" width="6.7109375" style="38" customWidth="1"/>
    <col min="52" max="53" width="6.7109375" style="38" hidden="1" customWidth="1"/>
    <col min="54" max="56" width="6.7109375" style="38" customWidth="1"/>
    <col min="57" max="58" width="10.5703125" style="432" bestFit="1" customWidth="1"/>
    <col min="59" max="60" width="19.140625" style="432" customWidth="1"/>
    <col min="61" max="61" width="6.42578125" style="432" customWidth="1"/>
    <col min="62" max="62" width="6.7109375" style="432" customWidth="1"/>
    <col min="63" max="65" width="6.7109375" style="38" customWidth="1"/>
    <col min="66" max="69" width="6.7109375" style="3" customWidth="1"/>
    <col min="70" max="70" width="13.7109375" style="3" bestFit="1" customWidth="1"/>
    <col min="71" max="71" width="15" style="38" customWidth="1"/>
    <col min="72" max="94" width="5.28515625" style="222" hidden="1" customWidth="1"/>
    <col min="95" max="95" width="6.42578125" style="222" hidden="1" customWidth="1"/>
    <col min="96" max="142" width="5.28515625" style="222" hidden="1" customWidth="1"/>
    <col min="143" max="143" width="5.85546875" style="222" hidden="1" customWidth="1"/>
    <col min="144" max="166" width="5.28515625" style="222" hidden="1" customWidth="1"/>
    <col min="167" max="167" width="5.85546875" style="222" hidden="1" customWidth="1"/>
    <col min="168" max="16384" width="9.140625" style="38"/>
  </cols>
  <sheetData>
    <row r="1" spans="1:169" s="269" customFormat="1" ht="18.75">
      <c r="A1" s="664" t="s">
        <v>1488</v>
      </c>
      <c r="B1" s="664"/>
      <c r="C1" s="664"/>
      <c r="D1" s="664"/>
      <c r="E1" s="664"/>
      <c r="F1" s="664"/>
      <c r="G1" s="664"/>
      <c r="H1" s="664"/>
      <c r="I1" s="664"/>
      <c r="J1" s="664"/>
      <c r="K1" s="664"/>
      <c r="L1" s="664"/>
      <c r="M1" s="664"/>
      <c r="N1" s="664"/>
      <c r="O1" s="664"/>
      <c r="P1" s="664"/>
      <c r="Q1" s="664"/>
      <c r="R1" s="664"/>
      <c r="S1" s="664"/>
      <c r="T1" s="268"/>
      <c r="U1" s="268"/>
      <c r="V1" s="268"/>
      <c r="W1" s="268"/>
      <c r="X1" s="268"/>
      <c r="AP1" s="663" t="s">
        <v>2640</v>
      </c>
      <c r="AQ1" s="663"/>
      <c r="AR1" s="663"/>
      <c r="AS1" s="663"/>
      <c r="AT1" s="663"/>
      <c r="AU1" s="663"/>
      <c r="AV1" s="663"/>
      <c r="AW1" s="663"/>
      <c r="AX1" s="663"/>
      <c r="AY1" s="663"/>
      <c r="AZ1" s="663"/>
      <c r="BA1" s="663"/>
      <c r="BB1" s="663"/>
      <c r="BC1" s="663"/>
      <c r="BD1" s="663"/>
      <c r="BE1" s="663"/>
      <c r="BF1" s="663"/>
      <c r="BG1" s="663"/>
      <c r="BH1" s="663"/>
      <c r="BI1" s="663"/>
      <c r="BJ1" s="663"/>
      <c r="BK1" s="663"/>
      <c r="BL1" s="663"/>
      <c r="BM1" s="663"/>
      <c r="BN1" s="663"/>
      <c r="BO1" s="663"/>
      <c r="BP1" s="663"/>
      <c r="BQ1" s="663"/>
      <c r="BR1" s="663"/>
      <c r="BS1" s="663"/>
    </row>
    <row r="2" spans="1:169" s="269" customFormat="1" ht="18.75">
      <c r="A2" s="663" t="s">
        <v>1487</v>
      </c>
      <c r="B2" s="663"/>
      <c r="C2" s="663"/>
      <c r="D2" s="663"/>
      <c r="E2" s="663"/>
      <c r="F2" s="663"/>
      <c r="G2" s="663"/>
      <c r="H2" s="663"/>
      <c r="I2" s="663"/>
      <c r="J2" s="663"/>
      <c r="K2" s="663"/>
      <c r="L2" s="663"/>
      <c r="M2" s="663"/>
      <c r="N2" s="663"/>
      <c r="O2" s="663"/>
      <c r="P2" s="663"/>
      <c r="Q2" s="663"/>
      <c r="R2" s="663"/>
      <c r="S2" s="663"/>
      <c r="T2" s="268"/>
      <c r="U2" s="268"/>
      <c r="V2" s="268"/>
      <c r="W2" s="268"/>
      <c r="X2" s="268"/>
      <c r="AP2" s="663" t="s">
        <v>1298</v>
      </c>
      <c r="AQ2" s="663"/>
      <c r="AR2" s="663"/>
      <c r="AS2" s="663"/>
      <c r="AT2" s="663"/>
      <c r="AU2" s="663"/>
      <c r="AV2" s="663"/>
      <c r="AW2" s="663"/>
      <c r="AX2" s="663"/>
      <c r="AY2" s="663"/>
      <c r="AZ2" s="663"/>
      <c r="BA2" s="663"/>
      <c r="BB2" s="663"/>
      <c r="BC2" s="663"/>
      <c r="BD2" s="663"/>
      <c r="BE2" s="663"/>
      <c r="BF2" s="663"/>
      <c r="BG2" s="663"/>
      <c r="BH2" s="663"/>
      <c r="BI2" s="663"/>
      <c r="BJ2" s="663"/>
      <c r="BK2" s="663"/>
      <c r="BL2" s="663"/>
      <c r="BM2" s="663"/>
      <c r="BN2" s="663"/>
      <c r="BO2" s="663"/>
      <c r="BP2" s="663"/>
      <c r="BQ2" s="663"/>
      <c r="BR2" s="663"/>
      <c r="BS2" s="663"/>
    </row>
    <row r="3" spans="1:169" s="523" customFormat="1" ht="18.75">
      <c r="C3" s="524" t="s">
        <v>1424</v>
      </c>
      <c r="D3" s="665" t="s">
        <v>2016</v>
      </c>
      <c r="E3" s="665"/>
      <c r="F3" s="665"/>
      <c r="G3" s="663" t="s">
        <v>1489</v>
      </c>
      <c r="H3" s="663"/>
      <c r="I3" s="525">
        <v>42</v>
      </c>
      <c r="J3" s="268"/>
      <c r="K3" s="259"/>
      <c r="L3" s="259"/>
      <c r="M3" s="268"/>
      <c r="N3" s="268"/>
      <c r="O3" s="268"/>
      <c r="P3" s="268"/>
      <c r="Q3" s="268"/>
      <c r="R3" s="268"/>
      <c r="S3" s="268"/>
      <c r="T3" s="268"/>
      <c r="U3" s="268"/>
      <c r="V3" s="268"/>
      <c r="W3" s="268"/>
      <c r="X3" s="268"/>
      <c r="BE3" s="270"/>
      <c r="BF3" s="270"/>
      <c r="BG3" s="270"/>
      <c r="BH3" s="270"/>
      <c r="BI3" s="270"/>
      <c r="BJ3" s="270"/>
      <c r="BN3" s="270"/>
      <c r="BO3" s="270"/>
      <c r="BP3" s="270"/>
      <c r="BQ3" s="270"/>
      <c r="BR3" s="270"/>
    </row>
    <row r="4" spans="1:169" s="526" customFormat="1" ht="30.75">
      <c r="A4" s="666" t="s">
        <v>2712</v>
      </c>
      <c r="B4" s="666"/>
      <c r="C4" s="666"/>
      <c r="D4" s="666"/>
      <c r="E4" s="666"/>
      <c r="F4" s="666"/>
      <c r="G4" s="666"/>
      <c r="H4" s="666"/>
      <c r="I4" s="666"/>
      <c r="J4" s="666"/>
      <c r="K4" s="666"/>
      <c r="L4" s="666"/>
      <c r="M4" s="666"/>
      <c r="N4" s="666"/>
      <c r="O4" s="666"/>
      <c r="P4" s="666"/>
      <c r="Q4" s="666"/>
      <c r="R4" s="666"/>
      <c r="S4" s="666"/>
      <c r="T4" s="666"/>
      <c r="U4" s="666"/>
      <c r="V4" s="666"/>
      <c r="W4" s="666"/>
      <c r="X4" s="666"/>
      <c r="Y4" s="666"/>
      <c r="Z4" s="666"/>
      <c r="AA4" s="666"/>
      <c r="AB4" s="666"/>
      <c r="AC4" s="666"/>
      <c r="AD4" s="666"/>
      <c r="AE4" s="666"/>
      <c r="AF4" s="666"/>
      <c r="AG4" s="666"/>
      <c r="AH4" s="666"/>
      <c r="AI4" s="666"/>
      <c r="AJ4" s="666"/>
      <c r="AK4" s="666"/>
      <c r="AL4" s="666"/>
      <c r="AM4" s="666"/>
      <c r="AN4" s="666"/>
      <c r="AO4" s="666"/>
      <c r="AP4" s="666"/>
      <c r="AQ4" s="666"/>
      <c r="AR4" s="666"/>
      <c r="AS4" s="666"/>
      <c r="AT4" s="666"/>
      <c r="AU4" s="666"/>
      <c r="AV4" s="666"/>
      <c r="AW4" s="666"/>
      <c r="AX4" s="666"/>
      <c r="AY4" s="666"/>
      <c r="AZ4" s="666"/>
      <c r="BA4" s="666"/>
      <c r="BB4" s="666"/>
      <c r="BC4" s="666"/>
      <c r="BD4" s="666"/>
      <c r="BE4" s="666"/>
      <c r="BF4" s="666"/>
      <c r="BG4" s="666"/>
      <c r="BH4" s="666"/>
      <c r="BI4" s="666"/>
      <c r="BJ4" s="666"/>
      <c r="BK4" s="666"/>
      <c r="BL4" s="666"/>
      <c r="BM4" s="666"/>
      <c r="BN4" s="666"/>
      <c r="BO4" s="666"/>
      <c r="BP4" s="666"/>
      <c r="BQ4" s="666"/>
      <c r="BR4" s="666"/>
      <c r="BS4" s="666"/>
    </row>
    <row r="5" spans="1:169" ht="17.25" thickBot="1">
      <c r="B5" s="271"/>
      <c r="C5" s="57"/>
      <c r="D5" s="667"/>
      <c r="E5" s="667"/>
      <c r="F5" s="667"/>
      <c r="G5" s="667"/>
      <c r="H5" s="667"/>
      <c r="I5" s="667"/>
      <c r="J5" s="667"/>
      <c r="K5" s="667"/>
      <c r="L5" s="667"/>
      <c r="N5" s="668"/>
      <c r="O5" s="668"/>
      <c r="P5" s="668"/>
      <c r="Q5" s="668"/>
      <c r="R5" s="668"/>
      <c r="S5" s="58"/>
      <c r="T5" s="58"/>
      <c r="U5" s="58"/>
      <c r="V5" s="58"/>
      <c r="W5" s="58"/>
      <c r="X5" s="57"/>
      <c r="BE5" s="3"/>
      <c r="BF5" s="3"/>
      <c r="BG5" s="3"/>
      <c r="BH5" s="3"/>
      <c r="BI5" s="3"/>
      <c r="BJ5" s="3"/>
    </row>
    <row r="6" spans="1:169" s="286" customFormat="1" ht="73.5" customHeight="1" thickBot="1">
      <c r="A6" s="669" t="s">
        <v>1494</v>
      </c>
      <c r="B6" s="672" t="s">
        <v>1495</v>
      </c>
      <c r="C6" s="673"/>
      <c r="D6" s="673"/>
      <c r="E6" s="673"/>
      <c r="F6" s="673"/>
      <c r="G6" s="674"/>
      <c r="H6" s="639" t="s">
        <v>2713</v>
      </c>
      <c r="I6" s="640"/>
      <c r="J6" s="639" t="s">
        <v>2714</v>
      </c>
      <c r="K6" s="640"/>
      <c r="L6" s="639" t="s">
        <v>2715</v>
      </c>
      <c r="M6" s="640"/>
      <c r="N6" s="639" t="s">
        <v>2716</v>
      </c>
      <c r="O6" s="640"/>
      <c r="P6" s="639" t="s">
        <v>2717</v>
      </c>
      <c r="Q6" s="640"/>
      <c r="R6" s="639" t="s">
        <v>2718</v>
      </c>
      <c r="S6" s="640"/>
      <c r="T6" s="639" t="s">
        <v>2719</v>
      </c>
      <c r="U6" s="640"/>
      <c r="V6" s="639" t="s">
        <v>2720</v>
      </c>
      <c r="W6" s="640"/>
      <c r="X6" s="639" t="s">
        <v>2720</v>
      </c>
      <c r="Y6" s="640"/>
      <c r="Z6" s="639" t="s">
        <v>2721</v>
      </c>
      <c r="AA6" s="640"/>
      <c r="AB6" s="639" t="s">
        <v>2722</v>
      </c>
      <c r="AC6" s="640"/>
      <c r="AD6" s="639" t="s">
        <v>2723</v>
      </c>
      <c r="AE6" s="640"/>
      <c r="AF6" s="639" t="s">
        <v>2724</v>
      </c>
      <c r="AG6" s="640"/>
      <c r="AH6" s="639" t="s">
        <v>2725</v>
      </c>
      <c r="AI6" s="640"/>
      <c r="AJ6" s="661" t="s">
        <v>955</v>
      </c>
      <c r="AK6" s="662"/>
      <c r="AL6" s="639" t="s">
        <v>2726</v>
      </c>
      <c r="AM6" s="640"/>
      <c r="AN6" s="639" t="s">
        <v>2727</v>
      </c>
      <c r="AO6" s="640"/>
      <c r="AP6" s="639" t="s">
        <v>2728</v>
      </c>
      <c r="AQ6" s="640"/>
      <c r="AR6" s="639" t="s">
        <v>2720</v>
      </c>
      <c r="AS6" s="640"/>
      <c r="AT6" s="639" t="s">
        <v>2720</v>
      </c>
      <c r="AU6" s="640"/>
      <c r="AV6" s="639" t="s">
        <v>2720</v>
      </c>
      <c r="AW6" s="640"/>
      <c r="AX6" s="639" t="s">
        <v>930</v>
      </c>
      <c r="AY6" s="640"/>
      <c r="AZ6" s="639" t="s">
        <v>2720</v>
      </c>
      <c r="BA6" s="640"/>
      <c r="BB6" s="641" t="s">
        <v>1497</v>
      </c>
      <c r="BC6" s="642"/>
      <c r="BD6" s="643" t="s">
        <v>2729</v>
      </c>
      <c r="BE6" s="646" t="s">
        <v>2730</v>
      </c>
      <c r="BF6" s="647"/>
      <c r="BG6" s="634" t="s">
        <v>1498</v>
      </c>
      <c r="BH6" s="636" t="s">
        <v>2731</v>
      </c>
      <c r="BI6" s="636" t="s">
        <v>2732</v>
      </c>
      <c r="BJ6" s="623" t="s">
        <v>2733</v>
      </c>
      <c r="BK6" s="623" t="s">
        <v>2734</v>
      </c>
      <c r="BL6" s="623" t="s">
        <v>2735</v>
      </c>
      <c r="BM6" s="623" t="s">
        <v>2736</v>
      </c>
      <c r="BN6" s="623" t="s">
        <v>733</v>
      </c>
      <c r="BO6" s="623" t="s">
        <v>743</v>
      </c>
      <c r="BP6" s="623" t="s">
        <v>2638</v>
      </c>
      <c r="BQ6" s="623" t="s">
        <v>742</v>
      </c>
      <c r="BR6" s="623" t="s">
        <v>2737</v>
      </c>
      <c r="BS6" s="625" t="s">
        <v>1499</v>
      </c>
      <c r="BT6" s="274" t="s">
        <v>2713</v>
      </c>
      <c r="BU6" s="275" t="s">
        <v>2714</v>
      </c>
      <c r="BV6" s="275" t="s">
        <v>2715</v>
      </c>
      <c r="BW6" s="275" t="s">
        <v>2716</v>
      </c>
      <c r="BX6" s="275" t="s">
        <v>2717</v>
      </c>
      <c r="BY6" s="275" t="s">
        <v>2718</v>
      </c>
      <c r="BZ6" s="275" t="s">
        <v>2719</v>
      </c>
      <c r="CA6" s="275" t="s">
        <v>2720</v>
      </c>
      <c r="CB6" s="275" t="s">
        <v>2720</v>
      </c>
      <c r="CC6" s="275" t="s">
        <v>2721</v>
      </c>
      <c r="CD6" s="275" t="s">
        <v>2722</v>
      </c>
      <c r="CE6" s="275" t="s">
        <v>2723</v>
      </c>
      <c r="CF6" s="275" t="s">
        <v>2724</v>
      </c>
      <c r="CG6" s="275" t="s">
        <v>2725</v>
      </c>
      <c r="CH6" s="275" t="s">
        <v>955</v>
      </c>
      <c r="CI6" s="275" t="s">
        <v>2726</v>
      </c>
      <c r="CJ6" s="275" t="s">
        <v>2727</v>
      </c>
      <c r="CK6" s="276" t="s">
        <v>2728</v>
      </c>
      <c r="CL6" s="276" t="s">
        <v>2720</v>
      </c>
      <c r="CM6" s="276" t="s">
        <v>2720</v>
      </c>
      <c r="CN6" s="276" t="s">
        <v>2720</v>
      </c>
      <c r="CO6" s="276" t="s">
        <v>930</v>
      </c>
      <c r="CP6" s="276" t="s">
        <v>2720</v>
      </c>
      <c r="CQ6" s="277"/>
      <c r="CR6" s="274" t="s">
        <v>2713</v>
      </c>
      <c r="CS6" s="275" t="s">
        <v>2714</v>
      </c>
      <c r="CT6" s="275" t="s">
        <v>2715</v>
      </c>
      <c r="CU6" s="275" t="s">
        <v>2716</v>
      </c>
      <c r="CV6" s="275" t="s">
        <v>2717</v>
      </c>
      <c r="CW6" s="275" t="s">
        <v>2718</v>
      </c>
      <c r="CX6" s="275" t="s">
        <v>2719</v>
      </c>
      <c r="CY6" s="275" t="s">
        <v>2720</v>
      </c>
      <c r="CZ6" s="275" t="s">
        <v>2720</v>
      </c>
      <c r="DA6" s="275" t="s">
        <v>2721</v>
      </c>
      <c r="DB6" s="275" t="s">
        <v>2722</v>
      </c>
      <c r="DC6" s="275" t="s">
        <v>2723</v>
      </c>
      <c r="DD6" s="275" t="s">
        <v>2724</v>
      </c>
      <c r="DE6" s="275" t="s">
        <v>2725</v>
      </c>
      <c r="DF6" s="275" t="s">
        <v>955</v>
      </c>
      <c r="DG6" s="275" t="s">
        <v>2726</v>
      </c>
      <c r="DH6" s="275" t="s">
        <v>2727</v>
      </c>
      <c r="DI6" s="276" t="s">
        <v>2728</v>
      </c>
      <c r="DJ6" s="276" t="s">
        <v>2720</v>
      </c>
      <c r="DK6" s="276" t="s">
        <v>2720</v>
      </c>
      <c r="DL6" s="276" t="s">
        <v>2720</v>
      </c>
      <c r="DM6" s="276" t="s">
        <v>930</v>
      </c>
      <c r="DN6" s="276" t="s">
        <v>2720</v>
      </c>
      <c r="DO6" s="277"/>
      <c r="DP6" s="278" t="s">
        <v>2713</v>
      </c>
      <c r="DQ6" s="279" t="s">
        <v>2714</v>
      </c>
      <c r="DR6" s="279" t="s">
        <v>2715</v>
      </c>
      <c r="DS6" s="279" t="s">
        <v>2716</v>
      </c>
      <c r="DT6" s="279" t="s">
        <v>2717</v>
      </c>
      <c r="DU6" s="279" t="s">
        <v>2718</v>
      </c>
      <c r="DV6" s="279" t="s">
        <v>2719</v>
      </c>
      <c r="DW6" s="279" t="s">
        <v>2720</v>
      </c>
      <c r="DX6" s="279" t="s">
        <v>2720</v>
      </c>
      <c r="DY6" s="279" t="s">
        <v>2721</v>
      </c>
      <c r="DZ6" s="279" t="s">
        <v>2722</v>
      </c>
      <c r="EA6" s="279" t="s">
        <v>2723</v>
      </c>
      <c r="EB6" s="279" t="s">
        <v>2724</v>
      </c>
      <c r="EC6" s="279" t="s">
        <v>2725</v>
      </c>
      <c r="ED6" s="279" t="s">
        <v>955</v>
      </c>
      <c r="EE6" s="279" t="s">
        <v>2726</v>
      </c>
      <c r="EF6" s="279" t="s">
        <v>2727</v>
      </c>
      <c r="EG6" s="280" t="s">
        <v>2728</v>
      </c>
      <c r="EH6" s="280" t="s">
        <v>2720</v>
      </c>
      <c r="EI6" s="280" t="s">
        <v>2720</v>
      </c>
      <c r="EJ6" s="280" t="s">
        <v>2720</v>
      </c>
      <c r="EK6" s="280" t="s">
        <v>930</v>
      </c>
      <c r="EL6" s="280" t="s">
        <v>2720</v>
      </c>
      <c r="EM6" s="281"/>
      <c r="EN6" s="282" t="s">
        <v>2713</v>
      </c>
      <c r="EO6" s="283" t="s">
        <v>2714</v>
      </c>
      <c r="EP6" s="283" t="s">
        <v>2715</v>
      </c>
      <c r="EQ6" s="283" t="s">
        <v>2716</v>
      </c>
      <c r="ER6" s="283" t="s">
        <v>2717</v>
      </c>
      <c r="ES6" s="283" t="s">
        <v>2718</v>
      </c>
      <c r="ET6" s="283" t="s">
        <v>2719</v>
      </c>
      <c r="EU6" s="283" t="s">
        <v>2720</v>
      </c>
      <c r="EV6" s="283" t="s">
        <v>2720</v>
      </c>
      <c r="EW6" s="283" t="s">
        <v>2721</v>
      </c>
      <c r="EX6" s="283" t="s">
        <v>2722</v>
      </c>
      <c r="EY6" s="283" t="s">
        <v>2723</v>
      </c>
      <c r="EZ6" s="283" t="s">
        <v>2724</v>
      </c>
      <c r="FA6" s="283" t="s">
        <v>2725</v>
      </c>
      <c r="FB6" s="283" t="s">
        <v>955</v>
      </c>
      <c r="FC6" s="283" t="s">
        <v>2726</v>
      </c>
      <c r="FD6" s="283" t="s">
        <v>2727</v>
      </c>
      <c r="FE6" s="284" t="s">
        <v>2728</v>
      </c>
      <c r="FF6" s="284" t="s">
        <v>2720</v>
      </c>
      <c r="FG6" s="284" t="s">
        <v>2720</v>
      </c>
      <c r="FH6" s="284" t="s">
        <v>2720</v>
      </c>
      <c r="FI6" s="284" t="s">
        <v>930</v>
      </c>
      <c r="FJ6" s="284" t="s">
        <v>2720</v>
      </c>
      <c r="FK6" s="285"/>
    </row>
    <row r="7" spans="1:169" ht="16.5" customHeight="1" thickBot="1">
      <c r="A7" s="670"/>
      <c r="B7" s="627" t="s">
        <v>1496</v>
      </c>
      <c r="C7" s="628"/>
      <c r="D7" s="628"/>
      <c r="E7" s="628"/>
      <c r="F7" s="628"/>
      <c r="G7" s="629"/>
      <c r="H7" s="630">
        <v>3</v>
      </c>
      <c r="I7" s="631"/>
      <c r="J7" s="630">
        <v>3</v>
      </c>
      <c r="K7" s="631"/>
      <c r="L7" s="630">
        <v>2</v>
      </c>
      <c r="M7" s="631"/>
      <c r="N7" s="630">
        <v>2</v>
      </c>
      <c r="O7" s="631"/>
      <c r="P7" s="630">
        <v>3</v>
      </c>
      <c r="Q7" s="631"/>
      <c r="R7" s="630">
        <v>5</v>
      </c>
      <c r="S7" s="631"/>
      <c r="T7" s="630">
        <v>2</v>
      </c>
      <c r="U7" s="631"/>
      <c r="V7" s="630" t="s">
        <v>2720</v>
      </c>
      <c r="W7" s="631"/>
      <c r="X7" s="630" t="s">
        <v>2720</v>
      </c>
      <c r="Y7" s="631"/>
      <c r="Z7" s="630">
        <v>2</v>
      </c>
      <c r="AA7" s="631"/>
      <c r="AB7" s="630">
        <v>3</v>
      </c>
      <c r="AC7" s="631"/>
      <c r="AD7" s="630">
        <v>2</v>
      </c>
      <c r="AE7" s="631"/>
      <c r="AF7" s="630">
        <v>2</v>
      </c>
      <c r="AG7" s="631"/>
      <c r="AH7" s="630">
        <v>2</v>
      </c>
      <c r="AI7" s="631"/>
      <c r="AJ7" s="632">
        <v>2</v>
      </c>
      <c r="AK7" s="633"/>
      <c r="AL7" s="630">
        <v>2</v>
      </c>
      <c r="AM7" s="631"/>
      <c r="AN7" s="630">
        <v>2</v>
      </c>
      <c r="AO7" s="631"/>
      <c r="AP7" s="630">
        <v>2</v>
      </c>
      <c r="AQ7" s="631"/>
      <c r="AR7" s="630" t="s">
        <v>2720</v>
      </c>
      <c r="AS7" s="631"/>
      <c r="AT7" s="630" t="s">
        <v>2720</v>
      </c>
      <c r="AU7" s="631"/>
      <c r="AV7" s="630" t="s">
        <v>2720</v>
      </c>
      <c r="AW7" s="631"/>
      <c r="AX7" s="630">
        <v>2</v>
      </c>
      <c r="AY7" s="631"/>
      <c r="AZ7" s="630" t="s">
        <v>2720</v>
      </c>
      <c r="BA7" s="631"/>
      <c r="BB7" s="658">
        <v>41</v>
      </c>
      <c r="BC7" s="659"/>
      <c r="BD7" s="644"/>
      <c r="BE7" s="648"/>
      <c r="BF7" s="649"/>
      <c r="BG7" s="635"/>
      <c r="BH7" s="637"/>
      <c r="BI7" s="637"/>
      <c r="BJ7" s="624"/>
      <c r="BK7" s="624"/>
      <c r="BL7" s="624"/>
      <c r="BM7" s="624"/>
      <c r="BN7" s="624"/>
      <c r="BO7" s="624"/>
      <c r="BP7" s="624"/>
      <c r="BQ7" s="624"/>
      <c r="BR7" s="624"/>
      <c r="BS7" s="626"/>
      <c r="BT7" s="287">
        <v>3</v>
      </c>
      <c r="BU7" s="288">
        <v>3</v>
      </c>
      <c r="BV7" s="288">
        <v>2</v>
      </c>
      <c r="BW7" s="288">
        <v>2</v>
      </c>
      <c r="BX7" s="288">
        <v>3</v>
      </c>
      <c r="BY7" s="288">
        <v>5</v>
      </c>
      <c r="BZ7" s="288">
        <v>2</v>
      </c>
      <c r="CA7" s="288" t="s">
        <v>2720</v>
      </c>
      <c r="CB7" s="288" t="s">
        <v>2720</v>
      </c>
      <c r="CC7" s="288">
        <v>2</v>
      </c>
      <c r="CD7" s="288">
        <v>3</v>
      </c>
      <c r="CE7" s="288">
        <v>2</v>
      </c>
      <c r="CF7" s="288">
        <v>2</v>
      </c>
      <c r="CG7" s="288">
        <v>2</v>
      </c>
      <c r="CH7" s="288">
        <v>2</v>
      </c>
      <c r="CI7" s="288">
        <v>2</v>
      </c>
      <c r="CJ7" s="288">
        <v>2</v>
      </c>
      <c r="CK7" s="289">
        <v>2</v>
      </c>
      <c r="CL7" s="289" t="s">
        <v>2720</v>
      </c>
      <c r="CM7" s="289" t="s">
        <v>2720</v>
      </c>
      <c r="CN7" s="289" t="s">
        <v>2720</v>
      </c>
      <c r="CO7" s="289">
        <v>2</v>
      </c>
      <c r="CP7" s="289" t="s">
        <v>2720</v>
      </c>
      <c r="CQ7" s="290">
        <v>41</v>
      </c>
      <c r="CR7" s="287">
        <v>3</v>
      </c>
      <c r="CS7" s="288">
        <v>3</v>
      </c>
      <c r="CT7" s="288">
        <v>2</v>
      </c>
      <c r="CU7" s="288">
        <v>2</v>
      </c>
      <c r="CV7" s="288">
        <v>3</v>
      </c>
      <c r="CW7" s="288">
        <v>5</v>
      </c>
      <c r="CX7" s="288">
        <v>2</v>
      </c>
      <c r="CY7" s="288" t="s">
        <v>2720</v>
      </c>
      <c r="CZ7" s="288" t="s">
        <v>2720</v>
      </c>
      <c r="DA7" s="288">
        <v>2</v>
      </c>
      <c r="DB7" s="288">
        <v>3</v>
      </c>
      <c r="DC7" s="288">
        <v>2</v>
      </c>
      <c r="DD7" s="288">
        <v>2</v>
      </c>
      <c r="DE7" s="288">
        <v>2</v>
      </c>
      <c r="DF7" s="288">
        <v>2</v>
      </c>
      <c r="DG7" s="288">
        <v>2</v>
      </c>
      <c r="DH7" s="288">
        <v>2</v>
      </c>
      <c r="DI7" s="289">
        <v>2</v>
      </c>
      <c r="DJ7" s="289" t="s">
        <v>2720</v>
      </c>
      <c r="DK7" s="289" t="s">
        <v>2720</v>
      </c>
      <c r="DL7" s="289" t="s">
        <v>2720</v>
      </c>
      <c r="DM7" s="289">
        <v>2</v>
      </c>
      <c r="DN7" s="289" t="s">
        <v>2720</v>
      </c>
      <c r="DO7" s="290">
        <v>41</v>
      </c>
      <c r="DP7" s="291">
        <v>3</v>
      </c>
      <c r="DQ7" s="292">
        <v>3</v>
      </c>
      <c r="DR7" s="292">
        <v>2</v>
      </c>
      <c r="DS7" s="292">
        <v>2</v>
      </c>
      <c r="DT7" s="292">
        <v>3</v>
      </c>
      <c r="DU7" s="292">
        <v>5</v>
      </c>
      <c r="DV7" s="292">
        <v>2</v>
      </c>
      <c r="DW7" s="292" t="s">
        <v>2720</v>
      </c>
      <c r="DX7" s="292" t="s">
        <v>2720</v>
      </c>
      <c r="DY7" s="292">
        <v>2</v>
      </c>
      <c r="DZ7" s="292">
        <v>3</v>
      </c>
      <c r="EA7" s="292">
        <v>2</v>
      </c>
      <c r="EB7" s="292">
        <v>2</v>
      </c>
      <c r="EC7" s="292">
        <v>2</v>
      </c>
      <c r="ED7" s="292">
        <v>2</v>
      </c>
      <c r="EE7" s="292">
        <v>2</v>
      </c>
      <c r="EF7" s="292">
        <v>2</v>
      </c>
      <c r="EG7" s="293">
        <v>2</v>
      </c>
      <c r="EH7" s="293" t="s">
        <v>2720</v>
      </c>
      <c r="EI7" s="293" t="s">
        <v>2720</v>
      </c>
      <c r="EJ7" s="293" t="s">
        <v>2720</v>
      </c>
      <c r="EK7" s="293">
        <v>2</v>
      </c>
      <c r="EL7" s="293" t="s">
        <v>2720</v>
      </c>
      <c r="EM7" s="294">
        <v>41</v>
      </c>
      <c r="EN7" s="295">
        <v>3</v>
      </c>
      <c r="EO7" s="296">
        <v>3</v>
      </c>
      <c r="EP7" s="296">
        <v>2</v>
      </c>
      <c r="EQ7" s="296">
        <v>2</v>
      </c>
      <c r="ER7" s="296">
        <v>3</v>
      </c>
      <c r="ES7" s="296">
        <v>5</v>
      </c>
      <c r="ET7" s="296">
        <v>2</v>
      </c>
      <c r="EU7" s="296" t="s">
        <v>2720</v>
      </c>
      <c r="EV7" s="296" t="s">
        <v>2720</v>
      </c>
      <c r="EW7" s="296">
        <v>2</v>
      </c>
      <c r="EX7" s="296">
        <v>3</v>
      </c>
      <c r="EY7" s="296">
        <v>2</v>
      </c>
      <c r="EZ7" s="296">
        <v>2</v>
      </c>
      <c r="FA7" s="296">
        <v>2</v>
      </c>
      <c r="FB7" s="296">
        <v>2</v>
      </c>
      <c r="FC7" s="296">
        <v>2</v>
      </c>
      <c r="FD7" s="296">
        <v>2</v>
      </c>
      <c r="FE7" s="297">
        <v>2</v>
      </c>
      <c r="FF7" s="297" t="s">
        <v>2720</v>
      </c>
      <c r="FG7" s="297" t="s">
        <v>2720</v>
      </c>
      <c r="FH7" s="297" t="s">
        <v>2720</v>
      </c>
      <c r="FI7" s="297">
        <v>2</v>
      </c>
      <c r="FJ7" s="297" t="s">
        <v>2720</v>
      </c>
      <c r="FK7" s="298">
        <v>41</v>
      </c>
    </row>
    <row r="8" spans="1:169" ht="88.5" customHeight="1" thickBot="1">
      <c r="A8" s="670"/>
      <c r="B8" s="675" t="s">
        <v>1425</v>
      </c>
      <c r="C8" s="677" t="s">
        <v>1426</v>
      </c>
      <c r="D8" s="678"/>
      <c r="E8" s="681" t="s">
        <v>1490</v>
      </c>
      <c r="F8" s="683" t="s">
        <v>1491</v>
      </c>
      <c r="G8" s="684"/>
      <c r="H8" s="621" t="s">
        <v>2738</v>
      </c>
      <c r="I8" s="619" t="s">
        <v>2739</v>
      </c>
      <c r="J8" s="621" t="s">
        <v>2738</v>
      </c>
      <c r="K8" s="619" t="s">
        <v>2739</v>
      </c>
      <c r="L8" s="621" t="s">
        <v>2738</v>
      </c>
      <c r="M8" s="619" t="s">
        <v>2739</v>
      </c>
      <c r="N8" s="621" t="s">
        <v>2738</v>
      </c>
      <c r="O8" s="619" t="s">
        <v>2739</v>
      </c>
      <c r="P8" s="621" t="s">
        <v>2738</v>
      </c>
      <c r="Q8" s="619" t="s">
        <v>2739</v>
      </c>
      <c r="R8" s="621" t="s">
        <v>2738</v>
      </c>
      <c r="S8" s="619" t="s">
        <v>2739</v>
      </c>
      <c r="T8" s="621" t="s">
        <v>2738</v>
      </c>
      <c r="U8" s="619" t="s">
        <v>2739</v>
      </c>
      <c r="V8" s="621" t="s">
        <v>2738</v>
      </c>
      <c r="W8" s="619" t="s">
        <v>2739</v>
      </c>
      <c r="X8" s="621" t="s">
        <v>2738</v>
      </c>
      <c r="Y8" s="619" t="s">
        <v>2739</v>
      </c>
      <c r="Z8" s="621" t="s">
        <v>2738</v>
      </c>
      <c r="AA8" s="619" t="s">
        <v>2739</v>
      </c>
      <c r="AB8" s="621" t="s">
        <v>2738</v>
      </c>
      <c r="AC8" s="619" t="s">
        <v>2739</v>
      </c>
      <c r="AD8" s="621" t="s">
        <v>2738</v>
      </c>
      <c r="AE8" s="619" t="s">
        <v>2739</v>
      </c>
      <c r="AF8" s="621" t="s">
        <v>2738</v>
      </c>
      <c r="AG8" s="619" t="s">
        <v>2739</v>
      </c>
      <c r="AH8" s="621" t="s">
        <v>2738</v>
      </c>
      <c r="AI8" s="619" t="s">
        <v>2739</v>
      </c>
      <c r="AJ8" s="621" t="s">
        <v>2738</v>
      </c>
      <c r="AK8" s="619" t="s">
        <v>2739</v>
      </c>
      <c r="AL8" s="621" t="s">
        <v>2738</v>
      </c>
      <c r="AM8" s="619" t="s">
        <v>2739</v>
      </c>
      <c r="AN8" s="621" t="s">
        <v>2738</v>
      </c>
      <c r="AO8" s="619" t="s">
        <v>2739</v>
      </c>
      <c r="AP8" s="621" t="s">
        <v>2738</v>
      </c>
      <c r="AQ8" s="619" t="s">
        <v>2739</v>
      </c>
      <c r="AR8" s="621" t="s">
        <v>2738</v>
      </c>
      <c r="AS8" s="619" t="s">
        <v>2739</v>
      </c>
      <c r="AT8" s="657" t="s">
        <v>2738</v>
      </c>
      <c r="AU8" s="660" t="s">
        <v>2739</v>
      </c>
      <c r="AV8" s="657" t="s">
        <v>2738</v>
      </c>
      <c r="AW8" s="660" t="s">
        <v>2739</v>
      </c>
      <c r="AX8" s="657" t="s">
        <v>2738</v>
      </c>
      <c r="AY8" s="660" t="s">
        <v>2739</v>
      </c>
      <c r="AZ8" s="621" t="s">
        <v>2738</v>
      </c>
      <c r="BA8" s="619" t="s">
        <v>2739</v>
      </c>
      <c r="BB8" s="650" t="s">
        <v>2740</v>
      </c>
      <c r="BC8" s="652" t="s">
        <v>2741</v>
      </c>
      <c r="BD8" s="644"/>
      <c r="BE8" s="654" t="s">
        <v>2740</v>
      </c>
      <c r="BF8" s="656" t="s">
        <v>2741</v>
      </c>
      <c r="BG8" s="635"/>
      <c r="BH8" s="637"/>
      <c r="BI8" s="637"/>
      <c r="BJ8" s="624"/>
      <c r="BK8" s="624"/>
      <c r="BL8" s="624"/>
      <c r="BM8" s="624"/>
      <c r="BN8" s="624"/>
      <c r="BO8" s="624"/>
      <c r="BP8" s="624"/>
      <c r="BQ8" s="624"/>
      <c r="BR8" s="624"/>
      <c r="BS8" s="626"/>
      <c r="BT8" s="608" t="s">
        <v>2742</v>
      </c>
      <c r="BU8" s="609"/>
      <c r="BV8" s="609"/>
      <c r="BW8" s="609"/>
      <c r="BX8" s="609"/>
      <c r="BY8" s="609"/>
      <c r="BZ8" s="609"/>
      <c r="CA8" s="609"/>
      <c r="CB8" s="609"/>
      <c r="CC8" s="609"/>
      <c r="CD8" s="609"/>
      <c r="CE8" s="609"/>
      <c r="CF8" s="609"/>
      <c r="CG8" s="609"/>
      <c r="CH8" s="609"/>
      <c r="CI8" s="609"/>
      <c r="CJ8" s="609"/>
      <c r="CK8" s="609"/>
      <c r="CL8" s="609"/>
      <c r="CM8" s="609"/>
      <c r="CN8" s="609"/>
      <c r="CO8" s="609"/>
      <c r="CP8" s="609"/>
      <c r="CQ8" s="610"/>
      <c r="CR8" s="608" t="s">
        <v>2743</v>
      </c>
      <c r="CS8" s="609"/>
      <c r="CT8" s="609"/>
      <c r="CU8" s="609"/>
      <c r="CV8" s="609"/>
      <c r="CW8" s="609"/>
      <c r="CX8" s="609"/>
      <c r="CY8" s="609"/>
      <c r="CZ8" s="609"/>
      <c r="DA8" s="609"/>
      <c r="DB8" s="609"/>
      <c r="DC8" s="609"/>
      <c r="DD8" s="609"/>
      <c r="DE8" s="609"/>
      <c r="DF8" s="609"/>
      <c r="DG8" s="609"/>
      <c r="DH8" s="609"/>
      <c r="DI8" s="609"/>
      <c r="DJ8" s="609"/>
      <c r="DK8" s="609"/>
      <c r="DL8" s="609"/>
      <c r="DM8" s="609"/>
      <c r="DN8" s="609"/>
      <c r="DO8" s="610"/>
      <c r="DP8" s="611" t="s">
        <v>2744</v>
      </c>
      <c r="DQ8" s="612"/>
      <c r="DR8" s="612"/>
      <c r="DS8" s="612"/>
      <c r="DT8" s="612"/>
      <c r="DU8" s="612"/>
      <c r="DV8" s="612"/>
      <c r="DW8" s="612"/>
      <c r="DX8" s="612"/>
      <c r="DY8" s="612"/>
      <c r="DZ8" s="612"/>
      <c r="EA8" s="612"/>
      <c r="EB8" s="612"/>
      <c r="EC8" s="612"/>
      <c r="ED8" s="612"/>
      <c r="EE8" s="612"/>
      <c r="EF8" s="612"/>
      <c r="EG8" s="612"/>
      <c r="EH8" s="612"/>
      <c r="EI8" s="612"/>
      <c r="EJ8" s="612"/>
      <c r="EK8" s="612"/>
      <c r="EL8" s="612"/>
      <c r="EM8" s="613"/>
      <c r="EN8" s="614" t="s">
        <v>2745</v>
      </c>
      <c r="EO8" s="615"/>
      <c r="EP8" s="615"/>
      <c r="EQ8" s="615"/>
      <c r="ER8" s="615"/>
      <c r="ES8" s="615"/>
      <c r="ET8" s="615"/>
      <c r="EU8" s="615"/>
      <c r="EV8" s="615"/>
      <c r="EW8" s="615"/>
      <c r="EX8" s="615"/>
      <c r="EY8" s="615"/>
      <c r="EZ8" s="615"/>
      <c r="FA8" s="615"/>
      <c r="FB8" s="615"/>
      <c r="FC8" s="615"/>
      <c r="FD8" s="615"/>
      <c r="FE8" s="615"/>
      <c r="FF8" s="615"/>
      <c r="FG8" s="615"/>
      <c r="FH8" s="615"/>
      <c r="FI8" s="615"/>
      <c r="FJ8" s="615"/>
      <c r="FK8" s="616"/>
    </row>
    <row r="9" spans="1:169" ht="16.5" thickBot="1">
      <c r="A9" s="671"/>
      <c r="B9" s="676"/>
      <c r="C9" s="679"/>
      <c r="D9" s="680"/>
      <c r="E9" s="682"/>
      <c r="F9" s="273" t="s">
        <v>1492</v>
      </c>
      <c r="G9" s="299" t="s">
        <v>1493</v>
      </c>
      <c r="H9" s="622"/>
      <c r="I9" s="620"/>
      <c r="J9" s="622"/>
      <c r="K9" s="620"/>
      <c r="L9" s="622"/>
      <c r="M9" s="620"/>
      <c r="N9" s="622"/>
      <c r="O9" s="620"/>
      <c r="P9" s="622"/>
      <c r="Q9" s="620"/>
      <c r="R9" s="622"/>
      <c r="S9" s="620"/>
      <c r="T9" s="622"/>
      <c r="U9" s="620"/>
      <c r="V9" s="622"/>
      <c r="W9" s="620"/>
      <c r="X9" s="622"/>
      <c r="Y9" s="620"/>
      <c r="Z9" s="622"/>
      <c r="AA9" s="620"/>
      <c r="AB9" s="622"/>
      <c r="AC9" s="620"/>
      <c r="AD9" s="622"/>
      <c r="AE9" s="620"/>
      <c r="AF9" s="622"/>
      <c r="AG9" s="620"/>
      <c r="AH9" s="622"/>
      <c r="AI9" s="620"/>
      <c r="AJ9" s="622"/>
      <c r="AK9" s="620"/>
      <c r="AL9" s="622"/>
      <c r="AM9" s="620"/>
      <c r="AN9" s="622"/>
      <c r="AO9" s="620"/>
      <c r="AP9" s="622"/>
      <c r="AQ9" s="620"/>
      <c r="AR9" s="622"/>
      <c r="AS9" s="620"/>
      <c r="AT9" s="657"/>
      <c r="AU9" s="660"/>
      <c r="AV9" s="657"/>
      <c r="AW9" s="660"/>
      <c r="AX9" s="657"/>
      <c r="AY9" s="660"/>
      <c r="AZ9" s="622"/>
      <c r="BA9" s="620"/>
      <c r="BB9" s="651"/>
      <c r="BC9" s="653"/>
      <c r="BD9" s="645"/>
      <c r="BE9" s="655"/>
      <c r="BF9" s="651"/>
      <c r="BG9" s="635"/>
      <c r="BH9" s="637"/>
      <c r="BI9" s="638"/>
      <c r="BJ9" s="624"/>
      <c r="BK9" s="624"/>
      <c r="BL9" s="624"/>
      <c r="BM9" s="624"/>
      <c r="BN9" s="624"/>
      <c r="BO9" s="624"/>
      <c r="BP9" s="624"/>
      <c r="BQ9" s="624"/>
      <c r="BR9" s="624"/>
      <c r="BS9" s="626"/>
      <c r="BT9" s="300"/>
      <c r="BU9" s="301"/>
      <c r="BV9" s="301"/>
      <c r="BW9" s="301"/>
      <c r="BX9" s="301"/>
      <c r="BY9" s="301"/>
      <c r="BZ9" s="301"/>
      <c r="CA9" s="301"/>
      <c r="CB9" s="301"/>
      <c r="CC9" s="301"/>
      <c r="CD9" s="301"/>
      <c r="CE9" s="301"/>
      <c r="CF9" s="301"/>
      <c r="CG9" s="301"/>
      <c r="CH9" s="301"/>
      <c r="CI9" s="301"/>
      <c r="CJ9" s="301"/>
      <c r="CK9" s="302"/>
      <c r="CL9" s="302"/>
      <c r="CM9" s="303"/>
      <c r="CN9" s="302"/>
      <c r="CO9" s="302"/>
      <c r="CP9" s="302"/>
      <c r="CQ9" s="304"/>
      <c r="CR9" s="300"/>
      <c r="CS9" s="301"/>
      <c r="CT9" s="301"/>
      <c r="CU9" s="301"/>
      <c r="CV9" s="301"/>
      <c r="CW9" s="301"/>
      <c r="CX9" s="301"/>
      <c r="CY9" s="301"/>
      <c r="CZ9" s="301"/>
      <c r="DA9" s="301"/>
      <c r="DB9" s="301"/>
      <c r="DC9" s="301"/>
      <c r="DD9" s="301"/>
      <c r="DE9" s="301"/>
      <c r="DF9" s="301"/>
      <c r="DG9" s="301"/>
      <c r="DH9" s="301"/>
      <c r="DI9" s="302"/>
      <c r="DJ9" s="302"/>
      <c r="DK9" s="303"/>
      <c r="DL9" s="302"/>
      <c r="DM9" s="302"/>
      <c r="DN9" s="302"/>
      <c r="DO9" s="304"/>
      <c r="DP9" s="300"/>
      <c r="DQ9" s="301"/>
      <c r="DR9" s="301"/>
      <c r="DS9" s="301"/>
      <c r="DT9" s="301"/>
      <c r="DU9" s="301"/>
      <c r="DV9" s="301"/>
      <c r="DW9" s="301"/>
      <c r="DX9" s="301"/>
      <c r="DY9" s="301"/>
      <c r="DZ9" s="301"/>
      <c r="EA9" s="301"/>
      <c r="EB9" s="301"/>
      <c r="EC9" s="301"/>
      <c r="ED9" s="301"/>
      <c r="EE9" s="301"/>
      <c r="EF9" s="301"/>
      <c r="EG9" s="302"/>
      <c r="EH9" s="302"/>
      <c r="EI9" s="305"/>
      <c r="EJ9" s="302"/>
      <c r="EK9" s="302"/>
      <c r="EL9" s="302"/>
      <c r="EM9" s="306"/>
      <c r="EN9" s="300"/>
      <c r="EO9" s="301"/>
      <c r="EP9" s="301"/>
      <c r="EQ9" s="301"/>
      <c r="ER9" s="301"/>
      <c r="ES9" s="301"/>
      <c r="ET9" s="301"/>
      <c r="EU9" s="301"/>
      <c r="EV9" s="301"/>
      <c r="EW9" s="301"/>
      <c r="EX9" s="301"/>
      <c r="EY9" s="301"/>
      <c r="EZ9" s="301"/>
      <c r="FA9" s="301"/>
      <c r="FB9" s="301"/>
      <c r="FC9" s="301"/>
      <c r="FD9" s="301"/>
      <c r="FE9" s="302"/>
      <c r="FF9" s="302"/>
      <c r="FG9" s="305"/>
      <c r="FH9" s="302"/>
      <c r="FI9" s="302"/>
      <c r="FJ9" s="302"/>
      <c r="FK9" s="307"/>
    </row>
    <row r="10" spans="1:169" s="319" customFormat="1" ht="16.5" thickBot="1">
      <c r="A10" s="308" t="s">
        <v>1594</v>
      </c>
      <c r="B10" s="309" t="s">
        <v>1595</v>
      </c>
      <c r="C10" s="606" t="s">
        <v>1596</v>
      </c>
      <c r="D10" s="607"/>
      <c r="E10" s="310" t="s">
        <v>1597</v>
      </c>
      <c r="F10" s="257" t="s">
        <v>1598</v>
      </c>
      <c r="G10" s="225" t="s">
        <v>1599</v>
      </c>
      <c r="H10" s="606" t="s">
        <v>1600</v>
      </c>
      <c r="I10" s="607"/>
      <c r="J10" s="606" t="s">
        <v>1601</v>
      </c>
      <c r="K10" s="607"/>
      <c r="L10" s="606" t="s">
        <v>1602</v>
      </c>
      <c r="M10" s="607"/>
      <c r="N10" s="606" t="s">
        <v>1603</v>
      </c>
      <c r="O10" s="607"/>
      <c r="P10" s="606" t="s">
        <v>1604</v>
      </c>
      <c r="Q10" s="607"/>
      <c r="R10" s="606" t="s">
        <v>1605</v>
      </c>
      <c r="S10" s="607"/>
      <c r="T10" s="606" t="s">
        <v>1606</v>
      </c>
      <c r="U10" s="607"/>
      <c r="V10" s="606" t="s">
        <v>1607</v>
      </c>
      <c r="W10" s="607"/>
      <c r="X10" s="606" t="s">
        <v>1608</v>
      </c>
      <c r="Y10" s="607"/>
      <c r="Z10" s="606" t="s">
        <v>1609</v>
      </c>
      <c r="AA10" s="607"/>
      <c r="AB10" s="606" t="s">
        <v>1610</v>
      </c>
      <c r="AC10" s="607"/>
      <c r="AD10" s="606" t="s">
        <v>1611</v>
      </c>
      <c r="AE10" s="607"/>
      <c r="AF10" s="606" t="s">
        <v>1612</v>
      </c>
      <c r="AG10" s="607"/>
      <c r="AH10" s="606" t="s">
        <v>1613</v>
      </c>
      <c r="AI10" s="607"/>
      <c r="AJ10" s="617" t="s">
        <v>1613</v>
      </c>
      <c r="AK10" s="618"/>
      <c r="AL10" s="606" t="s">
        <v>1614</v>
      </c>
      <c r="AM10" s="607"/>
      <c r="AN10" s="606" t="s">
        <v>1615</v>
      </c>
      <c r="AO10" s="607"/>
      <c r="AP10" s="606" t="s">
        <v>1312</v>
      </c>
      <c r="AQ10" s="607"/>
      <c r="AR10" s="606" t="s">
        <v>404</v>
      </c>
      <c r="AS10" s="607"/>
      <c r="AT10" s="606" t="s">
        <v>734</v>
      </c>
      <c r="AU10" s="607"/>
      <c r="AV10" s="606" t="s">
        <v>734</v>
      </c>
      <c r="AW10" s="607"/>
      <c r="AX10" s="606" t="s">
        <v>735</v>
      </c>
      <c r="AY10" s="607"/>
      <c r="AZ10" s="606" t="s">
        <v>736</v>
      </c>
      <c r="BA10" s="607"/>
      <c r="BB10" s="310" t="s">
        <v>737</v>
      </c>
      <c r="BC10" s="255" t="s">
        <v>740</v>
      </c>
      <c r="BD10" s="310" t="s">
        <v>741</v>
      </c>
      <c r="BE10" s="256" t="s">
        <v>92</v>
      </c>
      <c r="BF10" s="310" t="s">
        <v>93</v>
      </c>
      <c r="BG10" s="255" t="s">
        <v>94</v>
      </c>
      <c r="BH10" s="310" t="s">
        <v>95</v>
      </c>
      <c r="BI10" s="255" t="s">
        <v>2746</v>
      </c>
      <c r="BJ10" s="311" t="s">
        <v>2747</v>
      </c>
      <c r="BK10" s="311" t="s">
        <v>2748</v>
      </c>
      <c r="BL10" s="311" t="s">
        <v>2749</v>
      </c>
      <c r="BM10" s="311" t="s">
        <v>2750</v>
      </c>
      <c r="BN10" s="311" t="s">
        <v>2751</v>
      </c>
      <c r="BO10" s="311" t="s">
        <v>2752</v>
      </c>
      <c r="BP10" s="311" t="s">
        <v>2753</v>
      </c>
      <c r="BQ10" s="311" t="s">
        <v>2754</v>
      </c>
      <c r="BR10" s="311" t="s">
        <v>2755</v>
      </c>
      <c r="BS10" s="310" t="s">
        <v>2756</v>
      </c>
      <c r="BT10" s="312"/>
      <c r="BU10" s="313"/>
      <c r="BV10" s="313"/>
      <c r="BW10" s="313"/>
      <c r="BX10" s="313"/>
      <c r="BY10" s="313"/>
      <c r="BZ10" s="313"/>
      <c r="CA10" s="313"/>
      <c r="CB10" s="313"/>
      <c r="CC10" s="313"/>
      <c r="CD10" s="313"/>
      <c r="CE10" s="313"/>
      <c r="CF10" s="313"/>
      <c r="CG10" s="313"/>
      <c r="CH10" s="313"/>
      <c r="CI10" s="313"/>
      <c r="CJ10" s="313"/>
      <c r="CK10" s="302"/>
      <c r="CL10" s="302"/>
      <c r="CM10" s="303"/>
      <c r="CN10" s="302"/>
      <c r="CO10" s="302"/>
      <c r="CP10" s="302"/>
      <c r="CQ10" s="304"/>
      <c r="CR10" s="314"/>
      <c r="CS10" s="315"/>
      <c r="CT10" s="315"/>
      <c r="CU10" s="315"/>
      <c r="CV10" s="315"/>
      <c r="CW10" s="315"/>
      <c r="CX10" s="315"/>
      <c r="CY10" s="315"/>
      <c r="CZ10" s="315"/>
      <c r="DA10" s="315"/>
      <c r="DB10" s="315"/>
      <c r="DC10" s="315"/>
      <c r="DD10" s="315"/>
      <c r="DE10" s="315"/>
      <c r="DF10" s="315"/>
      <c r="DG10" s="315"/>
      <c r="DH10" s="315"/>
      <c r="DI10" s="316"/>
      <c r="DJ10" s="316"/>
      <c r="DK10" s="317"/>
      <c r="DL10" s="316"/>
      <c r="DM10" s="316"/>
      <c r="DN10" s="316"/>
      <c r="DO10" s="304"/>
      <c r="DP10" s="312"/>
      <c r="DQ10" s="313"/>
      <c r="DR10" s="313"/>
      <c r="DS10" s="313"/>
      <c r="DT10" s="313"/>
      <c r="DU10" s="313"/>
      <c r="DV10" s="313"/>
      <c r="DW10" s="313"/>
      <c r="DX10" s="313"/>
      <c r="DY10" s="313"/>
      <c r="DZ10" s="313"/>
      <c r="EA10" s="313"/>
      <c r="EB10" s="313"/>
      <c r="EC10" s="313"/>
      <c r="ED10" s="313"/>
      <c r="EE10" s="313"/>
      <c r="EF10" s="313"/>
      <c r="EG10" s="302"/>
      <c r="EH10" s="302"/>
      <c r="EI10" s="305"/>
      <c r="EJ10" s="302"/>
      <c r="EK10" s="302"/>
      <c r="EL10" s="302"/>
      <c r="EM10" s="306"/>
      <c r="EN10" s="314"/>
      <c r="EO10" s="315"/>
      <c r="EP10" s="315"/>
      <c r="EQ10" s="315"/>
      <c r="ER10" s="315"/>
      <c r="ES10" s="315"/>
      <c r="ET10" s="315"/>
      <c r="EU10" s="315"/>
      <c r="EV10" s="315"/>
      <c r="EW10" s="315"/>
      <c r="EX10" s="315"/>
      <c r="EY10" s="315"/>
      <c r="EZ10" s="315"/>
      <c r="FA10" s="315"/>
      <c r="FB10" s="315"/>
      <c r="FC10" s="315"/>
      <c r="FD10" s="315"/>
      <c r="FE10" s="316"/>
      <c r="FF10" s="316"/>
      <c r="FG10" s="318"/>
      <c r="FH10" s="316"/>
      <c r="FI10" s="316"/>
      <c r="FJ10" s="316"/>
      <c r="FK10" s="307"/>
    </row>
    <row r="11" spans="1:169" s="356" customFormat="1" ht="27.95" customHeight="1">
      <c r="A11" s="320">
        <v>1</v>
      </c>
      <c r="B11" s="321" t="s">
        <v>2013</v>
      </c>
      <c r="C11" s="322" t="s">
        <v>2014</v>
      </c>
      <c r="D11" s="323" t="s">
        <v>1541</v>
      </c>
      <c r="E11" s="324"/>
      <c r="F11" s="325">
        <v>2</v>
      </c>
      <c r="G11" s="326">
        <v>2</v>
      </c>
      <c r="H11" s="327">
        <v>5.2</v>
      </c>
      <c r="I11" s="328" t="s">
        <v>2720</v>
      </c>
      <c r="J11" s="327">
        <v>9.3000000000000007</v>
      </c>
      <c r="K11" s="328" t="s">
        <v>2720</v>
      </c>
      <c r="L11" s="327">
        <v>7.2</v>
      </c>
      <c r="M11" s="328" t="s">
        <v>2720</v>
      </c>
      <c r="N11" s="327">
        <v>5.8</v>
      </c>
      <c r="O11" s="328" t="s">
        <v>2720</v>
      </c>
      <c r="P11" s="327">
        <v>6.3</v>
      </c>
      <c r="Q11" s="328" t="s">
        <v>2720</v>
      </c>
      <c r="R11" s="327">
        <v>7.2</v>
      </c>
      <c r="S11" s="328" t="s">
        <v>2720</v>
      </c>
      <c r="T11" s="327">
        <v>8.3000000000000007</v>
      </c>
      <c r="U11" s="328" t="s">
        <v>2720</v>
      </c>
      <c r="V11" s="327" t="s">
        <v>2720</v>
      </c>
      <c r="W11" s="328" t="s">
        <v>2720</v>
      </c>
      <c r="X11" s="329" t="s">
        <v>2720</v>
      </c>
      <c r="Y11" s="330"/>
      <c r="Z11" s="331">
        <v>8.1</v>
      </c>
      <c r="AA11" s="332" t="s">
        <v>2720</v>
      </c>
      <c r="AB11" s="331">
        <v>5.5</v>
      </c>
      <c r="AC11" s="332" t="s">
        <v>2720</v>
      </c>
      <c r="AD11" s="331" t="s">
        <v>2720</v>
      </c>
      <c r="AE11" s="332" t="s">
        <v>2720</v>
      </c>
      <c r="AF11" s="331">
        <v>9.8000000000000007</v>
      </c>
      <c r="AG11" s="332" t="s">
        <v>2720</v>
      </c>
      <c r="AH11" s="331">
        <v>9.1</v>
      </c>
      <c r="AI11" s="332" t="s">
        <v>2720</v>
      </c>
      <c r="AJ11" s="331">
        <v>8</v>
      </c>
      <c r="AK11" s="332" t="s">
        <v>2720</v>
      </c>
      <c r="AL11" s="331">
        <v>8.1</v>
      </c>
      <c r="AM11" s="333" t="s">
        <v>2720</v>
      </c>
      <c r="AN11" s="331">
        <v>6</v>
      </c>
      <c r="AO11" s="332" t="s">
        <v>2720</v>
      </c>
      <c r="AP11" s="331">
        <v>8</v>
      </c>
      <c r="AQ11" s="333" t="s">
        <v>2720</v>
      </c>
      <c r="AR11" s="331" t="s">
        <v>2720</v>
      </c>
      <c r="AS11" s="333" t="s">
        <v>2720</v>
      </c>
      <c r="AT11" s="331" t="s">
        <v>2720</v>
      </c>
      <c r="AU11" s="333" t="s">
        <v>2720</v>
      </c>
      <c r="AV11" s="331" t="s">
        <v>2720</v>
      </c>
      <c r="AW11" s="333" t="s">
        <v>2720</v>
      </c>
      <c r="AX11" s="331">
        <v>7</v>
      </c>
      <c r="AY11" s="330"/>
      <c r="AZ11" s="331" t="s">
        <v>2720</v>
      </c>
      <c r="BA11" s="330"/>
      <c r="BB11" s="334">
        <v>7.33</v>
      </c>
      <c r="BC11" s="335">
        <v>7.33</v>
      </c>
      <c r="BD11" s="336">
        <v>71.5</v>
      </c>
      <c r="BE11" s="337" t="s">
        <v>2757</v>
      </c>
      <c r="BF11" s="336" t="s">
        <v>2757</v>
      </c>
      <c r="BG11" s="338"/>
      <c r="BH11" s="339" t="s">
        <v>2720</v>
      </c>
      <c r="BI11" s="340">
        <v>39</v>
      </c>
      <c r="BJ11" s="341">
        <v>39</v>
      </c>
      <c r="BK11" s="341">
        <v>0</v>
      </c>
      <c r="BL11" s="341">
        <v>39</v>
      </c>
      <c r="BM11" s="342">
        <v>0</v>
      </c>
      <c r="BN11" s="343">
        <v>7.33</v>
      </c>
      <c r="BO11" s="344" t="s">
        <v>2758</v>
      </c>
      <c r="BP11" s="343">
        <v>7.33</v>
      </c>
      <c r="BQ11" s="344" t="s">
        <v>2758</v>
      </c>
      <c r="BR11" s="345" t="s">
        <v>2759</v>
      </c>
      <c r="BS11" s="346"/>
      <c r="BT11" s="347">
        <v>5.2</v>
      </c>
      <c r="BU11" s="348">
        <v>9.3000000000000007</v>
      </c>
      <c r="BV11" s="348">
        <v>7.2</v>
      </c>
      <c r="BW11" s="348">
        <v>5.8</v>
      </c>
      <c r="BX11" s="349">
        <v>6.3</v>
      </c>
      <c r="BY11" s="349">
        <v>7.2</v>
      </c>
      <c r="BZ11" s="348">
        <v>8.3000000000000007</v>
      </c>
      <c r="CA11" s="348" t="s">
        <v>2720</v>
      </c>
      <c r="CB11" s="348" t="s">
        <v>2720</v>
      </c>
      <c r="CC11" s="348">
        <v>8.1</v>
      </c>
      <c r="CD11" s="348">
        <v>5.5</v>
      </c>
      <c r="CE11" s="348" t="s">
        <v>2720</v>
      </c>
      <c r="CF11" s="348">
        <v>9.8000000000000007</v>
      </c>
      <c r="CG11" s="348">
        <v>9.1</v>
      </c>
      <c r="CH11" s="348">
        <v>8</v>
      </c>
      <c r="CI11" s="348">
        <v>8.1</v>
      </c>
      <c r="CJ11" s="348">
        <v>6</v>
      </c>
      <c r="CK11" s="348">
        <v>8</v>
      </c>
      <c r="CL11" s="348" t="s">
        <v>2720</v>
      </c>
      <c r="CM11" s="349" t="s">
        <v>2720</v>
      </c>
      <c r="CN11" s="348" t="s">
        <v>2720</v>
      </c>
      <c r="CO11" s="348">
        <v>7</v>
      </c>
      <c r="CP11" s="348" t="s">
        <v>2720</v>
      </c>
      <c r="CQ11" s="350">
        <v>7.33</v>
      </c>
      <c r="CR11" s="348">
        <v>5.2</v>
      </c>
      <c r="CS11" s="348">
        <v>9.3000000000000007</v>
      </c>
      <c r="CT11" s="348">
        <v>7.2</v>
      </c>
      <c r="CU11" s="348">
        <v>5.8</v>
      </c>
      <c r="CV11" s="348">
        <v>6.3</v>
      </c>
      <c r="CW11" s="348">
        <v>7.2</v>
      </c>
      <c r="CX11" s="348">
        <v>8.3000000000000007</v>
      </c>
      <c r="CY11" s="348" t="s">
        <v>2720</v>
      </c>
      <c r="CZ11" s="348" t="s">
        <v>2720</v>
      </c>
      <c r="DA11" s="348">
        <v>8.1</v>
      </c>
      <c r="DB11" s="348">
        <v>5.5</v>
      </c>
      <c r="DC11" s="348" t="s">
        <v>2720</v>
      </c>
      <c r="DD11" s="348">
        <v>9.8000000000000007</v>
      </c>
      <c r="DE11" s="348">
        <v>9.1</v>
      </c>
      <c r="DF11" s="348">
        <v>8</v>
      </c>
      <c r="DG11" s="348">
        <v>8.1</v>
      </c>
      <c r="DH11" s="348">
        <v>6</v>
      </c>
      <c r="DI11" s="348">
        <v>8</v>
      </c>
      <c r="DJ11" s="348" t="s">
        <v>2720</v>
      </c>
      <c r="DK11" s="348" t="s">
        <v>2720</v>
      </c>
      <c r="DL11" s="348" t="s">
        <v>2720</v>
      </c>
      <c r="DM11" s="348">
        <v>7</v>
      </c>
      <c r="DN11" s="348" t="s">
        <v>2720</v>
      </c>
      <c r="DO11" s="351">
        <v>7.33</v>
      </c>
      <c r="DP11" s="352">
        <v>5.2</v>
      </c>
      <c r="DQ11" s="353">
        <v>9.3000000000000007</v>
      </c>
      <c r="DR11" s="353">
        <v>7.2</v>
      </c>
      <c r="DS11" s="353">
        <v>5.8</v>
      </c>
      <c r="DT11" s="353">
        <v>6.3</v>
      </c>
      <c r="DU11" s="353">
        <v>7.2</v>
      </c>
      <c r="DV11" s="353">
        <v>8.3000000000000007</v>
      </c>
      <c r="DW11" s="353" t="s">
        <v>2720</v>
      </c>
      <c r="DX11" s="353" t="s">
        <v>2720</v>
      </c>
      <c r="DY11" s="353">
        <v>8.1</v>
      </c>
      <c r="DZ11" s="353">
        <v>5.5</v>
      </c>
      <c r="EA11" s="353" t="s">
        <v>2720</v>
      </c>
      <c r="EB11" s="353">
        <v>9.8000000000000007</v>
      </c>
      <c r="EC11" s="353">
        <v>9.1</v>
      </c>
      <c r="ED11" s="353">
        <v>8</v>
      </c>
      <c r="EE11" s="353">
        <v>8.1</v>
      </c>
      <c r="EF11" s="353">
        <v>6</v>
      </c>
      <c r="EG11" s="353">
        <v>8</v>
      </c>
      <c r="EH11" s="353" t="s">
        <v>2720</v>
      </c>
      <c r="EI11" s="353" t="s">
        <v>2720</v>
      </c>
      <c r="EJ11" s="353" t="s">
        <v>2720</v>
      </c>
      <c r="EK11" s="353">
        <v>7</v>
      </c>
      <c r="EL11" s="353" t="s">
        <v>2720</v>
      </c>
      <c r="EM11" s="354">
        <v>7.33</v>
      </c>
      <c r="EN11" s="353">
        <v>5.2</v>
      </c>
      <c r="EO11" s="353">
        <v>9.3000000000000007</v>
      </c>
      <c r="EP11" s="353">
        <v>7.2</v>
      </c>
      <c r="EQ11" s="353">
        <v>5.8</v>
      </c>
      <c r="ER11" s="353">
        <v>6.3</v>
      </c>
      <c r="ES11" s="353">
        <v>7.2</v>
      </c>
      <c r="ET11" s="353">
        <v>8.3000000000000007</v>
      </c>
      <c r="EU11" s="353" t="s">
        <v>2720</v>
      </c>
      <c r="EV11" s="353" t="s">
        <v>2720</v>
      </c>
      <c r="EW11" s="353">
        <v>8.1</v>
      </c>
      <c r="EX11" s="353">
        <v>5.5</v>
      </c>
      <c r="EY11" s="353" t="s">
        <v>2720</v>
      </c>
      <c r="EZ11" s="353">
        <v>9.8000000000000007</v>
      </c>
      <c r="FA11" s="353">
        <v>9.1</v>
      </c>
      <c r="FB11" s="353">
        <v>8</v>
      </c>
      <c r="FC11" s="353">
        <v>8.1</v>
      </c>
      <c r="FD11" s="353">
        <v>6</v>
      </c>
      <c r="FE11" s="353">
        <v>8</v>
      </c>
      <c r="FF11" s="353" t="s">
        <v>2720</v>
      </c>
      <c r="FG11" s="353" t="s">
        <v>2720</v>
      </c>
      <c r="FH11" s="353" t="s">
        <v>2720</v>
      </c>
      <c r="FI11" s="353">
        <v>7</v>
      </c>
      <c r="FJ11" s="353" t="s">
        <v>2720</v>
      </c>
      <c r="FK11" s="355">
        <v>7.33</v>
      </c>
      <c r="FM11" s="357"/>
    </row>
    <row r="12" spans="1:169" s="356" customFormat="1" ht="27.95" customHeight="1">
      <c r="A12" s="358">
        <v>2</v>
      </c>
      <c r="B12" s="359" t="s">
        <v>2017</v>
      </c>
      <c r="C12" s="360" t="s">
        <v>2018</v>
      </c>
      <c r="D12" s="361" t="s">
        <v>1929</v>
      </c>
      <c r="E12" s="362"/>
      <c r="F12" s="363">
        <v>0</v>
      </c>
      <c r="G12" s="364">
        <v>11</v>
      </c>
      <c r="H12" s="365">
        <v>4.5</v>
      </c>
      <c r="I12" s="366">
        <v>4.5999999999999996</v>
      </c>
      <c r="J12" s="365">
        <v>5.7</v>
      </c>
      <c r="K12" s="366" t="s">
        <v>2720</v>
      </c>
      <c r="L12" s="365">
        <v>4.5999999999999996</v>
      </c>
      <c r="M12" s="366">
        <v>6.1</v>
      </c>
      <c r="N12" s="365">
        <v>6.3</v>
      </c>
      <c r="O12" s="366" t="s">
        <v>2720</v>
      </c>
      <c r="P12" s="365">
        <v>5.6</v>
      </c>
      <c r="Q12" s="366" t="s">
        <v>2720</v>
      </c>
      <c r="R12" s="365">
        <v>6.4</v>
      </c>
      <c r="S12" s="366" t="s">
        <v>2720</v>
      </c>
      <c r="T12" s="365">
        <v>5.9</v>
      </c>
      <c r="U12" s="366" t="s">
        <v>2720</v>
      </c>
      <c r="V12" s="365" t="s">
        <v>2720</v>
      </c>
      <c r="W12" s="366" t="s">
        <v>2720</v>
      </c>
      <c r="X12" s="367" t="s">
        <v>2720</v>
      </c>
      <c r="Y12" s="368"/>
      <c r="Z12" s="331">
        <v>6.1</v>
      </c>
      <c r="AA12" s="332" t="s">
        <v>2720</v>
      </c>
      <c r="AB12" s="331">
        <v>4.2</v>
      </c>
      <c r="AC12" s="332">
        <v>4.2</v>
      </c>
      <c r="AD12" s="331">
        <v>5.5</v>
      </c>
      <c r="AE12" s="332" t="s">
        <v>2720</v>
      </c>
      <c r="AF12" s="331" t="s">
        <v>2720</v>
      </c>
      <c r="AG12" s="332" t="s">
        <v>2720</v>
      </c>
      <c r="AH12" s="331">
        <v>4.9000000000000004</v>
      </c>
      <c r="AI12" s="332">
        <v>6</v>
      </c>
      <c r="AJ12" s="331">
        <v>6.3</v>
      </c>
      <c r="AK12" s="332" t="s">
        <v>2720</v>
      </c>
      <c r="AL12" s="331">
        <v>5.8</v>
      </c>
      <c r="AM12" s="333" t="s">
        <v>2720</v>
      </c>
      <c r="AN12" s="331">
        <v>2.4</v>
      </c>
      <c r="AO12" s="332" t="s">
        <v>2720</v>
      </c>
      <c r="AP12" s="331">
        <v>7.4</v>
      </c>
      <c r="AQ12" s="333" t="s">
        <v>2720</v>
      </c>
      <c r="AR12" s="331" t="s">
        <v>2720</v>
      </c>
      <c r="AS12" s="333" t="s">
        <v>2720</v>
      </c>
      <c r="AT12" s="331" t="s">
        <v>2720</v>
      </c>
      <c r="AU12" s="333" t="s">
        <v>2720</v>
      </c>
      <c r="AV12" s="331" t="s">
        <v>2720</v>
      </c>
      <c r="AW12" s="333" t="s">
        <v>2720</v>
      </c>
      <c r="AX12" s="331">
        <v>5.6</v>
      </c>
      <c r="AY12" s="368"/>
      <c r="AZ12" s="331" t="s">
        <v>2720</v>
      </c>
      <c r="BA12" s="368"/>
      <c r="BB12" s="334">
        <v>5.48</v>
      </c>
      <c r="BC12" s="335">
        <v>5.62</v>
      </c>
      <c r="BD12" s="336">
        <v>58.5</v>
      </c>
      <c r="BE12" s="369" t="s">
        <v>2760</v>
      </c>
      <c r="BF12" s="336" t="s">
        <v>2760</v>
      </c>
      <c r="BG12" s="370"/>
      <c r="BH12" s="339" t="s">
        <v>2720</v>
      </c>
      <c r="BI12" s="340">
        <v>39</v>
      </c>
      <c r="BJ12" s="341">
        <v>27</v>
      </c>
      <c r="BK12" s="341">
        <v>12</v>
      </c>
      <c r="BL12" s="341">
        <v>31</v>
      </c>
      <c r="BM12" s="342">
        <v>8</v>
      </c>
      <c r="BN12" s="371">
        <v>6.06</v>
      </c>
      <c r="BO12" s="372" t="s">
        <v>2758</v>
      </c>
      <c r="BP12" s="371">
        <v>6.06</v>
      </c>
      <c r="BQ12" s="372" t="s">
        <v>2758</v>
      </c>
      <c r="BR12" s="345" t="s">
        <v>2761</v>
      </c>
      <c r="BS12" s="373"/>
      <c r="BT12" s="347">
        <v>4.5</v>
      </c>
      <c r="BU12" s="348">
        <v>5.7</v>
      </c>
      <c r="BV12" s="348">
        <v>4.5999999999999996</v>
      </c>
      <c r="BW12" s="348">
        <v>6.3</v>
      </c>
      <c r="BX12" s="349">
        <v>5.6</v>
      </c>
      <c r="BY12" s="349">
        <v>6.4</v>
      </c>
      <c r="BZ12" s="348">
        <v>5.9</v>
      </c>
      <c r="CA12" s="348" t="s">
        <v>2720</v>
      </c>
      <c r="CB12" s="348" t="s">
        <v>2720</v>
      </c>
      <c r="CC12" s="348">
        <v>6.1</v>
      </c>
      <c r="CD12" s="348">
        <v>4.2</v>
      </c>
      <c r="CE12" s="348">
        <v>5.5</v>
      </c>
      <c r="CF12" s="348" t="s">
        <v>2720</v>
      </c>
      <c r="CG12" s="348">
        <v>4.9000000000000004</v>
      </c>
      <c r="CH12" s="348">
        <v>6.3</v>
      </c>
      <c r="CI12" s="348">
        <v>5.8</v>
      </c>
      <c r="CJ12" s="348">
        <v>2.4</v>
      </c>
      <c r="CK12" s="348">
        <v>7.4</v>
      </c>
      <c r="CL12" s="348" t="s">
        <v>2720</v>
      </c>
      <c r="CM12" s="349" t="s">
        <v>2720</v>
      </c>
      <c r="CN12" s="348" t="s">
        <v>2720</v>
      </c>
      <c r="CO12" s="348">
        <v>5.6</v>
      </c>
      <c r="CP12" s="348" t="s">
        <v>2720</v>
      </c>
      <c r="CQ12" s="350">
        <v>5.48</v>
      </c>
      <c r="CR12" s="348" t="s">
        <v>2720</v>
      </c>
      <c r="CS12" s="348">
        <v>5.7</v>
      </c>
      <c r="CT12" s="348" t="s">
        <v>2720</v>
      </c>
      <c r="CU12" s="348">
        <v>6.3</v>
      </c>
      <c r="CV12" s="348">
        <v>5.6</v>
      </c>
      <c r="CW12" s="348">
        <v>6.4</v>
      </c>
      <c r="CX12" s="348">
        <v>5.9</v>
      </c>
      <c r="CY12" s="348" t="s">
        <v>2720</v>
      </c>
      <c r="CZ12" s="348" t="s">
        <v>2720</v>
      </c>
      <c r="DA12" s="348">
        <v>6.1</v>
      </c>
      <c r="DB12" s="348" t="s">
        <v>2720</v>
      </c>
      <c r="DC12" s="348">
        <v>5.5</v>
      </c>
      <c r="DD12" s="348" t="s">
        <v>2720</v>
      </c>
      <c r="DE12" s="348" t="s">
        <v>2720</v>
      </c>
      <c r="DF12" s="348">
        <v>6.3</v>
      </c>
      <c r="DG12" s="348">
        <v>5.8</v>
      </c>
      <c r="DH12" s="348" t="s">
        <v>2720</v>
      </c>
      <c r="DI12" s="348">
        <v>7.4</v>
      </c>
      <c r="DJ12" s="348" t="s">
        <v>2720</v>
      </c>
      <c r="DK12" s="348" t="s">
        <v>2720</v>
      </c>
      <c r="DL12" s="348" t="s">
        <v>2720</v>
      </c>
      <c r="DM12" s="348">
        <v>5.6</v>
      </c>
      <c r="DN12" s="348" t="s">
        <v>2720</v>
      </c>
      <c r="DO12" s="351">
        <v>6.06</v>
      </c>
      <c r="DP12" s="374">
        <v>4.5999999999999996</v>
      </c>
      <c r="DQ12" s="353">
        <v>5.7</v>
      </c>
      <c r="DR12" s="353">
        <v>6.1</v>
      </c>
      <c r="DS12" s="353">
        <v>6.3</v>
      </c>
      <c r="DT12" s="353">
        <v>5.6</v>
      </c>
      <c r="DU12" s="353">
        <v>6.4</v>
      </c>
      <c r="DV12" s="353">
        <v>5.9</v>
      </c>
      <c r="DW12" s="353" t="s">
        <v>2720</v>
      </c>
      <c r="DX12" s="353" t="s">
        <v>2720</v>
      </c>
      <c r="DY12" s="353">
        <v>6.1</v>
      </c>
      <c r="DZ12" s="353">
        <v>4.2</v>
      </c>
      <c r="EA12" s="353">
        <v>5.5</v>
      </c>
      <c r="EB12" s="353" t="s">
        <v>2720</v>
      </c>
      <c r="EC12" s="353">
        <v>6</v>
      </c>
      <c r="ED12" s="353">
        <v>6.3</v>
      </c>
      <c r="EE12" s="353">
        <v>5.8</v>
      </c>
      <c r="EF12" s="353">
        <v>2.4</v>
      </c>
      <c r="EG12" s="353">
        <v>7.4</v>
      </c>
      <c r="EH12" s="353" t="s">
        <v>2720</v>
      </c>
      <c r="EI12" s="353" t="s">
        <v>2720</v>
      </c>
      <c r="EJ12" s="353" t="s">
        <v>2720</v>
      </c>
      <c r="EK12" s="353">
        <v>5.6</v>
      </c>
      <c r="EL12" s="353" t="s">
        <v>2720</v>
      </c>
      <c r="EM12" s="354">
        <v>5.62</v>
      </c>
      <c r="EN12" s="353" t="s">
        <v>2720</v>
      </c>
      <c r="EO12" s="353">
        <v>5.7</v>
      </c>
      <c r="EP12" s="353">
        <v>6.1</v>
      </c>
      <c r="EQ12" s="353">
        <v>6.3</v>
      </c>
      <c r="ER12" s="353">
        <v>5.6</v>
      </c>
      <c r="ES12" s="353">
        <v>6.4</v>
      </c>
      <c r="ET12" s="353">
        <v>5.9</v>
      </c>
      <c r="EU12" s="353" t="s">
        <v>2720</v>
      </c>
      <c r="EV12" s="353" t="s">
        <v>2720</v>
      </c>
      <c r="EW12" s="353">
        <v>6.1</v>
      </c>
      <c r="EX12" s="353" t="s">
        <v>2720</v>
      </c>
      <c r="EY12" s="353">
        <v>5.5</v>
      </c>
      <c r="EZ12" s="353" t="s">
        <v>2720</v>
      </c>
      <c r="FA12" s="353">
        <v>6</v>
      </c>
      <c r="FB12" s="353">
        <v>6.3</v>
      </c>
      <c r="FC12" s="353">
        <v>5.8</v>
      </c>
      <c r="FD12" s="353" t="s">
        <v>2720</v>
      </c>
      <c r="FE12" s="353">
        <v>7.4</v>
      </c>
      <c r="FF12" s="353" t="s">
        <v>2720</v>
      </c>
      <c r="FG12" s="353" t="s">
        <v>2720</v>
      </c>
      <c r="FH12" s="353" t="s">
        <v>2720</v>
      </c>
      <c r="FI12" s="353">
        <v>5.6</v>
      </c>
      <c r="FJ12" s="353" t="s">
        <v>2720</v>
      </c>
      <c r="FK12" s="355">
        <v>6.06</v>
      </c>
      <c r="FM12" s="357"/>
    </row>
    <row r="13" spans="1:169" s="356" customFormat="1" ht="27.95" customHeight="1">
      <c r="A13" s="358">
        <v>3</v>
      </c>
      <c r="B13" s="359" t="s">
        <v>2020</v>
      </c>
      <c r="C13" s="360" t="s">
        <v>1441</v>
      </c>
      <c r="D13" s="361" t="s">
        <v>1712</v>
      </c>
      <c r="E13" s="362"/>
      <c r="F13" s="363">
        <v>16</v>
      </c>
      <c r="G13" s="364">
        <v>34</v>
      </c>
      <c r="H13" s="365">
        <v>3.7</v>
      </c>
      <c r="I13" s="366">
        <v>4.3</v>
      </c>
      <c r="J13" s="365">
        <v>4.5999999999999996</v>
      </c>
      <c r="K13" s="366">
        <v>4.5999999999999996</v>
      </c>
      <c r="L13" s="365">
        <v>4.5</v>
      </c>
      <c r="M13" s="366">
        <v>6</v>
      </c>
      <c r="N13" s="365">
        <v>5.0999999999999996</v>
      </c>
      <c r="O13" s="366" t="s">
        <v>2720</v>
      </c>
      <c r="P13" s="365">
        <v>5</v>
      </c>
      <c r="Q13" s="366" t="s">
        <v>2720</v>
      </c>
      <c r="R13" s="365">
        <v>6.4</v>
      </c>
      <c r="S13" s="366" t="s">
        <v>2720</v>
      </c>
      <c r="T13" s="365">
        <v>6.1</v>
      </c>
      <c r="U13" s="366" t="s">
        <v>2720</v>
      </c>
      <c r="V13" s="365" t="s">
        <v>2720</v>
      </c>
      <c r="W13" s="366" t="s">
        <v>2720</v>
      </c>
      <c r="X13" s="367" t="s">
        <v>2720</v>
      </c>
      <c r="Y13" s="368"/>
      <c r="Z13" s="331">
        <v>4.2</v>
      </c>
      <c r="AA13" s="332" t="s">
        <v>2720</v>
      </c>
      <c r="AB13" s="331">
        <v>1.9</v>
      </c>
      <c r="AC13" s="332" t="s">
        <v>2720</v>
      </c>
      <c r="AD13" s="331" t="s">
        <v>2720</v>
      </c>
      <c r="AE13" s="332" t="s">
        <v>2720</v>
      </c>
      <c r="AF13" s="331">
        <v>5.3</v>
      </c>
      <c r="AG13" s="332" t="s">
        <v>2720</v>
      </c>
      <c r="AH13" s="331">
        <v>0.8</v>
      </c>
      <c r="AI13" s="332" t="s">
        <v>2720</v>
      </c>
      <c r="AJ13" s="331">
        <v>5.7</v>
      </c>
      <c r="AK13" s="332" t="s">
        <v>2720</v>
      </c>
      <c r="AL13" s="331">
        <v>6.1</v>
      </c>
      <c r="AM13" s="333" t="s">
        <v>2720</v>
      </c>
      <c r="AN13" s="331">
        <v>0.9</v>
      </c>
      <c r="AO13" s="332" t="s">
        <v>2720</v>
      </c>
      <c r="AP13" s="331">
        <v>5.9</v>
      </c>
      <c r="AQ13" s="333" t="s">
        <v>2720</v>
      </c>
      <c r="AR13" s="331" t="s">
        <v>2720</v>
      </c>
      <c r="AS13" s="333" t="s">
        <v>2720</v>
      </c>
      <c r="AT13" s="331" t="s">
        <v>2720</v>
      </c>
      <c r="AU13" s="333" t="s">
        <v>2720</v>
      </c>
      <c r="AV13" s="331" t="s">
        <v>2720</v>
      </c>
      <c r="AW13" s="333" t="s">
        <v>2720</v>
      </c>
      <c r="AX13" s="331">
        <v>5</v>
      </c>
      <c r="AY13" s="368"/>
      <c r="AZ13" s="331" t="s">
        <v>2720</v>
      </c>
      <c r="BA13" s="368"/>
      <c r="BB13" s="334">
        <v>4.53</v>
      </c>
      <c r="BC13" s="335">
        <v>4.66</v>
      </c>
      <c r="BD13" s="336">
        <v>52</v>
      </c>
      <c r="BE13" s="369" t="s">
        <v>2762</v>
      </c>
      <c r="BF13" s="336" t="s">
        <v>2762</v>
      </c>
      <c r="BG13" s="370"/>
      <c r="BH13" s="339" t="s">
        <v>2720</v>
      </c>
      <c r="BI13" s="340">
        <v>39</v>
      </c>
      <c r="BJ13" s="341">
        <v>22</v>
      </c>
      <c r="BK13" s="341">
        <v>17</v>
      </c>
      <c r="BL13" s="341">
        <v>24</v>
      </c>
      <c r="BM13" s="342">
        <v>15</v>
      </c>
      <c r="BN13" s="371">
        <v>5.7</v>
      </c>
      <c r="BO13" s="372" t="s">
        <v>2758</v>
      </c>
      <c r="BP13" s="371">
        <v>5.73</v>
      </c>
      <c r="BQ13" s="372" t="s">
        <v>2758</v>
      </c>
      <c r="BR13" s="345" t="s">
        <v>2761</v>
      </c>
      <c r="BS13" s="373"/>
      <c r="BT13" s="347">
        <v>3.7</v>
      </c>
      <c r="BU13" s="348">
        <v>4.5999999999999996</v>
      </c>
      <c r="BV13" s="348">
        <v>4.5</v>
      </c>
      <c r="BW13" s="348">
        <v>5.0999999999999996</v>
      </c>
      <c r="BX13" s="349">
        <v>5</v>
      </c>
      <c r="BY13" s="349">
        <v>6.4</v>
      </c>
      <c r="BZ13" s="348">
        <v>6.1</v>
      </c>
      <c r="CA13" s="348" t="s">
        <v>2720</v>
      </c>
      <c r="CB13" s="348" t="s">
        <v>2720</v>
      </c>
      <c r="CC13" s="348">
        <v>4.2</v>
      </c>
      <c r="CD13" s="348">
        <v>1.9</v>
      </c>
      <c r="CE13" s="348" t="s">
        <v>2720</v>
      </c>
      <c r="CF13" s="348">
        <v>5.3</v>
      </c>
      <c r="CG13" s="348">
        <v>0.8</v>
      </c>
      <c r="CH13" s="348">
        <v>5.7</v>
      </c>
      <c r="CI13" s="348">
        <v>6.1</v>
      </c>
      <c r="CJ13" s="348">
        <v>0.9</v>
      </c>
      <c r="CK13" s="348">
        <v>5.9</v>
      </c>
      <c r="CL13" s="348" t="s">
        <v>2720</v>
      </c>
      <c r="CM13" s="349" t="s">
        <v>2720</v>
      </c>
      <c r="CN13" s="348" t="s">
        <v>2720</v>
      </c>
      <c r="CO13" s="348">
        <v>5</v>
      </c>
      <c r="CP13" s="348" t="s">
        <v>2720</v>
      </c>
      <c r="CQ13" s="350">
        <v>4.53</v>
      </c>
      <c r="CR13" s="348" t="s">
        <v>2720</v>
      </c>
      <c r="CS13" s="348" t="s">
        <v>2720</v>
      </c>
      <c r="CT13" s="348" t="s">
        <v>2720</v>
      </c>
      <c r="CU13" s="348">
        <v>5.0999999999999996</v>
      </c>
      <c r="CV13" s="348">
        <v>5</v>
      </c>
      <c r="CW13" s="348">
        <v>6.4</v>
      </c>
      <c r="CX13" s="348">
        <v>6.1</v>
      </c>
      <c r="CY13" s="348" t="s">
        <v>2720</v>
      </c>
      <c r="CZ13" s="348" t="s">
        <v>2720</v>
      </c>
      <c r="DA13" s="348" t="s">
        <v>2720</v>
      </c>
      <c r="DB13" s="348" t="s">
        <v>2720</v>
      </c>
      <c r="DC13" s="348" t="s">
        <v>2720</v>
      </c>
      <c r="DD13" s="348">
        <v>5.3</v>
      </c>
      <c r="DE13" s="348" t="s">
        <v>2720</v>
      </c>
      <c r="DF13" s="348">
        <v>5.7</v>
      </c>
      <c r="DG13" s="348">
        <v>6.1</v>
      </c>
      <c r="DH13" s="348" t="s">
        <v>2720</v>
      </c>
      <c r="DI13" s="348">
        <v>5.9</v>
      </c>
      <c r="DJ13" s="348" t="s">
        <v>2720</v>
      </c>
      <c r="DK13" s="348" t="s">
        <v>2720</v>
      </c>
      <c r="DL13" s="348" t="s">
        <v>2720</v>
      </c>
      <c r="DM13" s="348">
        <v>5</v>
      </c>
      <c r="DN13" s="348" t="s">
        <v>2720</v>
      </c>
      <c r="DO13" s="351">
        <v>5.7</v>
      </c>
      <c r="DP13" s="374">
        <v>4.3</v>
      </c>
      <c r="DQ13" s="353">
        <v>4.5999999999999996</v>
      </c>
      <c r="DR13" s="353">
        <v>6</v>
      </c>
      <c r="DS13" s="353">
        <v>5.0999999999999996</v>
      </c>
      <c r="DT13" s="353">
        <v>5</v>
      </c>
      <c r="DU13" s="353">
        <v>6.4</v>
      </c>
      <c r="DV13" s="353">
        <v>6.1</v>
      </c>
      <c r="DW13" s="353" t="s">
        <v>2720</v>
      </c>
      <c r="DX13" s="353" t="s">
        <v>2720</v>
      </c>
      <c r="DY13" s="353">
        <v>4.2</v>
      </c>
      <c r="DZ13" s="353">
        <v>1.9</v>
      </c>
      <c r="EA13" s="353" t="s">
        <v>2720</v>
      </c>
      <c r="EB13" s="353">
        <v>5.3</v>
      </c>
      <c r="EC13" s="353">
        <v>0.8</v>
      </c>
      <c r="ED13" s="353">
        <v>5.7</v>
      </c>
      <c r="EE13" s="353">
        <v>6.1</v>
      </c>
      <c r="EF13" s="353">
        <v>0.9</v>
      </c>
      <c r="EG13" s="353">
        <v>5.9</v>
      </c>
      <c r="EH13" s="353" t="s">
        <v>2720</v>
      </c>
      <c r="EI13" s="353" t="s">
        <v>2720</v>
      </c>
      <c r="EJ13" s="353" t="s">
        <v>2720</v>
      </c>
      <c r="EK13" s="353">
        <v>5</v>
      </c>
      <c r="EL13" s="353" t="s">
        <v>2720</v>
      </c>
      <c r="EM13" s="354">
        <v>4.66</v>
      </c>
      <c r="EN13" s="353" t="s">
        <v>2720</v>
      </c>
      <c r="EO13" s="353" t="s">
        <v>2720</v>
      </c>
      <c r="EP13" s="353">
        <v>6</v>
      </c>
      <c r="EQ13" s="353">
        <v>5.0999999999999996</v>
      </c>
      <c r="ER13" s="353">
        <v>5</v>
      </c>
      <c r="ES13" s="353">
        <v>6.4</v>
      </c>
      <c r="ET13" s="353">
        <v>6.1</v>
      </c>
      <c r="EU13" s="353" t="s">
        <v>2720</v>
      </c>
      <c r="EV13" s="353" t="s">
        <v>2720</v>
      </c>
      <c r="EW13" s="353" t="s">
        <v>2720</v>
      </c>
      <c r="EX13" s="353" t="s">
        <v>2720</v>
      </c>
      <c r="EY13" s="353" t="s">
        <v>2720</v>
      </c>
      <c r="EZ13" s="353">
        <v>5.3</v>
      </c>
      <c r="FA13" s="353" t="s">
        <v>2720</v>
      </c>
      <c r="FB13" s="353">
        <v>5.7</v>
      </c>
      <c r="FC13" s="353">
        <v>6.1</v>
      </c>
      <c r="FD13" s="353" t="s">
        <v>2720</v>
      </c>
      <c r="FE13" s="353">
        <v>5.9</v>
      </c>
      <c r="FF13" s="353" t="s">
        <v>2720</v>
      </c>
      <c r="FG13" s="353" t="s">
        <v>2720</v>
      </c>
      <c r="FH13" s="353" t="s">
        <v>2720</v>
      </c>
      <c r="FI13" s="353">
        <v>5</v>
      </c>
      <c r="FJ13" s="353" t="s">
        <v>2720</v>
      </c>
      <c r="FK13" s="355">
        <v>5.73</v>
      </c>
      <c r="FM13" s="357"/>
    </row>
    <row r="14" spans="1:169" s="356" customFormat="1" ht="27.95" customHeight="1">
      <c r="A14" s="358">
        <v>4</v>
      </c>
      <c r="B14" s="359" t="s">
        <v>2763</v>
      </c>
      <c r="C14" s="360" t="s">
        <v>2022</v>
      </c>
      <c r="D14" s="361" t="s">
        <v>1712</v>
      </c>
      <c r="E14" s="362"/>
      <c r="F14" s="363">
        <v>4</v>
      </c>
      <c r="G14" s="364">
        <v>31</v>
      </c>
      <c r="H14" s="365">
        <v>4.0999999999999996</v>
      </c>
      <c r="I14" s="366">
        <v>6.8</v>
      </c>
      <c r="J14" s="365">
        <v>6.8</v>
      </c>
      <c r="K14" s="366" t="s">
        <v>2720</v>
      </c>
      <c r="L14" s="365">
        <v>4.8</v>
      </c>
      <c r="M14" s="366">
        <v>5.8</v>
      </c>
      <c r="N14" s="365">
        <v>4.7</v>
      </c>
      <c r="O14" s="366">
        <v>4.7</v>
      </c>
      <c r="P14" s="365">
        <v>5</v>
      </c>
      <c r="Q14" s="366" t="s">
        <v>2720</v>
      </c>
      <c r="R14" s="365">
        <v>4.8</v>
      </c>
      <c r="S14" s="366">
        <v>4.8</v>
      </c>
      <c r="T14" s="365">
        <v>5.7</v>
      </c>
      <c r="U14" s="366" t="s">
        <v>2720</v>
      </c>
      <c r="V14" s="365" t="s">
        <v>2720</v>
      </c>
      <c r="W14" s="366" t="s">
        <v>2720</v>
      </c>
      <c r="X14" s="367" t="s">
        <v>2720</v>
      </c>
      <c r="Y14" s="368"/>
      <c r="Z14" s="331">
        <v>4.9000000000000004</v>
      </c>
      <c r="AA14" s="332">
        <v>6.3</v>
      </c>
      <c r="AB14" s="331">
        <v>4.2</v>
      </c>
      <c r="AC14" s="332">
        <v>4.2</v>
      </c>
      <c r="AD14" s="331" t="s">
        <v>2720</v>
      </c>
      <c r="AE14" s="332" t="s">
        <v>2720</v>
      </c>
      <c r="AF14" s="331">
        <v>7.4</v>
      </c>
      <c r="AG14" s="332" t="s">
        <v>2720</v>
      </c>
      <c r="AH14" s="331">
        <v>3.4</v>
      </c>
      <c r="AI14" s="332">
        <v>4.4000000000000004</v>
      </c>
      <c r="AJ14" s="331">
        <v>6.7</v>
      </c>
      <c r="AK14" s="332" t="s">
        <v>2720</v>
      </c>
      <c r="AL14" s="331">
        <v>5.3</v>
      </c>
      <c r="AM14" s="333" t="s">
        <v>2720</v>
      </c>
      <c r="AN14" s="331">
        <v>3.5</v>
      </c>
      <c r="AO14" s="332" t="s">
        <v>2720</v>
      </c>
      <c r="AP14" s="331">
        <v>6.4</v>
      </c>
      <c r="AQ14" s="333" t="s">
        <v>2720</v>
      </c>
      <c r="AR14" s="331" t="s">
        <v>2720</v>
      </c>
      <c r="AS14" s="333" t="s">
        <v>2720</v>
      </c>
      <c r="AT14" s="331" t="s">
        <v>2720</v>
      </c>
      <c r="AU14" s="333" t="s">
        <v>2720</v>
      </c>
      <c r="AV14" s="331" t="s">
        <v>2720</v>
      </c>
      <c r="AW14" s="333" t="s">
        <v>2720</v>
      </c>
      <c r="AX14" s="331">
        <v>6</v>
      </c>
      <c r="AY14" s="368"/>
      <c r="AZ14" s="331" t="s">
        <v>2720</v>
      </c>
      <c r="BA14" s="368"/>
      <c r="BB14" s="334">
        <v>5.18</v>
      </c>
      <c r="BC14" s="335">
        <v>5.56</v>
      </c>
      <c r="BD14" s="336">
        <v>50.5</v>
      </c>
      <c r="BE14" s="369" t="s">
        <v>2760</v>
      </c>
      <c r="BF14" s="336" t="s">
        <v>2760</v>
      </c>
      <c r="BG14" s="370"/>
      <c r="BH14" s="339" t="s">
        <v>2720</v>
      </c>
      <c r="BI14" s="340">
        <v>39</v>
      </c>
      <c r="BJ14" s="341">
        <v>18</v>
      </c>
      <c r="BK14" s="341">
        <v>21</v>
      </c>
      <c r="BL14" s="341">
        <v>25</v>
      </c>
      <c r="BM14" s="342">
        <v>14</v>
      </c>
      <c r="BN14" s="371">
        <v>6.13</v>
      </c>
      <c r="BO14" s="372" t="s">
        <v>2758</v>
      </c>
      <c r="BP14" s="371">
        <v>6.2</v>
      </c>
      <c r="BQ14" s="372" t="s">
        <v>2758</v>
      </c>
      <c r="BR14" s="345" t="s">
        <v>2761</v>
      </c>
      <c r="BS14" s="373"/>
      <c r="BT14" s="347">
        <v>4.0999999999999996</v>
      </c>
      <c r="BU14" s="348">
        <v>6.8</v>
      </c>
      <c r="BV14" s="348">
        <v>4.8</v>
      </c>
      <c r="BW14" s="348">
        <v>4.7</v>
      </c>
      <c r="BX14" s="349">
        <v>5</v>
      </c>
      <c r="BY14" s="349">
        <v>4.8</v>
      </c>
      <c r="BZ14" s="348">
        <v>5.7</v>
      </c>
      <c r="CA14" s="348" t="s">
        <v>2720</v>
      </c>
      <c r="CB14" s="348" t="s">
        <v>2720</v>
      </c>
      <c r="CC14" s="348">
        <v>4.9000000000000004</v>
      </c>
      <c r="CD14" s="348">
        <v>4.2</v>
      </c>
      <c r="CE14" s="348" t="s">
        <v>2720</v>
      </c>
      <c r="CF14" s="348">
        <v>7.4</v>
      </c>
      <c r="CG14" s="348">
        <v>3.4</v>
      </c>
      <c r="CH14" s="348">
        <v>6.7</v>
      </c>
      <c r="CI14" s="348">
        <v>5.3</v>
      </c>
      <c r="CJ14" s="348">
        <v>3.5</v>
      </c>
      <c r="CK14" s="348">
        <v>6.4</v>
      </c>
      <c r="CL14" s="348" t="s">
        <v>2720</v>
      </c>
      <c r="CM14" s="349" t="s">
        <v>2720</v>
      </c>
      <c r="CN14" s="348" t="s">
        <v>2720</v>
      </c>
      <c r="CO14" s="348">
        <v>6</v>
      </c>
      <c r="CP14" s="348" t="s">
        <v>2720</v>
      </c>
      <c r="CQ14" s="350">
        <v>5.18</v>
      </c>
      <c r="CR14" s="348" t="s">
        <v>2720</v>
      </c>
      <c r="CS14" s="348">
        <v>6.8</v>
      </c>
      <c r="CT14" s="348" t="s">
        <v>2720</v>
      </c>
      <c r="CU14" s="348" t="s">
        <v>2720</v>
      </c>
      <c r="CV14" s="348">
        <v>5</v>
      </c>
      <c r="CW14" s="348" t="s">
        <v>2720</v>
      </c>
      <c r="CX14" s="348">
        <v>5.7</v>
      </c>
      <c r="CY14" s="348" t="s">
        <v>2720</v>
      </c>
      <c r="CZ14" s="348" t="s">
        <v>2720</v>
      </c>
      <c r="DA14" s="348" t="s">
        <v>2720</v>
      </c>
      <c r="DB14" s="348" t="s">
        <v>2720</v>
      </c>
      <c r="DC14" s="348" t="s">
        <v>2720</v>
      </c>
      <c r="DD14" s="348">
        <v>7.4</v>
      </c>
      <c r="DE14" s="348" t="s">
        <v>2720</v>
      </c>
      <c r="DF14" s="348">
        <v>6.7</v>
      </c>
      <c r="DG14" s="348">
        <v>5.3</v>
      </c>
      <c r="DH14" s="348" t="s">
        <v>2720</v>
      </c>
      <c r="DI14" s="348">
        <v>6.4</v>
      </c>
      <c r="DJ14" s="348" t="s">
        <v>2720</v>
      </c>
      <c r="DK14" s="348" t="s">
        <v>2720</v>
      </c>
      <c r="DL14" s="348" t="s">
        <v>2720</v>
      </c>
      <c r="DM14" s="348">
        <v>6</v>
      </c>
      <c r="DN14" s="348" t="s">
        <v>2720</v>
      </c>
      <c r="DO14" s="351">
        <v>6.13</v>
      </c>
      <c r="DP14" s="374">
        <v>6.8</v>
      </c>
      <c r="DQ14" s="353">
        <v>6.8</v>
      </c>
      <c r="DR14" s="353">
        <v>5.8</v>
      </c>
      <c r="DS14" s="353">
        <v>4.7</v>
      </c>
      <c r="DT14" s="353">
        <v>5</v>
      </c>
      <c r="DU14" s="353">
        <v>4.8</v>
      </c>
      <c r="DV14" s="353">
        <v>5.7</v>
      </c>
      <c r="DW14" s="353" t="s">
        <v>2720</v>
      </c>
      <c r="DX14" s="353" t="s">
        <v>2720</v>
      </c>
      <c r="DY14" s="353">
        <v>6.3</v>
      </c>
      <c r="DZ14" s="353">
        <v>4.2</v>
      </c>
      <c r="EA14" s="353" t="s">
        <v>2720</v>
      </c>
      <c r="EB14" s="353">
        <v>7.4</v>
      </c>
      <c r="EC14" s="353">
        <v>4.4000000000000004</v>
      </c>
      <c r="ED14" s="353">
        <v>6.7</v>
      </c>
      <c r="EE14" s="353">
        <v>5.3</v>
      </c>
      <c r="EF14" s="353">
        <v>3.5</v>
      </c>
      <c r="EG14" s="353">
        <v>6.4</v>
      </c>
      <c r="EH14" s="353" t="s">
        <v>2720</v>
      </c>
      <c r="EI14" s="353" t="s">
        <v>2720</v>
      </c>
      <c r="EJ14" s="353" t="s">
        <v>2720</v>
      </c>
      <c r="EK14" s="353">
        <v>6</v>
      </c>
      <c r="EL14" s="353" t="s">
        <v>2720</v>
      </c>
      <c r="EM14" s="354">
        <v>5.56</v>
      </c>
      <c r="EN14" s="353">
        <v>6.8</v>
      </c>
      <c r="EO14" s="353">
        <v>6.8</v>
      </c>
      <c r="EP14" s="353">
        <v>5.8</v>
      </c>
      <c r="EQ14" s="353" t="s">
        <v>2720</v>
      </c>
      <c r="ER14" s="353">
        <v>5</v>
      </c>
      <c r="ES14" s="353" t="s">
        <v>2720</v>
      </c>
      <c r="ET14" s="353">
        <v>5.7</v>
      </c>
      <c r="EU14" s="353" t="s">
        <v>2720</v>
      </c>
      <c r="EV14" s="353" t="s">
        <v>2720</v>
      </c>
      <c r="EW14" s="353">
        <v>6.3</v>
      </c>
      <c r="EX14" s="353" t="s">
        <v>2720</v>
      </c>
      <c r="EY14" s="353" t="s">
        <v>2720</v>
      </c>
      <c r="EZ14" s="353">
        <v>7.4</v>
      </c>
      <c r="FA14" s="353" t="s">
        <v>2720</v>
      </c>
      <c r="FB14" s="353">
        <v>6.7</v>
      </c>
      <c r="FC14" s="353">
        <v>5.3</v>
      </c>
      <c r="FD14" s="353" t="s">
        <v>2720</v>
      </c>
      <c r="FE14" s="353">
        <v>6.4</v>
      </c>
      <c r="FF14" s="353" t="s">
        <v>2720</v>
      </c>
      <c r="FG14" s="353" t="s">
        <v>2720</v>
      </c>
      <c r="FH14" s="353" t="s">
        <v>2720</v>
      </c>
      <c r="FI14" s="353">
        <v>6</v>
      </c>
      <c r="FJ14" s="353" t="s">
        <v>2720</v>
      </c>
      <c r="FK14" s="355">
        <v>6.2</v>
      </c>
      <c r="FM14" s="357"/>
    </row>
    <row r="15" spans="1:169" s="356" customFormat="1" ht="27.95" customHeight="1">
      <c r="A15" s="358">
        <v>5</v>
      </c>
      <c r="B15" s="359" t="s">
        <v>2023</v>
      </c>
      <c r="C15" s="360" t="s">
        <v>1444</v>
      </c>
      <c r="D15" s="361" t="s">
        <v>2024</v>
      </c>
      <c r="E15" s="362"/>
      <c r="F15" s="363">
        <v>0</v>
      </c>
      <c r="G15" s="364">
        <v>8</v>
      </c>
      <c r="H15" s="365">
        <v>3.7</v>
      </c>
      <c r="I15" s="366">
        <v>5.5</v>
      </c>
      <c r="J15" s="365">
        <v>6.4</v>
      </c>
      <c r="K15" s="366" t="s">
        <v>2720</v>
      </c>
      <c r="L15" s="365">
        <v>4.8</v>
      </c>
      <c r="M15" s="366">
        <v>6</v>
      </c>
      <c r="N15" s="365">
        <v>5.8</v>
      </c>
      <c r="O15" s="366" t="s">
        <v>2720</v>
      </c>
      <c r="P15" s="365">
        <v>5.4</v>
      </c>
      <c r="Q15" s="366" t="s">
        <v>2720</v>
      </c>
      <c r="R15" s="365">
        <v>6.5</v>
      </c>
      <c r="S15" s="366" t="s">
        <v>2720</v>
      </c>
      <c r="T15" s="365">
        <v>5.7</v>
      </c>
      <c r="U15" s="366" t="s">
        <v>2720</v>
      </c>
      <c r="V15" s="365" t="s">
        <v>2720</v>
      </c>
      <c r="W15" s="366" t="s">
        <v>2720</v>
      </c>
      <c r="X15" s="367" t="s">
        <v>2720</v>
      </c>
      <c r="Y15" s="368"/>
      <c r="Z15" s="331">
        <v>5.6</v>
      </c>
      <c r="AA15" s="332" t="s">
        <v>2720</v>
      </c>
      <c r="AB15" s="331">
        <v>4.8</v>
      </c>
      <c r="AC15" s="332">
        <v>4.8</v>
      </c>
      <c r="AD15" s="331" t="s">
        <v>2720</v>
      </c>
      <c r="AE15" s="332" t="s">
        <v>2720</v>
      </c>
      <c r="AF15" s="331">
        <v>6</v>
      </c>
      <c r="AG15" s="332" t="s">
        <v>2720</v>
      </c>
      <c r="AH15" s="331">
        <v>4.5</v>
      </c>
      <c r="AI15" s="332">
        <v>5.4</v>
      </c>
      <c r="AJ15" s="331">
        <v>6.8</v>
      </c>
      <c r="AK15" s="332" t="s">
        <v>2720</v>
      </c>
      <c r="AL15" s="331">
        <v>6.9</v>
      </c>
      <c r="AM15" s="333" t="s">
        <v>2720</v>
      </c>
      <c r="AN15" s="331">
        <v>3.2</v>
      </c>
      <c r="AO15" s="332">
        <v>3.3</v>
      </c>
      <c r="AP15" s="331">
        <v>6</v>
      </c>
      <c r="AQ15" s="333" t="s">
        <v>2720</v>
      </c>
      <c r="AR15" s="331" t="s">
        <v>2720</v>
      </c>
      <c r="AS15" s="333" t="s">
        <v>2720</v>
      </c>
      <c r="AT15" s="331" t="s">
        <v>2720</v>
      </c>
      <c r="AU15" s="333" t="s">
        <v>2720</v>
      </c>
      <c r="AV15" s="331" t="s">
        <v>2720</v>
      </c>
      <c r="AW15" s="333" t="s">
        <v>2720</v>
      </c>
      <c r="AX15" s="331">
        <v>5.7</v>
      </c>
      <c r="AY15" s="368"/>
      <c r="AZ15" s="331" t="s">
        <v>2720</v>
      </c>
      <c r="BA15" s="368"/>
      <c r="BB15" s="334">
        <v>5.52</v>
      </c>
      <c r="BC15" s="335">
        <v>5.77</v>
      </c>
      <c r="BD15" s="336">
        <v>56</v>
      </c>
      <c r="BE15" s="369" t="s">
        <v>2760</v>
      </c>
      <c r="BF15" s="336" t="s">
        <v>2760</v>
      </c>
      <c r="BG15" s="370"/>
      <c r="BH15" s="339" t="s">
        <v>2720</v>
      </c>
      <c r="BI15" s="340">
        <v>39</v>
      </c>
      <c r="BJ15" s="341">
        <v>27</v>
      </c>
      <c r="BK15" s="341">
        <v>12</v>
      </c>
      <c r="BL15" s="341">
        <v>34</v>
      </c>
      <c r="BM15" s="342">
        <v>5</v>
      </c>
      <c r="BN15" s="371">
        <v>6.11</v>
      </c>
      <c r="BO15" s="372" t="s">
        <v>2758</v>
      </c>
      <c r="BP15" s="371">
        <v>6.01</v>
      </c>
      <c r="BQ15" s="372" t="s">
        <v>2758</v>
      </c>
      <c r="BR15" s="345" t="s">
        <v>2761</v>
      </c>
      <c r="BS15" s="373"/>
      <c r="BT15" s="347">
        <v>3.7</v>
      </c>
      <c r="BU15" s="348">
        <v>6.4</v>
      </c>
      <c r="BV15" s="348">
        <v>4.8</v>
      </c>
      <c r="BW15" s="348">
        <v>5.8</v>
      </c>
      <c r="BX15" s="349">
        <v>5.4</v>
      </c>
      <c r="BY15" s="349">
        <v>6.5</v>
      </c>
      <c r="BZ15" s="348">
        <v>5.7</v>
      </c>
      <c r="CA15" s="348" t="s">
        <v>2720</v>
      </c>
      <c r="CB15" s="348" t="s">
        <v>2720</v>
      </c>
      <c r="CC15" s="348">
        <v>5.6</v>
      </c>
      <c r="CD15" s="348">
        <v>4.8</v>
      </c>
      <c r="CE15" s="348" t="s">
        <v>2720</v>
      </c>
      <c r="CF15" s="348">
        <v>6</v>
      </c>
      <c r="CG15" s="348">
        <v>4.5</v>
      </c>
      <c r="CH15" s="348">
        <v>6.8</v>
      </c>
      <c r="CI15" s="348">
        <v>6.9</v>
      </c>
      <c r="CJ15" s="348">
        <v>3.2</v>
      </c>
      <c r="CK15" s="348">
        <v>6</v>
      </c>
      <c r="CL15" s="348" t="s">
        <v>2720</v>
      </c>
      <c r="CM15" s="349" t="s">
        <v>2720</v>
      </c>
      <c r="CN15" s="348" t="s">
        <v>2720</v>
      </c>
      <c r="CO15" s="348">
        <v>5.7</v>
      </c>
      <c r="CP15" s="348" t="s">
        <v>2720</v>
      </c>
      <c r="CQ15" s="350">
        <v>5.52</v>
      </c>
      <c r="CR15" s="348" t="s">
        <v>2720</v>
      </c>
      <c r="CS15" s="348">
        <v>6.4</v>
      </c>
      <c r="CT15" s="348" t="s">
        <v>2720</v>
      </c>
      <c r="CU15" s="348">
        <v>5.8</v>
      </c>
      <c r="CV15" s="348">
        <v>5.4</v>
      </c>
      <c r="CW15" s="348">
        <v>6.5</v>
      </c>
      <c r="CX15" s="348">
        <v>5.7</v>
      </c>
      <c r="CY15" s="348" t="s">
        <v>2720</v>
      </c>
      <c r="CZ15" s="348" t="s">
        <v>2720</v>
      </c>
      <c r="DA15" s="348">
        <v>5.6</v>
      </c>
      <c r="DB15" s="348" t="s">
        <v>2720</v>
      </c>
      <c r="DC15" s="348" t="s">
        <v>2720</v>
      </c>
      <c r="DD15" s="348">
        <v>6</v>
      </c>
      <c r="DE15" s="348" t="s">
        <v>2720</v>
      </c>
      <c r="DF15" s="348">
        <v>6.8</v>
      </c>
      <c r="DG15" s="348">
        <v>6.9</v>
      </c>
      <c r="DH15" s="348" t="s">
        <v>2720</v>
      </c>
      <c r="DI15" s="348">
        <v>6</v>
      </c>
      <c r="DJ15" s="348" t="s">
        <v>2720</v>
      </c>
      <c r="DK15" s="348" t="s">
        <v>2720</v>
      </c>
      <c r="DL15" s="348" t="s">
        <v>2720</v>
      </c>
      <c r="DM15" s="348">
        <v>5.7</v>
      </c>
      <c r="DN15" s="348" t="s">
        <v>2720</v>
      </c>
      <c r="DO15" s="351">
        <v>6.11</v>
      </c>
      <c r="DP15" s="374">
        <v>5.5</v>
      </c>
      <c r="DQ15" s="353">
        <v>6.4</v>
      </c>
      <c r="DR15" s="353">
        <v>6</v>
      </c>
      <c r="DS15" s="353">
        <v>5.8</v>
      </c>
      <c r="DT15" s="353">
        <v>5.4</v>
      </c>
      <c r="DU15" s="353">
        <v>6.5</v>
      </c>
      <c r="DV15" s="353">
        <v>5.7</v>
      </c>
      <c r="DW15" s="353" t="s">
        <v>2720</v>
      </c>
      <c r="DX15" s="353" t="s">
        <v>2720</v>
      </c>
      <c r="DY15" s="353">
        <v>5.6</v>
      </c>
      <c r="DZ15" s="353">
        <v>4.8</v>
      </c>
      <c r="EA15" s="353" t="s">
        <v>2720</v>
      </c>
      <c r="EB15" s="353">
        <v>6</v>
      </c>
      <c r="EC15" s="353">
        <v>5.4</v>
      </c>
      <c r="ED15" s="353">
        <v>6.8</v>
      </c>
      <c r="EE15" s="353">
        <v>6.9</v>
      </c>
      <c r="EF15" s="353">
        <v>3.3</v>
      </c>
      <c r="EG15" s="353">
        <v>6</v>
      </c>
      <c r="EH15" s="353" t="s">
        <v>2720</v>
      </c>
      <c r="EI15" s="353" t="s">
        <v>2720</v>
      </c>
      <c r="EJ15" s="353" t="s">
        <v>2720</v>
      </c>
      <c r="EK15" s="353">
        <v>5.7</v>
      </c>
      <c r="EL15" s="353" t="s">
        <v>2720</v>
      </c>
      <c r="EM15" s="354">
        <v>5.77</v>
      </c>
      <c r="EN15" s="353">
        <v>5.5</v>
      </c>
      <c r="EO15" s="353">
        <v>6.4</v>
      </c>
      <c r="EP15" s="353">
        <v>6</v>
      </c>
      <c r="EQ15" s="353">
        <v>5.8</v>
      </c>
      <c r="ER15" s="353">
        <v>5.4</v>
      </c>
      <c r="ES15" s="353">
        <v>6.5</v>
      </c>
      <c r="ET15" s="353">
        <v>5.7</v>
      </c>
      <c r="EU15" s="353" t="s">
        <v>2720</v>
      </c>
      <c r="EV15" s="353" t="s">
        <v>2720</v>
      </c>
      <c r="EW15" s="353">
        <v>5.6</v>
      </c>
      <c r="EX15" s="353" t="s">
        <v>2720</v>
      </c>
      <c r="EY15" s="353" t="s">
        <v>2720</v>
      </c>
      <c r="EZ15" s="353">
        <v>6</v>
      </c>
      <c r="FA15" s="353">
        <v>5.4</v>
      </c>
      <c r="FB15" s="353">
        <v>6.8</v>
      </c>
      <c r="FC15" s="353">
        <v>6.9</v>
      </c>
      <c r="FD15" s="353" t="s">
        <v>2720</v>
      </c>
      <c r="FE15" s="353">
        <v>6</v>
      </c>
      <c r="FF15" s="353" t="s">
        <v>2720</v>
      </c>
      <c r="FG15" s="353" t="s">
        <v>2720</v>
      </c>
      <c r="FH15" s="353" t="s">
        <v>2720</v>
      </c>
      <c r="FI15" s="353">
        <v>5.7</v>
      </c>
      <c r="FJ15" s="353" t="s">
        <v>2720</v>
      </c>
      <c r="FK15" s="355">
        <v>6.01</v>
      </c>
      <c r="FM15" s="357"/>
    </row>
    <row r="16" spans="1:169" s="356" customFormat="1" ht="27.95" customHeight="1">
      <c r="A16" s="358">
        <v>6</v>
      </c>
      <c r="B16" s="359" t="s">
        <v>2025</v>
      </c>
      <c r="C16" s="360" t="s">
        <v>1441</v>
      </c>
      <c r="D16" s="361" t="s">
        <v>1434</v>
      </c>
      <c r="E16" s="362"/>
      <c r="F16" s="363">
        <v>0</v>
      </c>
      <c r="G16" s="364">
        <v>5</v>
      </c>
      <c r="H16" s="365">
        <v>4.5999999999999996</v>
      </c>
      <c r="I16" s="366">
        <v>4.5999999999999996</v>
      </c>
      <c r="J16" s="365">
        <v>6.5</v>
      </c>
      <c r="K16" s="366" t="s">
        <v>2720</v>
      </c>
      <c r="L16" s="365">
        <v>5.6</v>
      </c>
      <c r="M16" s="366" t="s">
        <v>2720</v>
      </c>
      <c r="N16" s="365">
        <v>6.9</v>
      </c>
      <c r="O16" s="366" t="s">
        <v>2720</v>
      </c>
      <c r="P16" s="365">
        <v>5.8</v>
      </c>
      <c r="Q16" s="366" t="s">
        <v>2720</v>
      </c>
      <c r="R16" s="365">
        <v>5.9</v>
      </c>
      <c r="S16" s="366" t="s">
        <v>2720</v>
      </c>
      <c r="T16" s="365">
        <v>5</v>
      </c>
      <c r="U16" s="366" t="s">
        <v>2720</v>
      </c>
      <c r="V16" s="365" t="s">
        <v>2720</v>
      </c>
      <c r="W16" s="366" t="s">
        <v>2720</v>
      </c>
      <c r="X16" s="367" t="s">
        <v>2720</v>
      </c>
      <c r="Y16" s="368"/>
      <c r="Z16" s="331">
        <v>7.1</v>
      </c>
      <c r="AA16" s="332" t="s">
        <v>2720</v>
      </c>
      <c r="AB16" s="331">
        <v>5.7</v>
      </c>
      <c r="AC16" s="332" t="s">
        <v>2720</v>
      </c>
      <c r="AD16" s="331" t="s">
        <v>2720</v>
      </c>
      <c r="AE16" s="332" t="s">
        <v>2720</v>
      </c>
      <c r="AF16" s="331">
        <v>6.8</v>
      </c>
      <c r="AG16" s="332" t="s">
        <v>2720</v>
      </c>
      <c r="AH16" s="331">
        <v>6.1</v>
      </c>
      <c r="AI16" s="332" t="s">
        <v>2720</v>
      </c>
      <c r="AJ16" s="331">
        <v>7</v>
      </c>
      <c r="AK16" s="332" t="s">
        <v>2720</v>
      </c>
      <c r="AL16" s="331">
        <v>7.4</v>
      </c>
      <c r="AM16" s="333" t="s">
        <v>2720</v>
      </c>
      <c r="AN16" s="331">
        <v>3.6</v>
      </c>
      <c r="AO16" s="332">
        <v>5.3</v>
      </c>
      <c r="AP16" s="331">
        <v>7.3</v>
      </c>
      <c r="AQ16" s="333" t="s">
        <v>2720</v>
      </c>
      <c r="AR16" s="331" t="s">
        <v>2720</v>
      </c>
      <c r="AS16" s="333" t="s">
        <v>2720</v>
      </c>
      <c r="AT16" s="331" t="s">
        <v>2720</v>
      </c>
      <c r="AU16" s="333" t="s">
        <v>2720</v>
      </c>
      <c r="AV16" s="331" t="s">
        <v>2720</v>
      </c>
      <c r="AW16" s="333" t="s">
        <v>2720</v>
      </c>
      <c r="AX16" s="331">
        <v>5.8</v>
      </c>
      <c r="AY16" s="368"/>
      <c r="AZ16" s="331" t="s">
        <v>2720</v>
      </c>
      <c r="BA16" s="368"/>
      <c r="BB16" s="334">
        <v>6.01</v>
      </c>
      <c r="BC16" s="335">
        <v>6.1</v>
      </c>
      <c r="BD16" s="336">
        <v>55.5</v>
      </c>
      <c r="BE16" s="369" t="s">
        <v>2764</v>
      </c>
      <c r="BF16" s="336" t="s">
        <v>2764</v>
      </c>
      <c r="BG16" s="370"/>
      <c r="BH16" s="339" t="s">
        <v>2720</v>
      </c>
      <c r="BI16" s="340">
        <v>39</v>
      </c>
      <c r="BJ16" s="341">
        <v>34</v>
      </c>
      <c r="BK16" s="341">
        <v>5</v>
      </c>
      <c r="BL16" s="341">
        <v>36</v>
      </c>
      <c r="BM16" s="342">
        <v>3</v>
      </c>
      <c r="BN16" s="371">
        <v>6.28</v>
      </c>
      <c r="BO16" s="372" t="s">
        <v>2758</v>
      </c>
      <c r="BP16" s="371">
        <v>6.23</v>
      </c>
      <c r="BQ16" s="372" t="s">
        <v>2758</v>
      </c>
      <c r="BR16" s="345" t="s">
        <v>2759</v>
      </c>
      <c r="BS16" s="373"/>
      <c r="BT16" s="347">
        <v>4.5999999999999996</v>
      </c>
      <c r="BU16" s="348">
        <v>6.5</v>
      </c>
      <c r="BV16" s="348">
        <v>5.6</v>
      </c>
      <c r="BW16" s="348">
        <v>6.9</v>
      </c>
      <c r="BX16" s="349">
        <v>5.8</v>
      </c>
      <c r="BY16" s="349">
        <v>5.9</v>
      </c>
      <c r="BZ16" s="348">
        <v>5</v>
      </c>
      <c r="CA16" s="348" t="s">
        <v>2720</v>
      </c>
      <c r="CB16" s="348" t="s">
        <v>2720</v>
      </c>
      <c r="CC16" s="348">
        <v>7.1</v>
      </c>
      <c r="CD16" s="348">
        <v>5.7</v>
      </c>
      <c r="CE16" s="348" t="s">
        <v>2720</v>
      </c>
      <c r="CF16" s="348">
        <v>6.8</v>
      </c>
      <c r="CG16" s="348">
        <v>6.1</v>
      </c>
      <c r="CH16" s="348">
        <v>7</v>
      </c>
      <c r="CI16" s="348">
        <v>7.4</v>
      </c>
      <c r="CJ16" s="348">
        <v>3.6</v>
      </c>
      <c r="CK16" s="348">
        <v>7.3</v>
      </c>
      <c r="CL16" s="348" t="s">
        <v>2720</v>
      </c>
      <c r="CM16" s="349" t="s">
        <v>2720</v>
      </c>
      <c r="CN16" s="348" t="s">
        <v>2720</v>
      </c>
      <c r="CO16" s="348">
        <v>5.8</v>
      </c>
      <c r="CP16" s="348" t="s">
        <v>2720</v>
      </c>
      <c r="CQ16" s="350">
        <v>6.01</v>
      </c>
      <c r="CR16" s="348" t="s">
        <v>2720</v>
      </c>
      <c r="CS16" s="348">
        <v>6.5</v>
      </c>
      <c r="CT16" s="348">
        <v>5.6</v>
      </c>
      <c r="CU16" s="348">
        <v>6.9</v>
      </c>
      <c r="CV16" s="348">
        <v>5.8</v>
      </c>
      <c r="CW16" s="348">
        <v>5.9</v>
      </c>
      <c r="CX16" s="348">
        <v>5</v>
      </c>
      <c r="CY16" s="348" t="s">
        <v>2720</v>
      </c>
      <c r="CZ16" s="348" t="s">
        <v>2720</v>
      </c>
      <c r="DA16" s="348">
        <v>7.1</v>
      </c>
      <c r="DB16" s="348">
        <v>5.7</v>
      </c>
      <c r="DC16" s="348" t="s">
        <v>2720</v>
      </c>
      <c r="DD16" s="348">
        <v>6.8</v>
      </c>
      <c r="DE16" s="348">
        <v>6.1</v>
      </c>
      <c r="DF16" s="348">
        <v>7</v>
      </c>
      <c r="DG16" s="348">
        <v>7.4</v>
      </c>
      <c r="DH16" s="348" t="s">
        <v>2720</v>
      </c>
      <c r="DI16" s="348">
        <v>7.3</v>
      </c>
      <c r="DJ16" s="348" t="s">
        <v>2720</v>
      </c>
      <c r="DK16" s="348" t="s">
        <v>2720</v>
      </c>
      <c r="DL16" s="348" t="s">
        <v>2720</v>
      </c>
      <c r="DM16" s="348">
        <v>5.8</v>
      </c>
      <c r="DN16" s="348" t="s">
        <v>2720</v>
      </c>
      <c r="DO16" s="351">
        <v>6.28</v>
      </c>
      <c r="DP16" s="374">
        <v>4.5999999999999996</v>
      </c>
      <c r="DQ16" s="353">
        <v>6.5</v>
      </c>
      <c r="DR16" s="353">
        <v>5.6</v>
      </c>
      <c r="DS16" s="353">
        <v>6.9</v>
      </c>
      <c r="DT16" s="353">
        <v>5.8</v>
      </c>
      <c r="DU16" s="353">
        <v>5.9</v>
      </c>
      <c r="DV16" s="353">
        <v>5</v>
      </c>
      <c r="DW16" s="353" t="s">
        <v>2720</v>
      </c>
      <c r="DX16" s="353" t="s">
        <v>2720</v>
      </c>
      <c r="DY16" s="353">
        <v>7.1</v>
      </c>
      <c r="DZ16" s="353">
        <v>5.7</v>
      </c>
      <c r="EA16" s="353" t="s">
        <v>2720</v>
      </c>
      <c r="EB16" s="353">
        <v>6.8</v>
      </c>
      <c r="EC16" s="353">
        <v>6.1</v>
      </c>
      <c r="ED16" s="353">
        <v>7</v>
      </c>
      <c r="EE16" s="353">
        <v>7.4</v>
      </c>
      <c r="EF16" s="353">
        <v>5.3</v>
      </c>
      <c r="EG16" s="353">
        <v>7.3</v>
      </c>
      <c r="EH16" s="353" t="s">
        <v>2720</v>
      </c>
      <c r="EI16" s="353" t="s">
        <v>2720</v>
      </c>
      <c r="EJ16" s="353" t="s">
        <v>2720</v>
      </c>
      <c r="EK16" s="353">
        <v>5.8</v>
      </c>
      <c r="EL16" s="353" t="s">
        <v>2720</v>
      </c>
      <c r="EM16" s="354">
        <v>6.1</v>
      </c>
      <c r="EN16" s="353" t="s">
        <v>2720</v>
      </c>
      <c r="EO16" s="353">
        <v>6.5</v>
      </c>
      <c r="EP16" s="353">
        <v>5.6</v>
      </c>
      <c r="EQ16" s="353">
        <v>6.9</v>
      </c>
      <c r="ER16" s="353">
        <v>5.8</v>
      </c>
      <c r="ES16" s="353">
        <v>5.9</v>
      </c>
      <c r="ET16" s="353">
        <v>5</v>
      </c>
      <c r="EU16" s="353" t="s">
        <v>2720</v>
      </c>
      <c r="EV16" s="353" t="s">
        <v>2720</v>
      </c>
      <c r="EW16" s="353">
        <v>7.1</v>
      </c>
      <c r="EX16" s="353">
        <v>5.7</v>
      </c>
      <c r="EY16" s="353" t="s">
        <v>2720</v>
      </c>
      <c r="EZ16" s="353">
        <v>6.8</v>
      </c>
      <c r="FA16" s="353">
        <v>6.1</v>
      </c>
      <c r="FB16" s="353">
        <v>7</v>
      </c>
      <c r="FC16" s="353">
        <v>7.4</v>
      </c>
      <c r="FD16" s="353">
        <v>5.3</v>
      </c>
      <c r="FE16" s="353">
        <v>7.3</v>
      </c>
      <c r="FF16" s="353" t="s">
        <v>2720</v>
      </c>
      <c r="FG16" s="353" t="s">
        <v>2720</v>
      </c>
      <c r="FH16" s="353" t="s">
        <v>2720</v>
      </c>
      <c r="FI16" s="353">
        <v>5.8</v>
      </c>
      <c r="FJ16" s="353" t="s">
        <v>2720</v>
      </c>
      <c r="FK16" s="355">
        <v>6.23</v>
      </c>
      <c r="FM16" s="357"/>
    </row>
    <row r="17" spans="1:169" s="356" customFormat="1" ht="27.95" customHeight="1">
      <c r="A17" s="358">
        <v>7</v>
      </c>
      <c r="B17" s="359" t="s">
        <v>2026</v>
      </c>
      <c r="C17" s="360" t="s">
        <v>1730</v>
      </c>
      <c r="D17" s="361" t="s">
        <v>1717</v>
      </c>
      <c r="E17" s="362"/>
      <c r="F17" s="363">
        <v>6</v>
      </c>
      <c r="G17" s="364">
        <v>5</v>
      </c>
      <c r="H17" s="365">
        <v>5.4</v>
      </c>
      <c r="I17" s="366" t="s">
        <v>2720</v>
      </c>
      <c r="J17" s="365">
        <v>4.7</v>
      </c>
      <c r="K17" s="366">
        <v>5.4</v>
      </c>
      <c r="L17" s="365">
        <v>4.2</v>
      </c>
      <c r="M17" s="366">
        <v>5.5</v>
      </c>
      <c r="N17" s="365">
        <v>4.5999999999999996</v>
      </c>
      <c r="O17" s="366">
        <v>5.3</v>
      </c>
      <c r="P17" s="365">
        <v>5.0999999999999996</v>
      </c>
      <c r="Q17" s="366" t="s">
        <v>2720</v>
      </c>
      <c r="R17" s="365">
        <v>4.3</v>
      </c>
      <c r="S17" s="366">
        <v>4.9000000000000004</v>
      </c>
      <c r="T17" s="365">
        <v>5.0999999999999996</v>
      </c>
      <c r="U17" s="366" t="s">
        <v>2720</v>
      </c>
      <c r="V17" s="365" t="s">
        <v>2720</v>
      </c>
      <c r="W17" s="366" t="s">
        <v>2720</v>
      </c>
      <c r="X17" s="367" t="s">
        <v>2720</v>
      </c>
      <c r="Y17" s="368"/>
      <c r="Z17" s="331">
        <v>4.8</v>
      </c>
      <c r="AA17" s="332">
        <v>5.7</v>
      </c>
      <c r="AB17" s="331">
        <v>5.7</v>
      </c>
      <c r="AC17" s="332" t="s">
        <v>2720</v>
      </c>
      <c r="AD17" s="331" t="s">
        <v>2720</v>
      </c>
      <c r="AE17" s="332" t="s">
        <v>2720</v>
      </c>
      <c r="AF17" s="331">
        <v>5.5</v>
      </c>
      <c r="AG17" s="332" t="s">
        <v>2720</v>
      </c>
      <c r="AH17" s="331">
        <v>4.7</v>
      </c>
      <c r="AI17" s="332">
        <v>4.9000000000000004</v>
      </c>
      <c r="AJ17" s="331">
        <v>5.5</v>
      </c>
      <c r="AK17" s="332" t="s">
        <v>2720</v>
      </c>
      <c r="AL17" s="331">
        <v>5.9</v>
      </c>
      <c r="AM17" s="333" t="s">
        <v>2720</v>
      </c>
      <c r="AN17" s="331">
        <v>4.2</v>
      </c>
      <c r="AO17" s="332">
        <v>4.2</v>
      </c>
      <c r="AP17" s="331">
        <v>7</v>
      </c>
      <c r="AQ17" s="333" t="s">
        <v>2720</v>
      </c>
      <c r="AR17" s="331" t="s">
        <v>2720</v>
      </c>
      <c r="AS17" s="333" t="s">
        <v>2720</v>
      </c>
      <c r="AT17" s="331" t="s">
        <v>2720</v>
      </c>
      <c r="AU17" s="333" t="s">
        <v>2720</v>
      </c>
      <c r="AV17" s="331" t="s">
        <v>2720</v>
      </c>
      <c r="AW17" s="333" t="s">
        <v>2720</v>
      </c>
      <c r="AX17" s="331">
        <v>5.7</v>
      </c>
      <c r="AY17" s="368"/>
      <c r="AZ17" s="331" t="s">
        <v>2720</v>
      </c>
      <c r="BA17" s="368"/>
      <c r="BB17" s="334">
        <v>5.09</v>
      </c>
      <c r="BC17" s="335">
        <v>5.38</v>
      </c>
      <c r="BD17" s="336">
        <v>51</v>
      </c>
      <c r="BE17" s="369" t="s">
        <v>2760</v>
      </c>
      <c r="BF17" s="336" t="s">
        <v>2760</v>
      </c>
      <c r="BG17" s="370"/>
      <c r="BH17" s="339" t="s">
        <v>2720</v>
      </c>
      <c r="BI17" s="340">
        <v>39</v>
      </c>
      <c r="BJ17" s="341">
        <v>21</v>
      </c>
      <c r="BK17" s="341">
        <v>18</v>
      </c>
      <c r="BL17" s="341">
        <v>30</v>
      </c>
      <c r="BM17" s="342">
        <v>9</v>
      </c>
      <c r="BN17" s="371">
        <v>5.62</v>
      </c>
      <c r="BO17" s="372" t="s">
        <v>2758</v>
      </c>
      <c r="BP17" s="371">
        <v>5.57</v>
      </c>
      <c r="BQ17" s="372" t="s">
        <v>2758</v>
      </c>
      <c r="BR17" s="345" t="s">
        <v>2761</v>
      </c>
      <c r="BS17" s="373"/>
      <c r="BT17" s="347">
        <v>5.4</v>
      </c>
      <c r="BU17" s="348">
        <v>4.7</v>
      </c>
      <c r="BV17" s="348">
        <v>4.2</v>
      </c>
      <c r="BW17" s="348">
        <v>4.5999999999999996</v>
      </c>
      <c r="BX17" s="349">
        <v>5.0999999999999996</v>
      </c>
      <c r="BY17" s="349">
        <v>4.3</v>
      </c>
      <c r="BZ17" s="348">
        <v>5.0999999999999996</v>
      </c>
      <c r="CA17" s="348" t="s">
        <v>2720</v>
      </c>
      <c r="CB17" s="348" t="s">
        <v>2720</v>
      </c>
      <c r="CC17" s="348">
        <v>4.8</v>
      </c>
      <c r="CD17" s="348">
        <v>5.7</v>
      </c>
      <c r="CE17" s="348" t="s">
        <v>2720</v>
      </c>
      <c r="CF17" s="348">
        <v>5.5</v>
      </c>
      <c r="CG17" s="348">
        <v>4.7</v>
      </c>
      <c r="CH17" s="348">
        <v>5.5</v>
      </c>
      <c r="CI17" s="348">
        <v>5.9</v>
      </c>
      <c r="CJ17" s="348">
        <v>4.2</v>
      </c>
      <c r="CK17" s="348">
        <v>7</v>
      </c>
      <c r="CL17" s="348" t="s">
        <v>2720</v>
      </c>
      <c r="CM17" s="349" t="s">
        <v>2720</v>
      </c>
      <c r="CN17" s="348" t="s">
        <v>2720</v>
      </c>
      <c r="CO17" s="348">
        <v>5.7</v>
      </c>
      <c r="CP17" s="348" t="s">
        <v>2720</v>
      </c>
      <c r="CQ17" s="350">
        <v>5.09</v>
      </c>
      <c r="CR17" s="348">
        <v>5.4</v>
      </c>
      <c r="CS17" s="348" t="s">
        <v>2720</v>
      </c>
      <c r="CT17" s="348" t="s">
        <v>2720</v>
      </c>
      <c r="CU17" s="348" t="s">
        <v>2720</v>
      </c>
      <c r="CV17" s="348">
        <v>5.0999999999999996</v>
      </c>
      <c r="CW17" s="348" t="s">
        <v>2720</v>
      </c>
      <c r="CX17" s="348">
        <v>5.0999999999999996</v>
      </c>
      <c r="CY17" s="348" t="s">
        <v>2720</v>
      </c>
      <c r="CZ17" s="348" t="s">
        <v>2720</v>
      </c>
      <c r="DA17" s="348" t="s">
        <v>2720</v>
      </c>
      <c r="DB17" s="348">
        <v>5.7</v>
      </c>
      <c r="DC17" s="348" t="s">
        <v>2720</v>
      </c>
      <c r="DD17" s="348">
        <v>5.5</v>
      </c>
      <c r="DE17" s="348" t="s">
        <v>2720</v>
      </c>
      <c r="DF17" s="348">
        <v>5.5</v>
      </c>
      <c r="DG17" s="348">
        <v>5.9</v>
      </c>
      <c r="DH17" s="348" t="s">
        <v>2720</v>
      </c>
      <c r="DI17" s="348">
        <v>7</v>
      </c>
      <c r="DJ17" s="348" t="s">
        <v>2720</v>
      </c>
      <c r="DK17" s="348" t="s">
        <v>2720</v>
      </c>
      <c r="DL17" s="348" t="s">
        <v>2720</v>
      </c>
      <c r="DM17" s="348">
        <v>5.7</v>
      </c>
      <c r="DN17" s="348" t="s">
        <v>2720</v>
      </c>
      <c r="DO17" s="351">
        <v>5.62</v>
      </c>
      <c r="DP17" s="374">
        <v>5.4</v>
      </c>
      <c r="DQ17" s="353">
        <v>5.4</v>
      </c>
      <c r="DR17" s="353">
        <v>5.5</v>
      </c>
      <c r="DS17" s="353">
        <v>5.3</v>
      </c>
      <c r="DT17" s="353">
        <v>5.0999999999999996</v>
      </c>
      <c r="DU17" s="353">
        <v>4.9000000000000004</v>
      </c>
      <c r="DV17" s="353">
        <v>5.0999999999999996</v>
      </c>
      <c r="DW17" s="353" t="s">
        <v>2720</v>
      </c>
      <c r="DX17" s="353" t="s">
        <v>2720</v>
      </c>
      <c r="DY17" s="353">
        <v>5.7</v>
      </c>
      <c r="DZ17" s="353">
        <v>5.7</v>
      </c>
      <c r="EA17" s="353" t="s">
        <v>2720</v>
      </c>
      <c r="EB17" s="353">
        <v>5.5</v>
      </c>
      <c r="EC17" s="353">
        <v>4.9000000000000004</v>
      </c>
      <c r="ED17" s="353">
        <v>5.5</v>
      </c>
      <c r="EE17" s="353">
        <v>5.9</v>
      </c>
      <c r="EF17" s="353">
        <v>4.2</v>
      </c>
      <c r="EG17" s="353">
        <v>7</v>
      </c>
      <c r="EH17" s="353" t="s">
        <v>2720</v>
      </c>
      <c r="EI17" s="353" t="s">
        <v>2720</v>
      </c>
      <c r="EJ17" s="353" t="s">
        <v>2720</v>
      </c>
      <c r="EK17" s="353">
        <v>5.7</v>
      </c>
      <c r="EL17" s="353" t="s">
        <v>2720</v>
      </c>
      <c r="EM17" s="354">
        <v>5.38</v>
      </c>
      <c r="EN17" s="353">
        <v>5.4</v>
      </c>
      <c r="EO17" s="353">
        <v>5.4</v>
      </c>
      <c r="EP17" s="353">
        <v>5.5</v>
      </c>
      <c r="EQ17" s="353">
        <v>5.3</v>
      </c>
      <c r="ER17" s="353">
        <v>5.0999999999999996</v>
      </c>
      <c r="ES17" s="353" t="s">
        <v>2720</v>
      </c>
      <c r="ET17" s="353">
        <v>5.0999999999999996</v>
      </c>
      <c r="EU17" s="353" t="s">
        <v>2720</v>
      </c>
      <c r="EV17" s="353" t="s">
        <v>2720</v>
      </c>
      <c r="EW17" s="353">
        <v>5.7</v>
      </c>
      <c r="EX17" s="353">
        <v>5.7</v>
      </c>
      <c r="EY17" s="353" t="s">
        <v>2720</v>
      </c>
      <c r="EZ17" s="353">
        <v>5.5</v>
      </c>
      <c r="FA17" s="353" t="s">
        <v>2720</v>
      </c>
      <c r="FB17" s="353">
        <v>5.5</v>
      </c>
      <c r="FC17" s="353">
        <v>5.9</v>
      </c>
      <c r="FD17" s="353" t="s">
        <v>2720</v>
      </c>
      <c r="FE17" s="353">
        <v>7</v>
      </c>
      <c r="FF17" s="353" t="s">
        <v>2720</v>
      </c>
      <c r="FG17" s="353" t="s">
        <v>2720</v>
      </c>
      <c r="FH17" s="353" t="s">
        <v>2720</v>
      </c>
      <c r="FI17" s="353">
        <v>5.7</v>
      </c>
      <c r="FJ17" s="353" t="s">
        <v>2720</v>
      </c>
      <c r="FK17" s="355">
        <v>5.57</v>
      </c>
      <c r="FM17" s="357"/>
    </row>
    <row r="18" spans="1:169" s="356" customFormat="1" ht="27.95" customHeight="1">
      <c r="A18" s="358">
        <v>8</v>
      </c>
      <c r="B18" s="359" t="s">
        <v>2030</v>
      </c>
      <c r="C18" s="360" t="s">
        <v>2031</v>
      </c>
      <c r="D18" s="361" t="s">
        <v>1720</v>
      </c>
      <c r="E18" s="362"/>
      <c r="F18" s="363">
        <v>0</v>
      </c>
      <c r="G18" s="364">
        <v>15</v>
      </c>
      <c r="H18" s="365">
        <v>5.4</v>
      </c>
      <c r="I18" s="366" t="s">
        <v>2720</v>
      </c>
      <c r="J18" s="365">
        <v>8.1</v>
      </c>
      <c r="K18" s="366" t="s">
        <v>2720</v>
      </c>
      <c r="L18" s="365">
        <v>5.4</v>
      </c>
      <c r="M18" s="366" t="s">
        <v>2720</v>
      </c>
      <c r="N18" s="365">
        <v>6.1</v>
      </c>
      <c r="O18" s="366" t="s">
        <v>2720</v>
      </c>
      <c r="P18" s="365">
        <v>5.9</v>
      </c>
      <c r="Q18" s="366" t="s">
        <v>2720</v>
      </c>
      <c r="R18" s="365">
        <v>5.3</v>
      </c>
      <c r="S18" s="366" t="s">
        <v>2720</v>
      </c>
      <c r="T18" s="365">
        <v>6.6</v>
      </c>
      <c r="U18" s="366" t="s">
        <v>2720</v>
      </c>
      <c r="V18" s="365" t="s">
        <v>2720</v>
      </c>
      <c r="W18" s="366" t="s">
        <v>2720</v>
      </c>
      <c r="X18" s="367" t="s">
        <v>2720</v>
      </c>
      <c r="Y18" s="368"/>
      <c r="Z18" s="331">
        <v>6.8</v>
      </c>
      <c r="AA18" s="332" t="s">
        <v>2720</v>
      </c>
      <c r="AB18" s="331">
        <v>5.6</v>
      </c>
      <c r="AC18" s="332" t="s">
        <v>2720</v>
      </c>
      <c r="AD18" s="331">
        <v>6.8</v>
      </c>
      <c r="AE18" s="332" t="s">
        <v>2720</v>
      </c>
      <c r="AF18" s="331">
        <v>6.1</v>
      </c>
      <c r="AG18" s="332" t="s">
        <v>2720</v>
      </c>
      <c r="AH18" s="331" t="s">
        <v>2720</v>
      </c>
      <c r="AI18" s="332" t="s">
        <v>2720</v>
      </c>
      <c r="AJ18" s="331">
        <v>6.8</v>
      </c>
      <c r="AK18" s="332" t="s">
        <v>2720</v>
      </c>
      <c r="AL18" s="331">
        <v>5.7</v>
      </c>
      <c r="AM18" s="333" t="s">
        <v>2720</v>
      </c>
      <c r="AN18" s="331">
        <v>5.4</v>
      </c>
      <c r="AO18" s="332" t="s">
        <v>2720</v>
      </c>
      <c r="AP18" s="331">
        <v>6.1</v>
      </c>
      <c r="AQ18" s="333" t="s">
        <v>2720</v>
      </c>
      <c r="AR18" s="331" t="s">
        <v>2720</v>
      </c>
      <c r="AS18" s="333" t="s">
        <v>2720</v>
      </c>
      <c r="AT18" s="331" t="s">
        <v>2720</v>
      </c>
      <c r="AU18" s="333" t="s">
        <v>2720</v>
      </c>
      <c r="AV18" s="331" t="s">
        <v>2720</v>
      </c>
      <c r="AW18" s="333" t="s">
        <v>2720</v>
      </c>
      <c r="AX18" s="331">
        <v>6.6</v>
      </c>
      <c r="AY18" s="368"/>
      <c r="AZ18" s="331" t="s">
        <v>2720</v>
      </c>
      <c r="BA18" s="368"/>
      <c r="BB18" s="334">
        <v>6.11</v>
      </c>
      <c r="BC18" s="335">
        <v>6.11</v>
      </c>
      <c r="BD18" s="336">
        <v>58.5</v>
      </c>
      <c r="BE18" s="369" t="s">
        <v>2764</v>
      </c>
      <c r="BF18" s="336" t="s">
        <v>2764</v>
      </c>
      <c r="BG18" s="370"/>
      <c r="BH18" s="339" t="s">
        <v>2720</v>
      </c>
      <c r="BI18" s="340">
        <v>39</v>
      </c>
      <c r="BJ18" s="341">
        <v>39</v>
      </c>
      <c r="BK18" s="341">
        <v>0</v>
      </c>
      <c r="BL18" s="341">
        <v>39</v>
      </c>
      <c r="BM18" s="342">
        <v>0</v>
      </c>
      <c r="BN18" s="371">
        <v>6.11</v>
      </c>
      <c r="BO18" s="372" t="s">
        <v>2758</v>
      </c>
      <c r="BP18" s="371">
        <v>6.11</v>
      </c>
      <c r="BQ18" s="372" t="s">
        <v>2758</v>
      </c>
      <c r="BR18" s="345" t="s">
        <v>2759</v>
      </c>
      <c r="BS18" s="373"/>
      <c r="BT18" s="347">
        <v>5.4</v>
      </c>
      <c r="BU18" s="348">
        <v>8.1</v>
      </c>
      <c r="BV18" s="348">
        <v>5.4</v>
      </c>
      <c r="BW18" s="348">
        <v>6.1</v>
      </c>
      <c r="BX18" s="349">
        <v>5.9</v>
      </c>
      <c r="BY18" s="349">
        <v>5.3</v>
      </c>
      <c r="BZ18" s="348">
        <v>6.6</v>
      </c>
      <c r="CA18" s="348" t="s">
        <v>2720</v>
      </c>
      <c r="CB18" s="348" t="s">
        <v>2720</v>
      </c>
      <c r="CC18" s="348">
        <v>6.8</v>
      </c>
      <c r="CD18" s="348">
        <v>5.6</v>
      </c>
      <c r="CE18" s="348">
        <v>6.8</v>
      </c>
      <c r="CF18" s="348">
        <v>6.1</v>
      </c>
      <c r="CG18" s="348" t="s">
        <v>2720</v>
      </c>
      <c r="CH18" s="348">
        <v>6.8</v>
      </c>
      <c r="CI18" s="348">
        <v>5.7</v>
      </c>
      <c r="CJ18" s="348">
        <v>5.4</v>
      </c>
      <c r="CK18" s="348">
        <v>6.1</v>
      </c>
      <c r="CL18" s="348" t="s">
        <v>2720</v>
      </c>
      <c r="CM18" s="349" t="s">
        <v>2720</v>
      </c>
      <c r="CN18" s="348" t="s">
        <v>2720</v>
      </c>
      <c r="CO18" s="348">
        <v>6.6</v>
      </c>
      <c r="CP18" s="348" t="s">
        <v>2720</v>
      </c>
      <c r="CQ18" s="350">
        <v>6.11</v>
      </c>
      <c r="CR18" s="348">
        <v>5.4</v>
      </c>
      <c r="CS18" s="348">
        <v>8.1</v>
      </c>
      <c r="CT18" s="348">
        <v>5.4</v>
      </c>
      <c r="CU18" s="348">
        <v>6.1</v>
      </c>
      <c r="CV18" s="348">
        <v>5.9</v>
      </c>
      <c r="CW18" s="348">
        <v>5.3</v>
      </c>
      <c r="CX18" s="348">
        <v>6.6</v>
      </c>
      <c r="CY18" s="348" t="s">
        <v>2720</v>
      </c>
      <c r="CZ18" s="348" t="s">
        <v>2720</v>
      </c>
      <c r="DA18" s="348">
        <v>6.8</v>
      </c>
      <c r="DB18" s="348">
        <v>5.6</v>
      </c>
      <c r="DC18" s="348">
        <v>6.8</v>
      </c>
      <c r="DD18" s="348">
        <v>6.1</v>
      </c>
      <c r="DE18" s="348" t="s">
        <v>2720</v>
      </c>
      <c r="DF18" s="348">
        <v>6.8</v>
      </c>
      <c r="DG18" s="348">
        <v>5.7</v>
      </c>
      <c r="DH18" s="348">
        <v>5.4</v>
      </c>
      <c r="DI18" s="348">
        <v>6.1</v>
      </c>
      <c r="DJ18" s="348" t="s">
        <v>2720</v>
      </c>
      <c r="DK18" s="348" t="s">
        <v>2720</v>
      </c>
      <c r="DL18" s="348" t="s">
        <v>2720</v>
      </c>
      <c r="DM18" s="348">
        <v>6.6</v>
      </c>
      <c r="DN18" s="348" t="s">
        <v>2720</v>
      </c>
      <c r="DO18" s="351">
        <v>6.11</v>
      </c>
      <c r="DP18" s="374">
        <v>5.4</v>
      </c>
      <c r="DQ18" s="353">
        <v>8.1</v>
      </c>
      <c r="DR18" s="353">
        <v>5.4</v>
      </c>
      <c r="DS18" s="353">
        <v>6.1</v>
      </c>
      <c r="DT18" s="353">
        <v>5.9</v>
      </c>
      <c r="DU18" s="353">
        <v>5.3</v>
      </c>
      <c r="DV18" s="353">
        <v>6.6</v>
      </c>
      <c r="DW18" s="353" t="s">
        <v>2720</v>
      </c>
      <c r="DX18" s="353" t="s">
        <v>2720</v>
      </c>
      <c r="DY18" s="353">
        <v>6.8</v>
      </c>
      <c r="DZ18" s="353">
        <v>5.6</v>
      </c>
      <c r="EA18" s="353">
        <v>6.8</v>
      </c>
      <c r="EB18" s="353">
        <v>6.1</v>
      </c>
      <c r="EC18" s="353" t="s">
        <v>2720</v>
      </c>
      <c r="ED18" s="353">
        <v>6.8</v>
      </c>
      <c r="EE18" s="353">
        <v>5.7</v>
      </c>
      <c r="EF18" s="353">
        <v>5.4</v>
      </c>
      <c r="EG18" s="353">
        <v>6.1</v>
      </c>
      <c r="EH18" s="353" t="s">
        <v>2720</v>
      </c>
      <c r="EI18" s="353" t="s">
        <v>2720</v>
      </c>
      <c r="EJ18" s="353" t="s">
        <v>2720</v>
      </c>
      <c r="EK18" s="353">
        <v>6.6</v>
      </c>
      <c r="EL18" s="353" t="s">
        <v>2720</v>
      </c>
      <c r="EM18" s="354">
        <v>6.11</v>
      </c>
      <c r="EN18" s="353">
        <v>5.4</v>
      </c>
      <c r="EO18" s="353">
        <v>8.1</v>
      </c>
      <c r="EP18" s="353">
        <v>5.4</v>
      </c>
      <c r="EQ18" s="353">
        <v>6.1</v>
      </c>
      <c r="ER18" s="353">
        <v>5.9</v>
      </c>
      <c r="ES18" s="353">
        <v>5.3</v>
      </c>
      <c r="ET18" s="353">
        <v>6.6</v>
      </c>
      <c r="EU18" s="353" t="s">
        <v>2720</v>
      </c>
      <c r="EV18" s="353" t="s">
        <v>2720</v>
      </c>
      <c r="EW18" s="353">
        <v>6.8</v>
      </c>
      <c r="EX18" s="353">
        <v>5.6</v>
      </c>
      <c r="EY18" s="353">
        <v>6.8</v>
      </c>
      <c r="EZ18" s="353">
        <v>6.1</v>
      </c>
      <c r="FA18" s="353" t="s">
        <v>2720</v>
      </c>
      <c r="FB18" s="353">
        <v>6.8</v>
      </c>
      <c r="FC18" s="353">
        <v>5.7</v>
      </c>
      <c r="FD18" s="353">
        <v>5.4</v>
      </c>
      <c r="FE18" s="353">
        <v>6.1</v>
      </c>
      <c r="FF18" s="353" t="s">
        <v>2720</v>
      </c>
      <c r="FG18" s="353" t="s">
        <v>2720</v>
      </c>
      <c r="FH18" s="353" t="s">
        <v>2720</v>
      </c>
      <c r="FI18" s="353">
        <v>6.6</v>
      </c>
      <c r="FJ18" s="353" t="s">
        <v>2720</v>
      </c>
      <c r="FK18" s="355">
        <v>6.11</v>
      </c>
      <c r="FM18" s="357"/>
    </row>
    <row r="19" spans="1:169" s="356" customFormat="1" ht="27.95" customHeight="1">
      <c r="A19" s="358">
        <v>9</v>
      </c>
      <c r="B19" s="359" t="s">
        <v>2032</v>
      </c>
      <c r="C19" s="360" t="s">
        <v>1546</v>
      </c>
      <c r="D19" s="361" t="s">
        <v>1436</v>
      </c>
      <c r="E19" s="362"/>
      <c r="F19" s="363">
        <v>0</v>
      </c>
      <c r="G19" s="364">
        <v>3</v>
      </c>
      <c r="H19" s="365">
        <v>6</v>
      </c>
      <c r="I19" s="366" t="s">
        <v>2720</v>
      </c>
      <c r="J19" s="365">
        <v>6.1</v>
      </c>
      <c r="K19" s="366" t="s">
        <v>2720</v>
      </c>
      <c r="L19" s="365">
        <v>7.3</v>
      </c>
      <c r="M19" s="366" t="s">
        <v>2720</v>
      </c>
      <c r="N19" s="365">
        <v>5.5</v>
      </c>
      <c r="O19" s="366" t="s">
        <v>2720</v>
      </c>
      <c r="P19" s="365">
        <v>5.4</v>
      </c>
      <c r="Q19" s="366" t="s">
        <v>2720</v>
      </c>
      <c r="R19" s="365">
        <v>5</v>
      </c>
      <c r="S19" s="366" t="s">
        <v>2720</v>
      </c>
      <c r="T19" s="365">
        <v>6.2</v>
      </c>
      <c r="U19" s="366" t="s">
        <v>2720</v>
      </c>
      <c r="V19" s="365" t="s">
        <v>2720</v>
      </c>
      <c r="W19" s="366" t="s">
        <v>2720</v>
      </c>
      <c r="X19" s="367" t="s">
        <v>2720</v>
      </c>
      <c r="Y19" s="368"/>
      <c r="Z19" s="331">
        <v>6.1</v>
      </c>
      <c r="AA19" s="332" t="s">
        <v>2720</v>
      </c>
      <c r="AB19" s="331">
        <v>6.2</v>
      </c>
      <c r="AC19" s="332" t="s">
        <v>2720</v>
      </c>
      <c r="AD19" s="331">
        <v>5.9</v>
      </c>
      <c r="AE19" s="332" t="s">
        <v>2720</v>
      </c>
      <c r="AF19" s="331" t="s">
        <v>2720</v>
      </c>
      <c r="AG19" s="332" t="s">
        <v>2720</v>
      </c>
      <c r="AH19" s="331">
        <v>6.5</v>
      </c>
      <c r="AI19" s="332" t="s">
        <v>2720</v>
      </c>
      <c r="AJ19" s="331">
        <v>6.1</v>
      </c>
      <c r="AK19" s="332" t="s">
        <v>2720</v>
      </c>
      <c r="AL19" s="331">
        <v>6.2</v>
      </c>
      <c r="AM19" s="333" t="s">
        <v>2720</v>
      </c>
      <c r="AN19" s="331">
        <v>3.8</v>
      </c>
      <c r="AO19" s="332">
        <v>4.2</v>
      </c>
      <c r="AP19" s="331">
        <v>5.2</v>
      </c>
      <c r="AQ19" s="333" t="s">
        <v>2720</v>
      </c>
      <c r="AR19" s="331" t="s">
        <v>2720</v>
      </c>
      <c r="AS19" s="333" t="s">
        <v>2720</v>
      </c>
      <c r="AT19" s="331" t="s">
        <v>2720</v>
      </c>
      <c r="AU19" s="333" t="s">
        <v>2720</v>
      </c>
      <c r="AV19" s="331" t="s">
        <v>2720</v>
      </c>
      <c r="AW19" s="333" t="s">
        <v>2720</v>
      </c>
      <c r="AX19" s="331">
        <v>5.7</v>
      </c>
      <c r="AY19" s="368"/>
      <c r="AZ19" s="331" t="s">
        <v>2720</v>
      </c>
      <c r="BA19" s="368"/>
      <c r="BB19" s="334">
        <v>5.77</v>
      </c>
      <c r="BC19" s="335">
        <v>5.79</v>
      </c>
      <c r="BD19" s="336">
        <v>60</v>
      </c>
      <c r="BE19" s="369" t="s">
        <v>2760</v>
      </c>
      <c r="BF19" s="336" t="s">
        <v>2760</v>
      </c>
      <c r="BG19" s="370"/>
      <c r="BH19" s="339" t="s">
        <v>2720</v>
      </c>
      <c r="BI19" s="340">
        <v>39</v>
      </c>
      <c r="BJ19" s="341">
        <v>37</v>
      </c>
      <c r="BK19" s="341">
        <v>2</v>
      </c>
      <c r="BL19" s="341">
        <v>37</v>
      </c>
      <c r="BM19" s="342">
        <v>2</v>
      </c>
      <c r="BN19" s="371">
        <v>5.88</v>
      </c>
      <c r="BO19" s="372" t="s">
        <v>2758</v>
      </c>
      <c r="BP19" s="371">
        <v>5.88</v>
      </c>
      <c r="BQ19" s="372" t="s">
        <v>2758</v>
      </c>
      <c r="BR19" s="345" t="s">
        <v>2759</v>
      </c>
      <c r="BS19" s="373"/>
      <c r="BT19" s="347">
        <v>6</v>
      </c>
      <c r="BU19" s="348">
        <v>6.1</v>
      </c>
      <c r="BV19" s="348">
        <v>7.3</v>
      </c>
      <c r="BW19" s="348">
        <v>5.5</v>
      </c>
      <c r="BX19" s="349">
        <v>5.4</v>
      </c>
      <c r="BY19" s="349">
        <v>5</v>
      </c>
      <c r="BZ19" s="348">
        <v>6.2</v>
      </c>
      <c r="CA19" s="348" t="s">
        <v>2720</v>
      </c>
      <c r="CB19" s="348" t="s">
        <v>2720</v>
      </c>
      <c r="CC19" s="348">
        <v>6.1</v>
      </c>
      <c r="CD19" s="348">
        <v>6.2</v>
      </c>
      <c r="CE19" s="348">
        <v>5.9</v>
      </c>
      <c r="CF19" s="348" t="s">
        <v>2720</v>
      </c>
      <c r="CG19" s="348">
        <v>6.5</v>
      </c>
      <c r="CH19" s="348">
        <v>6.1</v>
      </c>
      <c r="CI19" s="348">
        <v>6.2</v>
      </c>
      <c r="CJ19" s="348">
        <v>3.8</v>
      </c>
      <c r="CK19" s="348">
        <v>5.2</v>
      </c>
      <c r="CL19" s="348" t="s">
        <v>2720</v>
      </c>
      <c r="CM19" s="349" t="s">
        <v>2720</v>
      </c>
      <c r="CN19" s="348" t="s">
        <v>2720</v>
      </c>
      <c r="CO19" s="348">
        <v>5.7</v>
      </c>
      <c r="CP19" s="348" t="s">
        <v>2720</v>
      </c>
      <c r="CQ19" s="350">
        <v>5.77</v>
      </c>
      <c r="CR19" s="348">
        <v>6</v>
      </c>
      <c r="CS19" s="348">
        <v>6.1</v>
      </c>
      <c r="CT19" s="348">
        <v>7.3</v>
      </c>
      <c r="CU19" s="348">
        <v>5.5</v>
      </c>
      <c r="CV19" s="348">
        <v>5.4</v>
      </c>
      <c r="CW19" s="348">
        <v>5</v>
      </c>
      <c r="CX19" s="348">
        <v>6.2</v>
      </c>
      <c r="CY19" s="348" t="s">
        <v>2720</v>
      </c>
      <c r="CZ19" s="348" t="s">
        <v>2720</v>
      </c>
      <c r="DA19" s="348">
        <v>6.1</v>
      </c>
      <c r="DB19" s="348">
        <v>6.2</v>
      </c>
      <c r="DC19" s="348">
        <v>5.9</v>
      </c>
      <c r="DD19" s="348" t="s">
        <v>2720</v>
      </c>
      <c r="DE19" s="348">
        <v>6.5</v>
      </c>
      <c r="DF19" s="348">
        <v>6.1</v>
      </c>
      <c r="DG19" s="348">
        <v>6.2</v>
      </c>
      <c r="DH19" s="348" t="s">
        <v>2720</v>
      </c>
      <c r="DI19" s="348">
        <v>5.2</v>
      </c>
      <c r="DJ19" s="348" t="s">
        <v>2720</v>
      </c>
      <c r="DK19" s="348" t="s">
        <v>2720</v>
      </c>
      <c r="DL19" s="348" t="s">
        <v>2720</v>
      </c>
      <c r="DM19" s="348">
        <v>5.7</v>
      </c>
      <c r="DN19" s="348" t="s">
        <v>2720</v>
      </c>
      <c r="DO19" s="351">
        <v>5.88</v>
      </c>
      <c r="DP19" s="374">
        <v>6</v>
      </c>
      <c r="DQ19" s="353">
        <v>6.1</v>
      </c>
      <c r="DR19" s="353">
        <v>7.3</v>
      </c>
      <c r="DS19" s="353">
        <v>5.5</v>
      </c>
      <c r="DT19" s="353">
        <v>5.4</v>
      </c>
      <c r="DU19" s="353">
        <v>5</v>
      </c>
      <c r="DV19" s="353">
        <v>6.2</v>
      </c>
      <c r="DW19" s="353" t="s">
        <v>2720</v>
      </c>
      <c r="DX19" s="353" t="s">
        <v>2720</v>
      </c>
      <c r="DY19" s="353">
        <v>6.1</v>
      </c>
      <c r="DZ19" s="353">
        <v>6.2</v>
      </c>
      <c r="EA19" s="353">
        <v>5.9</v>
      </c>
      <c r="EB19" s="353" t="s">
        <v>2720</v>
      </c>
      <c r="EC19" s="353">
        <v>6.5</v>
      </c>
      <c r="ED19" s="353">
        <v>6.1</v>
      </c>
      <c r="EE19" s="353">
        <v>6.2</v>
      </c>
      <c r="EF19" s="353">
        <v>4.2</v>
      </c>
      <c r="EG19" s="353">
        <v>5.2</v>
      </c>
      <c r="EH19" s="353" t="s">
        <v>2720</v>
      </c>
      <c r="EI19" s="353" t="s">
        <v>2720</v>
      </c>
      <c r="EJ19" s="353" t="s">
        <v>2720</v>
      </c>
      <c r="EK19" s="353">
        <v>5.7</v>
      </c>
      <c r="EL19" s="353" t="s">
        <v>2720</v>
      </c>
      <c r="EM19" s="354">
        <v>5.79</v>
      </c>
      <c r="EN19" s="353">
        <v>6</v>
      </c>
      <c r="EO19" s="353">
        <v>6.1</v>
      </c>
      <c r="EP19" s="353">
        <v>7.3</v>
      </c>
      <c r="EQ19" s="353">
        <v>5.5</v>
      </c>
      <c r="ER19" s="353">
        <v>5.4</v>
      </c>
      <c r="ES19" s="353">
        <v>5</v>
      </c>
      <c r="ET19" s="353">
        <v>6.2</v>
      </c>
      <c r="EU19" s="353" t="s">
        <v>2720</v>
      </c>
      <c r="EV19" s="353" t="s">
        <v>2720</v>
      </c>
      <c r="EW19" s="353">
        <v>6.1</v>
      </c>
      <c r="EX19" s="353">
        <v>6.2</v>
      </c>
      <c r="EY19" s="353">
        <v>5.9</v>
      </c>
      <c r="EZ19" s="353" t="s">
        <v>2720</v>
      </c>
      <c r="FA19" s="353">
        <v>6.5</v>
      </c>
      <c r="FB19" s="353">
        <v>6.1</v>
      </c>
      <c r="FC19" s="353">
        <v>6.2</v>
      </c>
      <c r="FD19" s="353" t="s">
        <v>2720</v>
      </c>
      <c r="FE19" s="353">
        <v>5.2</v>
      </c>
      <c r="FF19" s="353" t="s">
        <v>2720</v>
      </c>
      <c r="FG19" s="353" t="s">
        <v>2720</v>
      </c>
      <c r="FH19" s="353" t="s">
        <v>2720</v>
      </c>
      <c r="FI19" s="353">
        <v>5.7</v>
      </c>
      <c r="FJ19" s="353" t="s">
        <v>2720</v>
      </c>
      <c r="FK19" s="355">
        <v>5.88</v>
      </c>
      <c r="FM19" s="357"/>
    </row>
    <row r="20" spans="1:169" s="356" customFormat="1" ht="27.95" customHeight="1">
      <c r="A20" s="358">
        <v>10</v>
      </c>
      <c r="B20" s="359" t="s">
        <v>2034</v>
      </c>
      <c r="C20" s="360" t="s">
        <v>1941</v>
      </c>
      <c r="D20" s="361" t="s">
        <v>1438</v>
      </c>
      <c r="E20" s="362"/>
      <c r="F20" s="363">
        <v>3</v>
      </c>
      <c r="G20" s="364">
        <v>19</v>
      </c>
      <c r="H20" s="365">
        <v>5.9</v>
      </c>
      <c r="I20" s="366" t="s">
        <v>2720</v>
      </c>
      <c r="J20" s="365">
        <v>5.8</v>
      </c>
      <c r="K20" s="366" t="s">
        <v>2720</v>
      </c>
      <c r="L20" s="365">
        <v>5</v>
      </c>
      <c r="M20" s="366" t="s">
        <v>2720</v>
      </c>
      <c r="N20" s="365">
        <v>5.5</v>
      </c>
      <c r="O20" s="366" t="s">
        <v>2720</v>
      </c>
      <c r="P20" s="365">
        <v>5.2</v>
      </c>
      <c r="Q20" s="366" t="s">
        <v>2720</v>
      </c>
      <c r="R20" s="365">
        <v>6.7</v>
      </c>
      <c r="S20" s="366" t="s">
        <v>2720</v>
      </c>
      <c r="T20" s="365">
        <v>6.6</v>
      </c>
      <c r="U20" s="366" t="s">
        <v>2720</v>
      </c>
      <c r="V20" s="365" t="s">
        <v>2720</v>
      </c>
      <c r="W20" s="366" t="s">
        <v>2720</v>
      </c>
      <c r="X20" s="367" t="s">
        <v>2720</v>
      </c>
      <c r="Y20" s="368"/>
      <c r="Z20" s="331">
        <v>3.5</v>
      </c>
      <c r="AA20" s="332">
        <v>3.5</v>
      </c>
      <c r="AB20" s="331">
        <v>4.7</v>
      </c>
      <c r="AC20" s="332">
        <v>4.7</v>
      </c>
      <c r="AD20" s="331" t="s">
        <v>2720</v>
      </c>
      <c r="AE20" s="332" t="s">
        <v>2720</v>
      </c>
      <c r="AF20" s="331">
        <v>4.4000000000000004</v>
      </c>
      <c r="AG20" s="332">
        <v>5.8</v>
      </c>
      <c r="AH20" s="331">
        <v>4.5</v>
      </c>
      <c r="AI20" s="332">
        <v>4.5</v>
      </c>
      <c r="AJ20" s="331">
        <v>5.8</v>
      </c>
      <c r="AK20" s="332" t="s">
        <v>2720</v>
      </c>
      <c r="AL20" s="331">
        <v>5.6</v>
      </c>
      <c r="AM20" s="333" t="s">
        <v>2720</v>
      </c>
      <c r="AN20" s="331">
        <v>2</v>
      </c>
      <c r="AO20" s="332">
        <v>3.2</v>
      </c>
      <c r="AP20" s="331">
        <v>5.9</v>
      </c>
      <c r="AQ20" s="333" t="s">
        <v>2720</v>
      </c>
      <c r="AR20" s="331" t="s">
        <v>2720</v>
      </c>
      <c r="AS20" s="333" t="s">
        <v>2720</v>
      </c>
      <c r="AT20" s="331" t="s">
        <v>2720</v>
      </c>
      <c r="AU20" s="333" t="s">
        <v>2720</v>
      </c>
      <c r="AV20" s="331" t="s">
        <v>2720</v>
      </c>
      <c r="AW20" s="333" t="s">
        <v>2720</v>
      </c>
      <c r="AX20" s="331">
        <v>6.3</v>
      </c>
      <c r="AY20" s="368"/>
      <c r="AZ20" s="331" t="s">
        <v>2720</v>
      </c>
      <c r="BA20" s="368"/>
      <c r="BB20" s="334">
        <v>5.35</v>
      </c>
      <c r="BC20" s="335">
        <v>5.48</v>
      </c>
      <c r="BD20" s="336">
        <v>57</v>
      </c>
      <c r="BE20" s="369" t="s">
        <v>2760</v>
      </c>
      <c r="BF20" s="336" t="s">
        <v>2760</v>
      </c>
      <c r="BG20" s="370"/>
      <c r="BH20" s="339" t="s">
        <v>2720</v>
      </c>
      <c r="BI20" s="340">
        <v>39</v>
      </c>
      <c r="BJ20" s="341">
        <v>28</v>
      </c>
      <c r="BK20" s="341">
        <v>11</v>
      </c>
      <c r="BL20" s="341">
        <v>30</v>
      </c>
      <c r="BM20" s="342">
        <v>9</v>
      </c>
      <c r="BN20" s="371">
        <v>5.91</v>
      </c>
      <c r="BO20" s="372" t="s">
        <v>2758</v>
      </c>
      <c r="BP20" s="371">
        <v>5.91</v>
      </c>
      <c r="BQ20" s="372" t="s">
        <v>2758</v>
      </c>
      <c r="BR20" s="345" t="s">
        <v>2761</v>
      </c>
      <c r="BS20" s="373"/>
      <c r="BT20" s="347">
        <v>5.9</v>
      </c>
      <c r="BU20" s="348">
        <v>5.8</v>
      </c>
      <c r="BV20" s="348">
        <v>5</v>
      </c>
      <c r="BW20" s="348">
        <v>5.5</v>
      </c>
      <c r="BX20" s="349">
        <v>5.2</v>
      </c>
      <c r="BY20" s="349">
        <v>6.7</v>
      </c>
      <c r="BZ20" s="348">
        <v>6.6</v>
      </c>
      <c r="CA20" s="348" t="s">
        <v>2720</v>
      </c>
      <c r="CB20" s="348" t="s">
        <v>2720</v>
      </c>
      <c r="CC20" s="348">
        <v>3.5</v>
      </c>
      <c r="CD20" s="348">
        <v>4.7</v>
      </c>
      <c r="CE20" s="348" t="s">
        <v>2720</v>
      </c>
      <c r="CF20" s="348">
        <v>4.4000000000000004</v>
      </c>
      <c r="CG20" s="348">
        <v>4.5</v>
      </c>
      <c r="CH20" s="348">
        <v>5.8</v>
      </c>
      <c r="CI20" s="348">
        <v>5.6</v>
      </c>
      <c r="CJ20" s="348">
        <v>2</v>
      </c>
      <c r="CK20" s="348">
        <v>5.9</v>
      </c>
      <c r="CL20" s="348" t="s">
        <v>2720</v>
      </c>
      <c r="CM20" s="349" t="s">
        <v>2720</v>
      </c>
      <c r="CN20" s="348" t="s">
        <v>2720</v>
      </c>
      <c r="CO20" s="348">
        <v>6.3</v>
      </c>
      <c r="CP20" s="348" t="s">
        <v>2720</v>
      </c>
      <c r="CQ20" s="350">
        <v>5.35</v>
      </c>
      <c r="CR20" s="348">
        <v>5.9</v>
      </c>
      <c r="CS20" s="348">
        <v>5.8</v>
      </c>
      <c r="CT20" s="348">
        <v>5</v>
      </c>
      <c r="CU20" s="348">
        <v>5.5</v>
      </c>
      <c r="CV20" s="348">
        <v>5.2</v>
      </c>
      <c r="CW20" s="348">
        <v>6.7</v>
      </c>
      <c r="CX20" s="348">
        <v>6.6</v>
      </c>
      <c r="CY20" s="348" t="s">
        <v>2720</v>
      </c>
      <c r="CZ20" s="348" t="s">
        <v>2720</v>
      </c>
      <c r="DA20" s="348" t="s">
        <v>2720</v>
      </c>
      <c r="DB20" s="348" t="s">
        <v>2720</v>
      </c>
      <c r="DC20" s="348" t="s">
        <v>2720</v>
      </c>
      <c r="DD20" s="348" t="s">
        <v>2720</v>
      </c>
      <c r="DE20" s="348" t="s">
        <v>2720</v>
      </c>
      <c r="DF20" s="348">
        <v>5.8</v>
      </c>
      <c r="DG20" s="348">
        <v>5.6</v>
      </c>
      <c r="DH20" s="348" t="s">
        <v>2720</v>
      </c>
      <c r="DI20" s="348">
        <v>5.9</v>
      </c>
      <c r="DJ20" s="348" t="s">
        <v>2720</v>
      </c>
      <c r="DK20" s="348" t="s">
        <v>2720</v>
      </c>
      <c r="DL20" s="348" t="s">
        <v>2720</v>
      </c>
      <c r="DM20" s="348">
        <v>6.3</v>
      </c>
      <c r="DN20" s="348" t="s">
        <v>2720</v>
      </c>
      <c r="DO20" s="351">
        <v>5.91</v>
      </c>
      <c r="DP20" s="374">
        <v>5.9</v>
      </c>
      <c r="DQ20" s="353">
        <v>5.8</v>
      </c>
      <c r="DR20" s="353">
        <v>5</v>
      </c>
      <c r="DS20" s="353">
        <v>5.5</v>
      </c>
      <c r="DT20" s="353">
        <v>5.2</v>
      </c>
      <c r="DU20" s="353">
        <v>6.7</v>
      </c>
      <c r="DV20" s="353">
        <v>6.6</v>
      </c>
      <c r="DW20" s="353" t="s">
        <v>2720</v>
      </c>
      <c r="DX20" s="353" t="s">
        <v>2720</v>
      </c>
      <c r="DY20" s="353">
        <v>3.5</v>
      </c>
      <c r="DZ20" s="353">
        <v>4.7</v>
      </c>
      <c r="EA20" s="353" t="s">
        <v>2720</v>
      </c>
      <c r="EB20" s="353">
        <v>5.8</v>
      </c>
      <c r="EC20" s="353">
        <v>4.5</v>
      </c>
      <c r="ED20" s="353">
        <v>5.8</v>
      </c>
      <c r="EE20" s="353">
        <v>5.6</v>
      </c>
      <c r="EF20" s="353">
        <v>3.2</v>
      </c>
      <c r="EG20" s="353">
        <v>5.9</v>
      </c>
      <c r="EH20" s="353" t="s">
        <v>2720</v>
      </c>
      <c r="EI20" s="353" t="s">
        <v>2720</v>
      </c>
      <c r="EJ20" s="353" t="s">
        <v>2720</v>
      </c>
      <c r="EK20" s="353">
        <v>6.3</v>
      </c>
      <c r="EL20" s="353" t="s">
        <v>2720</v>
      </c>
      <c r="EM20" s="354">
        <v>5.48</v>
      </c>
      <c r="EN20" s="353">
        <v>5.9</v>
      </c>
      <c r="EO20" s="353">
        <v>5.8</v>
      </c>
      <c r="EP20" s="353">
        <v>5</v>
      </c>
      <c r="EQ20" s="353">
        <v>5.5</v>
      </c>
      <c r="ER20" s="353">
        <v>5.2</v>
      </c>
      <c r="ES20" s="353">
        <v>6.7</v>
      </c>
      <c r="ET20" s="353">
        <v>6.6</v>
      </c>
      <c r="EU20" s="353" t="s">
        <v>2720</v>
      </c>
      <c r="EV20" s="353" t="s">
        <v>2720</v>
      </c>
      <c r="EW20" s="353" t="s">
        <v>2720</v>
      </c>
      <c r="EX20" s="353" t="s">
        <v>2720</v>
      </c>
      <c r="EY20" s="353" t="s">
        <v>2720</v>
      </c>
      <c r="EZ20" s="353">
        <v>5.8</v>
      </c>
      <c r="FA20" s="353" t="s">
        <v>2720</v>
      </c>
      <c r="FB20" s="353">
        <v>5.8</v>
      </c>
      <c r="FC20" s="353">
        <v>5.6</v>
      </c>
      <c r="FD20" s="353" t="s">
        <v>2720</v>
      </c>
      <c r="FE20" s="353">
        <v>5.9</v>
      </c>
      <c r="FF20" s="353" t="s">
        <v>2720</v>
      </c>
      <c r="FG20" s="353" t="s">
        <v>2720</v>
      </c>
      <c r="FH20" s="353" t="s">
        <v>2720</v>
      </c>
      <c r="FI20" s="353">
        <v>6.3</v>
      </c>
      <c r="FJ20" s="353" t="s">
        <v>2720</v>
      </c>
      <c r="FK20" s="355">
        <v>5.91</v>
      </c>
      <c r="FM20" s="357"/>
    </row>
    <row r="21" spans="1:169" s="356" customFormat="1" ht="27.95" customHeight="1">
      <c r="A21" s="358">
        <v>11</v>
      </c>
      <c r="B21" s="359" t="s">
        <v>2036</v>
      </c>
      <c r="C21" s="360" t="s">
        <v>2037</v>
      </c>
      <c r="D21" s="361" t="s">
        <v>1952</v>
      </c>
      <c r="E21" s="362"/>
      <c r="F21" s="363">
        <v>0</v>
      </c>
      <c r="G21" s="364">
        <v>14</v>
      </c>
      <c r="H21" s="365">
        <v>5</v>
      </c>
      <c r="I21" s="366" t="s">
        <v>2720</v>
      </c>
      <c r="J21" s="365">
        <v>5.5</v>
      </c>
      <c r="K21" s="366" t="s">
        <v>2720</v>
      </c>
      <c r="L21" s="365">
        <v>5</v>
      </c>
      <c r="M21" s="366" t="s">
        <v>2720</v>
      </c>
      <c r="N21" s="365">
        <v>5.2</v>
      </c>
      <c r="O21" s="366" t="s">
        <v>2720</v>
      </c>
      <c r="P21" s="365">
        <v>5.9</v>
      </c>
      <c r="Q21" s="366" t="s">
        <v>2720</v>
      </c>
      <c r="R21" s="365">
        <v>6.8</v>
      </c>
      <c r="S21" s="366" t="s">
        <v>2720</v>
      </c>
      <c r="T21" s="365">
        <v>6.4</v>
      </c>
      <c r="U21" s="366" t="s">
        <v>2720</v>
      </c>
      <c r="V21" s="365" t="s">
        <v>2720</v>
      </c>
      <c r="W21" s="366" t="s">
        <v>2720</v>
      </c>
      <c r="X21" s="367" t="s">
        <v>2720</v>
      </c>
      <c r="Y21" s="368"/>
      <c r="Z21" s="331">
        <v>5.5</v>
      </c>
      <c r="AA21" s="332" t="s">
        <v>2720</v>
      </c>
      <c r="AB21" s="331">
        <v>5.4</v>
      </c>
      <c r="AC21" s="332" t="s">
        <v>2720</v>
      </c>
      <c r="AD21" s="331" t="s">
        <v>2720</v>
      </c>
      <c r="AE21" s="332" t="s">
        <v>2720</v>
      </c>
      <c r="AF21" s="331">
        <v>4.8</v>
      </c>
      <c r="AG21" s="332">
        <v>6.1</v>
      </c>
      <c r="AH21" s="331">
        <v>3.2</v>
      </c>
      <c r="AI21" s="332">
        <v>5.7</v>
      </c>
      <c r="AJ21" s="331">
        <v>7.1</v>
      </c>
      <c r="AK21" s="332" t="s">
        <v>2720</v>
      </c>
      <c r="AL21" s="331">
        <v>6</v>
      </c>
      <c r="AM21" s="333" t="s">
        <v>2720</v>
      </c>
      <c r="AN21" s="331">
        <v>1.7</v>
      </c>
      <c r="AO21" s="332" t="s">
        <v>2720</v>
      </c>
      <c r="AP21" s="331">
        <v>6.4</v>
      </c>
      <c r="AQ21" s="333" t="s">
        <v>2720</v>
      </c>
      <c r="AR21" s="331" t="s">
        <v>2720</v>
      </c>
      <c r="AS21" s="333" t="s">
        <v>2720</v>
      </c>
      <c r="AT21" s="331" t="s">
        <v>2720</v>
      </c>
      <c r="AU21" s="333" t="s">
        <v>2720</v>
      </c>
      <c r="AV21" s="331" t="s">
        <v>2720</v>
      </c>
      <c r="AW21" s="333" t="s">
        <v>2720</v>
      </c>
      <c r="AX21" s="331">
        <v>6.8</v>
      </c>
      <c r="AY21" s="368"/>
      <c r="AZ21" s="331" t="s">
        <v>2720</v>
      </c>
      <c r="BA21" s="368"/>
      <c r="BB21" s="334">
        <v>5.53</v>
      </c>
      <c r="BC21" s="335">
        <v>5.72</v>
      </c>
      <c r="BD21" s="336">
        <v>59.5</v>
      </c>
      <c r="BE21" s="369" t="s">
        <v>2760</v>
      </c>
      <c r="BF21" s="336" t="s">
        <v>2760</v>
      </c>
      <c r="BG21" s="370"/>
      <c r="BH21" s="339" t="s">
        <v>2720</v>
      </c>
      <c r="BI21" s="340">
        <v>39</v>
      </c>
      <c r="BJ21" s="341">
        <v>33</v>
      </c>
      <c r="BK21" s="341">
        <v>6</v>
      </c>
      <c r="BL21" s="341">
        <v>37</v>
      </c>
      <c r="BM21" s="342">
        <v>2</v>
      </c>
      <c r="BN21" s="371">
        <v>5.95</v>
      </c>
      <c r="BO21" s="372" t="s">
        <v>2758</v>
      </c>
      <c r="BP21" s="371">
        <v>5.94</v>
      </c>
      <c r="BQ21" s="372" t="s">
        <v>2758</v>
      </c>
      <c r="BR21" s="345" t="s">
        <v>2759</v>
      </c>
      <c r="BS21" s="373"/>
      <c r="BT21" s="347">
        <v>5</v>
      </c>
      <c r="BU21" s="348">
        <v>5.5</v>
      </c>
      <c r="BV21" s="348">
        <v>5</v>
      </c>
      <c r="BW21" s="348">
        <v>5.2</v>
      </c>
      <c r="BX21" s="349">
        <v>5.9</v>
      </c>
      <c r="BY21" s="349">
        <v>6.8</v>
      </c>
      <c r="BZ21" s="348">
        <v>6.4</v>
      </c>
      <c r="CA21" s="348" t="s">
        <v>2720</v>
      </c>
      <c r="CB21" s="348" t="s">
        <v>2720</v>
      </c>
      <c r="CC21" s="348">
        <v>5.5</v>
      </c>
      <c r="CD21" s="348">
        <v>5.4</v>
      </c>
      <c r="CE21" s="348" t="s">
        <v>2720</v>
      </c>
      <c r="CF21" s="348">
        <v>4.8</v>
      </c>
      <c r="CG21" s="348">
        <v>3.2</v>
      </c>
      <c r="CH21" s="348">
        <v>7.1</v>
      </c>
      <c r="CI21" s="348">
        <v>6</v>
      </c>
      <c r="CJ21" s="348">
        <v>1.7</v>
      </c>
      <c r="CK21" s="348">
        <v>6.4</v>
      </c>
      <c r="CL21" s="348" t="s">
        <v>2720</v>
      </c>
      <c r="CM21" s="349" t="s">
        <v>2720</v>
      </c>
      <c r="CN21" s="348" t="s">
        <v>2720</v>
      </c>
      <c r="CO21" s="348">
        <v>6.8</v>
      </c>
      <c r="CP21" s="348" t="s">
        <v>2720</v>
      </c>
      <c r="CQ21" s="350">
        <v>5.53</v>
      </c>
      <c r="CR21" s="348">
        <v>5</v>
      </c>
      <c r="CS21" s="348">
        <v>5.5</v>
      </c>
      <c r="CT21" s="348">
        <v>5</v>
      </c>
      <c r="CU21" s="348">
        <v>5.2</v>
      </c>
      <c r="CV21" s="348">
        <v>5.9</v>
      </c>
      <c r="CW21" s="348">
        <v>6.8</v>
      </c>
      <c r="CX21" s="348">
        <v>6.4</v>
      </c>
      <c r="CY21" s="348" t="s">
        <v>2720</v>
      </c>
      <c r="CZ21" s="348" t="s">
        <v>2720</v>
      </c>
      <c r="DA21" s="348">
        <v>5.5</v>
      </c>
      <c r="DB21" s="348">
        <v>5.4</v>
      </c>
      <c r="DC21" s="348" t="s">
        <v>2720</v>
      </c>
      <c r="DD21" s="348" t="s">
        <v>2720</v>
      </c>
      <c r="DE21" s="348" t="s">
        <v>2720</v>
      </c>
      <c r="DF21" s="348">
        <v>7.1</v>
      </c>
      <c r="DG21" s="348">
        <v>6</v>
      </c>
      <c r="DH21" s="348" t="s">
        <v>2720</v>
      </c>
      <c r="DI21" s="348">
        <v>6.4</v>
      </c>
      <c r="DJ21" s="348" t="s">
        <v>2720</v>
      </c>
      <c r="DK21" s="348" t="s">
        <v>2720</v>
      </c>
      <c r="DL21" s="348" t="s">
        <v>2720</v>
      </c>
      <c r="DM21" s="348">
        <v>6.8</v>
      </c>
      <c r="DN21" s="348" t="s">
        <v>2720</v>
      </c>
      <c r="DO21" s="351">
        <v>5.95</v>
      </c>
      <c r="DP21" s="374">
        <v>5</v>
      </c>
      <c r="DQ21" s="353">
        <v>5.5</v>
      </c>
      <c r="DR21" s="353">
        <v>5</v>
      </c>
      <c r="DS21" s="353">
        <v>5.2</v>
      </c>
      <c r="DT21" s="353">
        <v>5.9</v>
      </c>
      <c r="DU21" s="353">
        <v>6.8</v>
      </c>
      <c r="DV21" s="353">
        <v>6.4</v>
      </c>
      <c r="DW21" s="353" t="s">
        <v>2720</v>
      </c>
      <c r="DX21" s="353" t="s">
        <v>2720</v>
      </c>
      <c r="DY21" s="353">
        <v>5.5</v>
      </c>
      <c r="DZ21" s="353">
        <v>5.4</v>
      </c>
      <c r="EA21" s="353" t="s">
        <v>2720</v>
      </c>
      <c r="EB21" s="353">
        <v>6.1</v>
      </c>
      <c r="EC21" s="353">
        <v>5.7</v>
      </c>
      <c r="ED21" s="353">
        <v>7.1</v>
      </c>
      <c r="EE21" s="353">
        <v>6</v>
      </c>
      <c r="EF21" s="353">
        <v>1.7</v>
      </c>
      <c r="EG21" s="353">
        <v>6.4</v>
      </c>
      <c r="EH21" s="353" t="s">
        <v>2720</v>
      </c>
      <c r="EI21" s="353" t="s">
        <v>2720</v>
      </c>
      <c r="EJ21" s="353" t="s">
        <v>2720</v>
      </c>
      <c r="EK21" s="353">
        <v>6.8</v>
      </c>
      <c r="EL21" s="353" t="s">
        <v>2720</v>
      </c>
      <c r="EM21" s="354">
        <v>5.72</v>
      </c>
      <c r="EN21" s="353">
        <v>5</v>
      </c>
      <c r="EO21" s="353">
        <v>5.5</v>
      </c>
      <c r="EP21" s="353">
        <v>5</v>
      </c>
      <c r="EQ21" s="353">
        <v>5.2</v>
      </c>
      <c r="ER21" s="353">
        <v>5.9</v>
      </c>
      <c r="ES21" s="353">
        <v>6.8</v>
      </c>
      <c r="ET21" s="353">
        <v>6.4</v>
      </c>
      <c r="EU21" s="353" t="s">
        <v>2720</v>
      </c>
      <c r="EV21" s="353" t="s">
        <v>2720</v>
      </c>
      <c r="EW21" s="353">
        <v>5.5</v>
      </c>
      <c r="EX21" s="353">
        <v>5.4</v>
      </c>
      <c r="EY21" s="353" t="s">
        <v>2720</v>
      </c>
      <c r="EZ21" s="353">
        <v>6.1</v>
      </c>
      <c r="FA21" s="353">
        <v>5.7</v>
      </c>
      <c r="FB21" s="353">
        <v>7.1</v>
      </c>
      <c r="FC21" s="353">
        <v>6</v>
      </c>
      <c r="FD21" s="353" t="s">
        <v>2720</v>
      </c>
      <c r="FE21" s="353">
        <v>6.4</v>
      </c>
      <c r="FF21" s="353" t="s">
        <v>2720</v>
      </c>
      <c r="FG21" s="353" t="s">
        <v>2720</v>
      </c>
      <c r="FH21" s="353" t="s">
        <v>2720</v>
      </c>
      <c r="FI21" s="353">
        <v>6.8</v>
      </c>
      <c r="FJ21" s="353" t="s">
        <v>2720</v>
      </c>
      <c r="FK21" s="355">
        <v>5.94</v>
      </c>
      <c r="FM21" s="357"/>
    </row>
    <row r="22" spans="1:169" s="356" customFormat="1" ht="27.95" customHeight="1">
      <c r="A22" s="358">
        <v>12</v>
      </c>
      <c r="B22" s="359" t="s">
        <v>2039</v>
      </c>
      <c r="C22" s="360" t="s">
        <v>2040</v>
      </c>
      <c r="D22" s="361" t="s">
        <v>1724</v>
      </c>
      <c r="E22" s="362"/>
      <c r="F22" s="363">
        <v>0</v>
      </c>
      <c r="G22" s="364">
        <v>14</v>
      </c>
      <c r="H22" s="365">
        <v>5.2</v>
      </c>
      <c r="I22" s="366" t="s">
        <v>2720</v>
      </c>
      <c r="J22" s="365">
        <v>6.8</v>
      </c>
      <c r="K22" s="366" t="s">
        <v>2720</v>
      </c>
      <c r="L22" s="365">
        <v>6.1</v>
      </c>
      <c r="M22" s="366" t="s">
        <v>2720</v>
      </c>
      <c r="N22" s="365">
        <v>5.9</v>
      </c>
      <c r="O22" s="366" t="s">
        <v>2720</v>
      </c>
      <c r="P22" s="365">
        <v>5</v>
      </c>
      <c r="Q22" s="366" t="s">
        <v>2720</v>
      </c>
      <c r="R22" s="365">
        <v>5.5</v>
      </c>
      <c r="S22" s="366" t="s">
        <v>2720</v>
      </c>
      <c r="T22" s="365">
        <v>3.8</v>
      </c>
      <c r="U22" s="366">
        <v>3.9</v>
      </c>
      <c r="V22" s="365" t="s">
        <v>2720</v>
      </c>
      <c r="W22" s="366" t="s">
        <v>2720</v>
      </c>
      <c r="X22" s="367" t="s">
        <v>2720</v>
      </c>
      <c r="Y22" s="368"/>
      <c r="Z22" s="331">
        <v>5.5</v>
      </c>
      <c r="AA22" s="332" t="s">
        <v>2720</v>
      </c>
      <c r="AB22" s="331">
        <v>4.8</v>
      </c>
      <c r="AC22" s="332">
        <v>4.8</v>
      </c>
      <c r="AD22" s="331" t="s">
        <v>2720</v>
      </c>
      <c r="AE22" s="332" t="s">
        <v>2720</v>
      </c>
      <c r="AF22" s="331">
        <v>8.6999999999999993</v>
      </c>
      <c r="AG22" s="332" t="s">
        <v>2720</v>
      </c>
      <c r="AH22" s="331">
        <v>4</v>
      </c>
      <c r="AI22" s="332">
        <v>5.4</v>
      </c>
      <c r="AJ22" s="331">
        <v>6</v>
      </c>
      <c r="AK22" s="332" t="s">
        <v>2720</v>
      </c>
      <c r="AL22" s="331">
        <v>6.3</v>
      </c>
      <c r="AM22" s="333" t="s">
        <v>2720</v>
      </c>
      <c r="AN22" s="331">
        <v>3.2</v>
      </c>
      <c r="AO22" s="332">
        <v>4.5</v>
      </c>
      <c r="AP22" s="331">
        <v>6.2</v>
      </c>
      <c r="AQ22" s="333" t="s">
        <v>2720</v>
      </c>
      <c r="AR22" s="331" t="s">
        <v>2720</v>
      </c>
      <c r="AS22" s="333" t="s">
        <v>2720</v>
      </c>
      <c r="AT22" s="331" t="s">
        <v>2720</v>
      </c>
      <c r="AU22" s="333" t="s">
        <v>2720</v>
      </c>
      <c r="AV22" s="331" t="s">
        <v>2720</v>
      </c>
      <c r="AW22" s="333" t="s">
        <v>2720</v>
      </c>
      <c r="AX22" s="331">
        <v>5</v>
      </c>
      <c r="AY22" s="368"/>
      <c r="AZ22" s="331" t="s">
        <v>2720</v>
      </c>
      <c r="BA22" s="368"/>
      <c r="BB22" s="334">
        <v>5.49</v>
      </c>
      <c r="BC22" s="335">
        <v>5.64</v>
      </c>
      <c r="BD22" s="336">
        <v>62.5</v>
      </c>
      <c r="BE22" s="369" t="s">
        <v>2760</v>
      </c>
      <c r="BF22" s="336" t="s">
        <v>2760</v>
      </c>
      <c r="BG22" s="370"/>
      <c r="BH22" s="339" t="s">
        <v>2720</v>
      </c>
      <c r="BI22" s="340">
        <v>39</v>
      </c>
      <c r="BJ22" s="341">
        <v>30</v>
      </c>
      <c r="BK22" s="341">
        <v>9</v>
      </c>
      <c r="BL22" s="341">
        <v>32</v>
      </c>
      <c r="BM22" s="342">
        <v>7</v>
      </c>
      <c r="BN22" s="371">
        <v>5.93</v>
      </c>
      <c r="BO22" s="372" t="s">
        <v>2758</v>
      </c>
      <c r="BP22" s="371">
        <v>5.9</v>
      </c>
      <c r="BQ22" s="372" t="s">
        <v>2758</v>
      </c>
      <c r="BR22" s="345" t="s">
        <v>2761</v>
      </c>
      <c r="BS22" s="373"/>
      <c r="BT22" s="347">
        <v>5.2</v>
      </c>
      <c r="BU22" s="348">
        <v>6.8</v>
      </c>
      <c r="BV22" s="348">
        <v>6.1</v>
      </c>
      <c r="BW22" s="348">
        <v>5.9</v>
      </c>
      <c r="BX22" s="349">
        <v>5</v>
      </c>
      <c r="BY22" s="349">
        <v>5.5</v>
      </c>
      <c r="BZ22" s="348">
        <v>3.8</v>
      </c>
      <c r="CA22" s="348" t="s">
        <v>2720</v>
      </c>
      <c r="CB22" s="348" t="s">
        <v>2720</v>
      </c>
      <c r="CC22" s="348">
        <v>5.5</v>
      </c>
      <c r="CD22" s="348">
        <v>4.8</v>
      </c>
      <c r="CE22" s="348" t="s">
        <v>2720</v>
      </c>
      <c r="CF22" s="348">
        <v>8.6999999999999993</v>
      </c>
      <c r="CG22" s="348">
        <v>4</v>
      </c>
      <c r="CH22" s="348">
        <v>6</v>
      </c>
      <c r="CI22" s="348">
        <v>6.3</v>
      </c>
      <c r="CJ22" s="348">
        <v>3.2</v>
      </c>
      <c r="CK22" s="348">
        <v>6.2</v>
      </c>
      <c r="CL22" s="348" t="s">
        <v>2720</v>
      </c>
      <c r="CM22" s="349" t="s">
        <v>2720</v>
      </c>
      <c r="CN22" s="348" t="s">
        <v>2720</v>
      </c>
      <c r="CO22" s="348">
        <v>5</v>
      </c>
      <c r="CP22" s="348" t="s">
        <v>2720</v>
      </c>
      <c r="CQ22" s="350">
        <v>5.49</v>
      </c>
      <c r="CR22" s="348">
        <v>5.2</v>
      </c>
      <c r="CS22" s="348">
        <v>6.8</v>
      </c>
      <c r="CT22" s="348">
        <v>6.1</v>
      </c>
      <c r="CU22" s="348">
        <v>5.9</v>
      </c>
      <c r="CV22" s="348">
        <v>5</v>
      </c>
      <c r="CW22" s="348">
        <v>5.5</v>
      </c>
      <c r="CX22" s="348" t="s">
        <v>2720</v>
      </c>
      <c r="CY22" s="348" t="s">
        <v>2720</v>
      </c>
      <c r="CZ22" s="348" t="s">
        <v>2720</v>
      </c>
      <c r="DA22" s="348">
        <v>5.5</v>
      </c>
      <c r="DB22" s="348" t="s">
        <v>2720</v>
      </c>
      <c r="DC22" s="348" t="s">
        <v>2720</v>
      </c>
      <c r="DD22" s="348">
        <v>8.6999999999999993</v>
      </c>
      <c r="DE22" s="348" t="s">
        <v>2720</v>
      </c>
      <c r="DF22" s="348">
        <v>6</v>
      </c>
      <c r="DG22" s="348">
        <v>6.3</v>
      </c>
      <c r="DH22" s="348" t="s">
        <v>2720</v>
      </c>
      <c r="DI22" s="348">
        <v>6.2</v>
      </c>
      <c r="DJ22" s="348" t="s">
        <v>2720</v>
      </c>
      <c r="DK22" s="348" t="s">
        <v>2720</v>
      </c>
      <c r="DL22" s="348" t="s">
        <v>2720</v>
      </c>
      <c r="DM22" s="348">
        <v>5</v>
      </c>
      <c r="DN22" s="348" t="s">
        <v>2720</v>
      </c>
      <c r="DO22" s="351">
        <v>5.93</v>
      </c>
      <c r="DP22" s="374">
        <v>5.2</v>
      </c>
      <c r="DQ22" s="353">
        <v>6.8</v>
      </c>
      <c r="DR22" s="353">
        <v>6.1</v>
      </c>
      <c r="DS22" s="353">
        <v>5.9</v>
      </c>
      <c r="DT22" s="353">
        <v>5</v>
      </c>
      <c r="DU22" s="353">
        <v>5.5</v>
      </c>
      <c r="DV22" s="353">
        <v>3.9</v>
      </c>
      <c r="DW22" s="353" t="s">
        <v>2720</v>
      </c>
      <c r="DX22" s="353" t="s">
        <v>2720</v>
      </c>
      <c r="DY22" s="353">
        <v>5.5</v>
      </c>
      <c r="DZ22" s="353">
        <v>4.8</v>
      </c>
      <c r="EA22" s="353" t="s">
        <v>2720</v>
      </c>
      <c r="EB22" s="353">
        <v>8.6999999999999993</v>
      </c>
      <c r="EC22" s="353">
        <v>5.4</v>
      </c>
      <c r="ED22" s="353">
        <v>6</v>
      </c>
      <c r="EE22" s="353">
        <v>6.3</v>
      </c>
      <c r="EF22" s="353">
        <v>4.5</v>
      </c>
      <c r="EG22" s="353">
        <v>6.2</v>
      </c>
      <c r="EH22" s="353" t="s">
        <v>2720</v>
      </c>
      <c r="EI22" s="353" t="s">
        <v>2720</v>
      </c>
      <c r="EJ22" s="353" t="s">
        <v>2720</v>
      </c>
      <c r="EK22" s="353">
        <v>5</v>
      </c>
      <c r="EL22" s="353" t="s">
        <v>2720</v>
      </c>
      <c r="EM22" s="354">
        <v>5.64</v>
      </c>
      <c r="EN22" s="353">
        <v>5.2</v>
      </c>
      <c r="EO22" s="353">
        <v>6.8</v>
      </c>
      <c r="EP22" s="353">
        <v>6.1</v>
      </c>
      <c r="EQ22" s="353">
        <v>5.9</v>
      </c>
      <c r="ER22" s="353">
        <v>5</v>
      </c>
      <c r="ES22" s="353">
        <v>5.5</v>
      </c>
      <c r="ET22" s="353" t="s">
        <v>2720</v>
      </c>
      <c r="EU22" s="353" t="s">
        <v>2720</v>
      </c>
      <c r="EV22" s="353" t="s">
        <v>2720</v>
      </c>
      <c r="EW22" s="353">
        <v>5.5</v>
      </c>
      <c r="EX22" s="353" t="s">
        <v>2720</v>
      </c>
      <c r="EY22" s="353" t="s">
        <v>2720</v>
      </c>
      <c r="EZ22" s="353">
        <v>8.6999999999999993</v>
      </c>
      <c r="FA22" s="353">
        <v>5.4</v>
      </c>
      <c r="FB22" s="353">
        <v>6</v>
      </c>
      <c r="FC22" s="353">
        <v>6.3</v>
      </c>
      <c r="FD22" s="353" t="s">
        <v>2720</v>
      </c>
      <c r="FE22" s="353">
        <v>6.2</v>
      </c>
      <c r="FF22" s="353" t="s">
        <v>2720</v>
      </c>
      <c r="FG22" s="353" t="s">
        <v>2720</v>
      </c>
      <c r="FH22" s="353" t="s">
        <v>2720</v>
      </c>
      <c r="FI22" s="353">
        <v>5</v>
      </c>
      <c r="FJ22" s="353" t="s">
        <v>2720</v>
      </c>
      <c r="FK22" s="355">
        <v>5.9</v>
      </c>
      <c r="FM22" s="357"/>
    </row>
    <row r="23" spans="1:169" s="356" customFormat="1" ht="27.95" customHeight="1">
      <c r="A23" s="358">
        <v>13</v>
      </c>
      <c r="B23" s="359" t="s">
        <v>2042</v>
      </c>
      <c r="C23" s="360" t="s">
        <v>1730</v>
      </c>
      <c r="D23" s="361" t="s">
        <v>1961</v>
      </c>
      <c r="E23" s="362"/>
      <c r="F23" s="363">
        <v>0</v>
      </c>
      <c r="G23" s="364">
        <v>8</v>
      </c>
      <c r="H23" s="365">
        <v>6.3</v>
      </c>
      <c r="I23" s="366" t="s">
        <v>2720</v>
      </c>
      <c r="J23" s="365">
        <v>6.2</v>
      </c>
      <c r="K23" s="366" t="s">
        <v>2720</v>
      </c>
      <c r="L23" s="365">
        <v>5.7</v>
      </c>
      <c r="M23" s="366" t="s">
        <v>2720</v>
      </c>
      <c r="N23" s="365">
        <v>6</v>
      </c>
      <c r="O23" s="366" t="s">
        <v>2720</v>
      </c>
      <c r="P23" s="365">
        <v>5.9</v>
      </c>
      <c r="Q23" s="366" t="s">
        <v>2720</v>
      </c>
      <c r="R23" s="365">
        <v>6.7</v>
      </c>
      <c r="S23" s="366" t="s">
        <v>2720</v>
      </c>
      <c r="T23" s="365">
        <v>6.8</v>
      </c>
      <c r="U23" s="366" t="s">
        <v>2720</v>
      </c>
      <c r="V23" s="365" t="s">
        <v>2720</v>
      </c>
      <c r="W23" s="366" t="s">
        <v>2720</v>
      </c>
      <c r="X23" s="367" t="s">
        <v>2720</v>
      </c>
      <c r="Y23" s="368"/>
      <c r="Z23" s="331">
        <v>4.9000000000000004</v>
      </c>
      <c r="AA23" s="332">
        <v>6.9</v>
      </c>
      <c r="AB23" s="331">
        <v>5.2</v>
      </c>
      <c r="AC23" s="332" t="s">
        <v>2720</v>
      </c>
      <c r="AD23" s="331">
        <v>7.9</v>
      </c>
      <c r="AE23" s="332" t="s">
        <v>2720</v>
      </c>
      <c r="AF23" s="331" t="s">
        <v>2720</v>
      </c>
      <c r="AG23" s="332" t="s">
        <v>2720</v>
      </c>
      <c r="AH23" s="331">
        <v>6.4</v>
      </c>
      <c r="AI23" s="332" t="s">
        <v>2720</v>
      </c>
      <c r="AJ23" s="331">
        <v>7.2</v>
      </c>
      <c r="AK23" s="332" t="s">
        <v>2720</v>
      </c>
      <c r="AL23" s="331">
        <v>6.5</v>
      </c>
      <c r="AM23" s="333" t="s">
        <v>2720</v>
      </c>
      <c r="AN23" s="331">
        <v>7.2</v>
      </c>
      <c r="AO23" s="332" t="s">
        <v>2720</v>
      </c>
      <c r="AP23" s="331">
        <v>6.9</v>
      </c>
      <c r="AQ23" s="333" t="s">
        <v>2720</v>
      </c>
      <c r="AR23" s="331" t="s">
        <v>2720</v>
      </c>
      <c r="AS23" s="333" t="s">
        <v>2720</v>
      </c>
      <c r="AT23" s="331" t="s">
        <v>2720</v>
      </c>
      <c r="AU23" s="333" t="s">
        <v>2720</v>
      </c>
      <c r="AV23" s="331" t="s">
        <v>2720</v>
      </c>
      <c r="AW23" s="333" t="s">
        <v>2720</v>
      </c>
      <c r="AX23" s="331">
        <v>8.6</v>
      </c>
      <c r="AY23" s="368"/>
      <c r="AZ23" s="331" t="s">
        <v>2720</v>
      </c>
      <c r="BA23" s="368"/>
      <c r="BB23" s="334">
        <v>6.47</v>
      </c>
      <c r="BC23" s="335">
        <v>6.58</v>
      </c>
      <c r="BD23" s="336">
        <v>65.5</v>
      </c>
      <c r="BE23" s="369" t="s">
        <v>2764</v>
      </c>
      <c r="BF23" s="336" t="s">
        <v>2764</v>
      </c>
      <c r="BG23" s="370"/>
      <c r="BH23" s="339" t="s">
        <v>2720</v>
      </c>
      <c r="BI23" s="340">
        <v>39</v>
      </c>
      <c r="BJ23" s="341">
        <v>37</v>
      </c>
      <c r="BK23" s="341">
        <v>2</v>
      </c>
      <c r="BL23" s="341">
        <v>39</v>
      </c>
      <c r="BM23" s="342">
        <v>0</v>
      </c>
      <c r="BN23" s="371">
        <v>6.56</v>
      </c>
      <c r="BO23" s="372" t="s">
        <v>2758</v>
      </c>
      <c r="BP23" s="371">
        <v>6.58</v>
      </c>
      <c r="BQ23" s="372" t="s">
        <v>2758</v>
      </c>
      <c r="BR23" s="345" t="s">
        <v>2759</v>
      </c>
      <c r="BS23" s="373"/>
      <c r="BT23" s="347">
        <v>6.3</v>
      </c>
      <c r="BU23" s="348">
        <v>6.2</v>
      </c>
      <c r="BV23" s="348">
        <v>5.7</v>
      </c>
      <c r="BW23" s="348">
        <v>6</v>
      </c>
      <c r="BX23" s="349">
        <v>5.9</v>
      </c>
      <c r="BY23" s="349">
        <v>6.7</v>
      </c>
      <c r="BZ23" s="348">
        <v>6.8</v>
      </c>
      <c r="CA23" s="348" t="s">
        <v>2720</v>
      </c>
      <c r="CB23" s="348" t="s">
        <v>2720</v>
      </c>
      <c r="CC23" s="348">
        <v>4.9000000000000004</v>
      </c>
      <c r="CD23" s="348">
        <v>5.2</v>
      </c>
      <c r="CE23" s="348">
        <v>7.9</v>
      </c>
      <c r="CF23" s="348" t="s">
        <v>2720</v>
      </c>
      <c r="CG23" s="348">
        <v>6.4</v>
      </c>
      <c r="CH23" s="348">
        <v>7.2</v>
      </c>
      <c r="CI23" s="348">
        <v>6.5</v>
      </c>
      <c r="CJ23" s="348">
        <v>7.2</v>
      </c>
      <c r="CK23" s="348">
        <v>6.9</v>
      </c>
      <c r="CL23" s="348" t="s">
        <v>2720</v>
      </c>
      <c r="CM23" s="349" t="s">
        <v>2720</v>
      </c>
      <c r="CN23" s="348" t="s">
        <v>2720</v>
      </c>
      <c r="CO23" s="348">
        <v>8.6</v>
      </c>
      <c r="CP23" s="348" t="s">
        <v>2720</v>
      </c>
      <c r="CQ23" s="350">
        <v>6.47</v>
      </c>
      <c r="CR23" s="348">
        <v>6.3</v>
      </c>
      <c r="CS23" s="348">
        <v>6.2</v>
      </c>
      <c r="CT23" s="348">
        <v>5.7</v>
      </c>
      <c r="CU23" s="348">
        <v>6</v>
      </c>
      <c r="CV23" s="348">
        <v>5.9</v>
      </c>
      <c r="CW23" s="348">
        <v>6.7</v>
      </c>
      <c r="CX23" s="348">
        <v>6.8</v>
      </c>
      <c r="CY23" s="348" t="s">
        <v>2720</v>
      </c>
      <c r="CZ23" s="348" t="s">
        <v>2720</v>
      </c>
      <c r="DA23" s="348" t="s">
        <v>2720</v>
      </c>
      <c r="DB23" s="348">
        <v>5.2</v>
      </c>
      <c r="DC23" s="348">
        <v>7.9</v>
      </c>
      <c r="DD23" s="348" t="s">
        <v>2720</v>
      </c>
      <c r="DE23" s="348">
        <v>6.4</v>
      </c>
      <c r="DF23" s="348">
        <v>7.2</v>
      </c>
      <c r="DG23" s="348">
        <v>6.5</v>
      </c>
      <c r="DH23" s="348">
        <v>7.2</v>
      </c>
      <c r="DI23" s="348">
        <v>6.9</v>
      </c>
      <c r="DJ23" s="348" t="s">
        <v>2720</v>
      </c>
      <c r="DK23" s="348" t="s">
        <v>2720</v>
      </c>
      <c r="DL23" s="348" t="s">
        <v>2720</v>
      </c>
      <c r="DM23" s="348">
        <v>8.6</v>
      </c>
      <c r="DN23" s="348" t="s">
        <v>2720</v>
      </c>
      <c r="DO23" s="351">
        <v>6.56</v>
      </c>
      <c r="DP23" s="374">
        <v>6.3</v>
      </c>
      <c r="DQ23" s="353">
        <v>6.2</v>
      </c>
      <c r="DR23" s="353">
        <v>5.7</v>
      </c>
      <c r="DS23" s="353">
        <v>6</v>
      </c>
      <c r="DT23" s="353">
        <v>5.9</v>
      </c>
      <c r="DU23" s="353">
        <v>6.7</v>
      </c>
      <c r="DV23" s="353">
        <v>6.8</v>
      </c>
      <c r="DW23" s="353" t="s">
        <v>2720</v>
      </c>
      <c r="DX23" s="353" t="s">
        <v>2720</v>
      </c>
      <c r="DY23" s="353">
        <v>6.9</v>
      </c>
      <c r="DZ23" s="353">
        <v>5.2</v>
      </c>
      <c r="EA23" s="353">
        <v>7.9</v>
      </c>
      <c r="EB23" s="353" t="s">
        <v>2720</v>
      </c>
      <c r="EC23" s="353">
        <v>6.4</v>
      </c>
      <c r="ED23" s="353">
        <v>7.2</v>
      </c>
      <c r="EE23" s="353">
        <v>6.5</v>
      </c>
      <c r="EF23" s="353">
        <v>7.2</v>
      </c>
      <c r="EG23" s="353">
        <v>6.9</v>
      </c>
      <c r="EH23" s="353" t="s">
        <v>2720</v>
      </c>
      <c r="EI23" s="353" t="s">
        <v>2720</v>
      </c>
      <c r="EJ23" s="353" t="s">
        <v>2720</v>
      </c>
      <c r="EK23" s="353">
        <v>8.6</v>
      </c>
      <c r="EL23" s="353" t="s">
        <v>2720</v>
      </c>
      <c r="EM23" s="354">
        <v>6.58</v>
      </c>
      <c r="EN23" s="353">
        <v>6.3</v>
      </c>
      <c r="EO23" s="353">
        <v>6.2</v>
      </c>
      <c r="EP23" s="353">
        <v>5.7</v>
      </c>
      <c r="EQ23" s="353">
        <v>6</v>
      </c>
      <c r="ER23" s="353">
        <v>5.9</v>
      </c>
      <c r="ES23" s="353">
        <v>6.7</v>
      </c>
      <c r="ET23" s="353">
        <v>6.8</v>
      </c>
      <c r="EU23" s="353" t="s">
        <v>2720</v>
      </c>
      <c r="EV23" s="353" t="s">
        <v>2720</v>
      </c>
      <c r="EW23" s="353">
        <v>6.9</v>
      </c>
      <c r="EX23" s="353">
        <v>5.2</v>
      </c>
      <c r="EY23" s="353">
        <v>7.9</v>
      </c>
      <c r="EZ23" s="353" t="s">
        <v>2720</v>
      </c>
      <c r="FA23" s="353">
        <v>6.4</v>
      </c>
      <c r="FB23" s="353">
        <v>7.2</v>
      </c>
      <c r="FC23" s="353">
        <v>6.5</v>
      </c>
      <c r="FD23" s="353">
        <v>7.2</v>
      </c>
      <c r="FE23" s="353">
        <v>6.9</v>
      </c>
      <c r="FF23" s="353" t="s">
        <v>2720</v>
      </c>
      <c r="FG23" s="353" t="s">
        <v>2720</v>
      </c>
      <c r="FH23" s="353" t="s">
        <v>2720</v>
      </c>
      <c r="FI23" s="353">
        <v>8.6</v>
      </c>
      <c r="FJ23" s="353" t="s">
        <v>2720</v>
      </c>
      <c r="FK23" s="355">
        <v>6.58</v>
      </c>
      <c r="FM23" s="357"/>
    </row>
    <row r="24" spans="1:169" s="356" customFormat="1" ht="27.95" customHeight="1">
      <c r="A24" s="358">
        <v>14</v>
      </c>
      <c r="B24" s="359" t="s">
        <v>2043</v>
      </c>
      <c r="C24" s="360" t="s">
        <v>2022</v>
      </c>
      <c r="D24" s="361" t="s">
        <v>1841</v>
      </c>
      <c r="E24" s="362"/>
      <c r="F24" s="363">
        <v>0</v>
      </c>
      <c r="G24" s="364">
        <v>2</v>
      </c>
      <c r="H24" s="365">
        <v>6.2</v>
      </c>
      <c r="I24" s="366" t="s">
        <v>2720</v>
      </c>
      <c r="J24" s="365">
        <v>8.4</v>
      </c>
      <c r="K24" s="366" t="s">
        <v>2720</v>
      </c>
      <c r="L24" s="365">
        <v>7.7</v>
      </c>
      <c r="M24" s="366" t="s">
        <v>2720</v>
      </c>
      <c r="N24" s="365">
        <v>6.9</v>
      </c>
      <c r="O24" s="366" t="s">
        <v>2720</v>
      </c>
      <c r="P24" s="365">
        <v>6.2</v>
      </c>
      <c r="Q24" s="366" t="s">
        <v>2720</v>
      </c>
      <c r="R24" s="365">
        <v>7</v>
      </c>
      <c r="S24" s="366" t="s">
        <v>2720</v>
      </c>
      <c r="T24" s="365">
        <v>8.1</v>
      </c>
      <c r="U24" s="366" t="s">
        <v>2720</v>
      </c>
      <c r="V24" s="365" t="s">
        <v>2720</v>
      </c>
      <c r="W24" s="366" t="s">
        <v>2720</v>
      </c>
      <c r="X24" s="367" t="s">
        <v>2720</v>
      </c>
      <c r="Y24" s="368"/>
      <c r="Z24" s="331">
        <v>6.5</v>
      </c>
      <c r="AA24" s="332" t="s">
        <v>2720</v>
      </c>
      <c r="AB24" s="331">
        <v>5.7</v>
      </c>
      <c r="AC24" s="332" t="s">
        <v>2720</v>
      </c>
      <c r="AD24" s="331" t="s">
        <v>2720</v>
      </c>
      <c r="AE24" s="332" t="s">
        <v>2720</v>
      </c>
      <c r="AF24" s="331">
        <v>8.4</v>
      </c>
      <c r="AG24" s="332" t="s">
        <v>2720</v>
      </c>
      <c r="AH24" s="331">
        <v>8.1999999999999993</v>
      </c>
      <c r="AI24" s="332" t="s">
        <v>2720</v>
      </c>
      <c r="AJ24" s="331">
        <v>7.9</v>
      </c>
      <c r="AK24" s="332" t="s">
        <v>2720</v>
      </c>
      <c r="AL24" s="331">
        <v>7.3</v>
      </c>
      <c r="AM24" s="333" t="s">
        <v>2720</v>
      </c>
      <c r="AN24" s="331">
        <v>5.4</v>
      </c>
      <c r="AO24" s="332" t="s">
        <v>2720</v>
      </c>
      <c r="AP24" s="331">
        <v>6.8</v>
      </c>
      <c r="AQ24" s="333" t="s">
        <v>2720</v>
      </c>
      <c r="AR24" s="331" t="s">
        <v>2720</v>
      </c>
      <c r="AS24" s="333" t="s">
        <v>2720</v>
      </c>
      <c r="AT24" s="331" t="s">
        <v>2720</v>
      </c>
      <c r="AU24" s="333" t="s">
        <v>2720</v>
      </c>
      <c r="AV24" s="331" t="s">
        <v>2720</v>
      </c>
      <c r="AW24" s="333" t="s">
        <v>2720</v>
      </c>
      <c r="AX24" s="331">
        <v>6.2</v>
      </c>
      <c r="AY24" s="368"/>
      <c r="AZ24" s="331" t="s">
        <v>2720</v>
      </c>
      <c r="BA24" s="368"/>
      <c r="BB24" s="334">
        <v>7.01</v>
      </c>
      <c r="BC24" s="335">
        <v>7.01</v>
      </c>
      <c r="BD24" s="336">
        <v>64</v>
      </c>
      <c r="BE24" s="369" t="s">
        <v>2757</v>
      </c>
      <c r="BF24" s="336" t="s">
        <v>2757</v>
      </c>
      <c r="BG24" s="370"/>
      <c r="BH24" s="339" t="s">
        <v>2720</v>
      </c>
      <c r="BI24" s="340">
        <v>39</v>
      </c>
      <c r="BJ24" s="341">
        <v>39</v>
      </c>
      <c r="BK24" s="341">
        <v>0</v>
      </c>
      <c r="BL24" s="341">
        <v>39</v>
      </c>
      <c r="BM24" s="342">
        <v>0</v>
      </c>
      <c r="BN24" s="371">
        <v>7.01</v>
      </c>
      <c r="BO24" s="372" t="s">
        <v>2758</v>
      </c>
      <c r="BP24" s="371">
        <v>7.01</v>
      </c>
      <c r="BQ24" s="372" t="s">
        <v>2758</v>
      </c>
      <c r="BR24" s="345" t="s">
        <v>2759</v>
      </c>
      <c r="BS24" s="373"/>
      <c r="BT24" s="347">
        <v>6.2</v>
      </c>
      <c r="BU24" s="348">
        <v>8.4</v>
      </c>
      <c r="BV24" s="348">
        <v>7.7</v>
      </c>
      <c r="BW24" s="348">
        <v>6.9</v>
      </c>
      <c r="BX24" s="349">
        <v>6.2</v>
      </c>
      <c r="BY24" s="349">
        <v>7</v>
      </c>
      <c r="BZ24" s="348">
        <v>8.1</v>
      </c>
      <c r="CA24" s="348" t="s">
        <v>2720</v>
      </c>
      <c r="CB24" s="348" t="s">
        <v>2720</v>
      </c>
      <c r="CC24" s="348">
        <v>6.5</v>
      </c>
      <c r="CD24" s="348">
        <v>5.7</v>
      </c>
      <c r="CE24" s="348" t="s">
        <v>2720</v>
      </c>
      <c r="CF24" s="348">
        <v>8.4</v>
      </c>
      <c r="CG24" s="348">
        <v>8.1999999999999993</v>
      </c>
      <c r="CH24" s="348">
        <v>7.9</v>
      </c>
      <c r="CI24" s="348">
        <v>7.3</v>
      </c>
      <c r="CJ24" s="348">
        <v>5.4</v>
      </c>
      <c r="CK24" s="348">
        <v>6.8</v>
      </c>
      <c r="CL24" s="348" t="s">
        <v>2720</v>
      </c>
      <c r="CM24" s="349" t="s">
        <v>2720</v>
      </c>
      <c r="CN24" s="348" t="s">
        <v>2720</v>
      </c>
      <c r="CO24" s="348">
        <v>6.2</v>
      </c>
      <c r="CP24" s="348" t="s">
        <v>2720</v>
      </c>
      <c r="CQ24" s="350">
        <v>7.01</v>
      </c>
      <c r="CR24" s="348">
        <v>6.2</v>
      </c>
      <c r="CS24" s="348">
        <v>8.4</v>
      </c>
      <c r="CT24" s="348">
        <v>7.7</v>
      </c>
      <c r="CU24" s="348">
        <v>6.9</v>
      </c>
      <c r="CV24" s="348">
        <v>6.2</v>
      </c>
      <c r="CW24" s="348">
        <v>7</v>
      </c>
      <c r="CX24" s="348">
        <v>8.1</v>
      </c>
      <c r="CY24" s="348" t="s">
        <v>2720</v>
      </c>
      <c r="CZ24" s="348" t="s">
        <v>2720</v>
      </c>
      <c r="DA24" s="348">
        <v>6.5</v>
      </c>
      <c r="DB24" s="348">
        <v>5.7</v>
      </c>
      <c r="DC24" s="348" t="s">
        <v>2720</v>
      </c>
      <c r="DD24" s="348">
        <v>8.4</v>
      </c>
      <c r="DE24" s="348">
        <v>8.1999999999999993</v>
      </c>
      <c r="DF24" s="348">
        <v>7.9</v>
      </c>
      <c r="DG24" s="348">
        <v>7.3</v>
      </c>
      <c r="DH24" s="348">
        <v>5.4</v>
      </c>
      <c r="DI24" s="348">
        <v>6.8</v>
      </c>
      <c r="DJ24" s="348" t="s">
        <v>2720</v>
      </c>
      <c r="DK24" s="348" t="s">
        <v>2720</v>
      </c>
      <c r="DL24" s="348" t="s">
        <v>2720</v>
      </c>
      <c r="DM24" s="348">
        <v>6.2</v>
      </c>
      <c r="DN24" s="348" t="s">
        <v>2720</v>
      </c>
      <c r="DO24" s="351">
        <v>7.01</v>
      </c>
      <c r="DP24" s="374">
        <v>6.2</v>
      </c>
      <c r="DQ24" s="353">
        <v>8.4</v>
      </c>
      <c r="DR24" s="353">
        <v>7.7</v>
      </c>
      <c r="DS24" s="353">
        <v>6.9</v>
      </c>
      <c r="DT24" s="353">
        <v>6.2</v>
      </c>
      <c r="DU24" s="353">
        <v>7</v>
      </c>
      <c r="DV24" s="353">
        <v>8.1</v>
      </c>
      <c r="DW24" s="353" t="s">
        <v>2720</v>
      </c>
      <c r="DX24" s="353" t="s">
        <v>2720</v>
      </c>
      <c r="DY24" s="353">
        <v>6.5</v>
      </c>
      <c r="DZ24" s="353">
        <v>5.7</v>
      </c>
      <c r="EA24" s="353" t="s">
        <v>2720</v>
      </c>
      <c r="EB24" s="353">
        <v>8.4</v>
      </c>
      <c r="EC24" s="353">
        <v>8.1999999999999993</v>
      </c>
      <c r="ED24" s="353">
        <v>7.9</v>
      </c>
      <c r="EE24" s="353">
        <v>7.3</v>
      </c>
      <c r="EF24" s="353">
        <v>5.4</v>
      </c>
      <c r="EG24" s="353">
        <v>6.8</v>
      </c>
      <c r="EH24" s="353" t="s">
        <v>2720</v>
      </c>
      <c r="EI24" s="353" t="s">
        <v>2720</v>
      </c>
      <c r="EJ24" s="353" t="s">
        <v>2720</v>
      </c>
      <c r="EK24" s="353">
        <v>6.2</v>
      </c>
      <c r="EL24" s="353" t="s">
        <v>2720</v>
      </c>
      <c r="EM24" s="354">
        <v>7.01</v>
      </c>
      <c r="EN24" s="353">
        <v>6.2</v>
      </c>
      <c r="EO24" s="353">
        <v>8.4</v>
      </c>
      <c r="EP24" s="353">
        <v>7.7</v>
      </c>
      <c r="EQ24" s="353">
        <v>6.9</v>
      </c>
      <c r="ER24" s="353">
        <v>6.2</v>
      </c>
      <c r="ES24" s="353">
        <v>7</v>
      </c>
      <c r="ET24" s="353">
        <v>8.1</v>
      </c>
      <c r="EU24" s="353" t="s">
        <v>2720</v>
      </c>
      <c r="EV24" s="353" t="s">
        <v>2720</v>
      </c>
      <c r="EW24" s="353">
        <v>6.5</v>
      </c>
      <c r="EX24" s="353">
        <v>5.7</v>
      </c>
      <c r="EY24" s="353" t="s">
        <v>2720</v>
      </c>
      <c r="EZ24" s="353">
        <v>8.4</v>
      </c>
      <c r="FA24" s="353">
        <v>8.1999999999999993</v>
      </c>
      <c r="FB24" s="353">
        <v>7.9</v>
      </c>
      <c r="FC24" s="353">
        <v>7.3</v>
      </c>
      <c r="FD24" s="353">
        <v>5.4</v>
      </c>
      <c r="FE24" s="353">
        <v>6.8</v>
      </c>
      <c r="FF24" s="353" t="s">
        <v>2720</v>
      </c>
      <c r="FG24" s="353" t="s">
        <v>2720</v>
      </c>
      <c r="FH24" s="353" t="s">
        <v>2720</v>
      </c>
      <c r="FI24" s="353">
        <v>6.2</v>
      </c>
      <c r="FJ24" s="353" t="s">
        <v>2720</v>
      </c>
      <c r="FK24" s="355">
        <v>7.01</v>
      </c>
      <c r="FM24" s="357"/>
    </row>
    <row r="25" spans="1:169" s="356" customFormat="1" ht="27.95" customHeight="1">
      <c r="A25" s="358">
        <v>15</v>
      </c>
      <c r="B25" s="359" t="s">
        <v>2045</v>
      </c>
      <c r="C25" s="360" t="s">
        <v>2046</v>
      </c>
      <c r="D25" s="361" t="s">
        <v>1844</v>
      </c>
      <c r="E25" s="362"/>
      <c r="F25" s="363">
        <v>0</v>
      </c>
      <c r="G25" s="364">
        <v>31</v>
      </c>
      <c r="H25" s="365">
        <v>4.5999999999999996</v>
      </c>
      <c r="I25" s="366">
        <v>4.8</v>
      </c>
      <c r="J25" s="365">
        <v>5.4</v>
      </c>
      <c r="K25" s="366" t="s">
        <v>2720</v>
      </c>
      <c r="L25" s="365">
        <v>5.0999999999999996</v>
      </c>
      <c r="M25" s="366" t="s">
        <v>2720</v>
      </c>
      <c r="N25" s="365">
        <v>4.5999999999999996</v>
      </c>
      <c r="O25" s="366">
        <v>4.5999999999999996</v>
      </c>
      <c r="P25" s="365">
        <v>4.2</v>
      </c>
      <c r="Q25" s="366">
        <v>4.5</v>
      </c>
      <c r="R25" s="365">
        <v>5</v>
      </c>
      <c r="S25" s="366" t="s">
        <v>2720</v>
      </c>
      <c r="T25" s="365">
        <v>4.2</v>
      </c>
      <c r="U25" s="366">
        <v>5.8</v>
      </c>
      <c r="V25" s="365" t="s">
        <v>2720</v>
      </c>
      <c r="W25" s="366" t="s">
        <v>2720</v>
      </c>
      <c r="X25" s="367" t="s">
        <v>2720</v>
      </c>
      <c r="Y25" s="368"/>
      <c r="Z25" s="331">
        <v>4.7</v>
      </c>
      <c r="AA25" s="332">
        <v>4.7</v>
      </c>
      <c r="AB25" s="331">
        <v>4.9000000000000004</v>
      </c>
      <c r="AC25" s="332" t="s">
        <v>2720</v>
      </c>
      <c r="AD25" s="331" t="s">
        <v>2720</v>
      </c>
      <c r="AE25" s="332" t="s">
        <v>2720</v>
      </c>
      <c r="AF25" s="331">
        <v>5.5</v>
      </c>
      <c r="AG25" s="332" t="s">
        <v>2720</v>
      </c>
      <c r="AH25" s="331">
        <v>2</v>
      </c>
      <c r="AI25" s="332" t="s">
        <v>2720</v>
      </c>
      <c r="AJ25" s="331">
        <v>5.9</v>
      </c>
      <c r="AK25" s="332" t="s">
        <v>2720</v>
      </c>
      <c r="AL25" s="331">
        <v>6</v>
      </c>
      <c r="AM25" s="333" t="s">
        <v>2720</v>
      </c>
      <c r="AN25" s="331">
        <v>3.8</v>
      </c>
      <c r="AO25" s="332">
        <v>4.3</v>
      </c>
      <c r="AP25" s="331">
        <v>5.9</v>
      </c>
      <c r="AQ25" s="333" t="s">
        <v>2720</v>
      </c>
      <c r="AR25" s="331" t="s">
        <v>2720</v>
      </c>
      <c r="AS25" s="333" t="s">
        <v>2720</v>
      </c>
      <c r="AT25" s="331" t="s">
        <v>2720</v>
      </c>
      <c r="AU25" s="333" t="s">
        <v>2720</v>
      </c>
      <c r="AV25" s="331" t="s">
        <v>2720</v>
      </c>
      <c r="AW25" s="333" t="s">
        <v>2720</v>
      </c>
      <c r="AX25" s="331">
        <v>5.6</v>
      </c>
      <c r="AY25" s="368"/>
      <c r="AZ25" s="331" t="s">
        <v>2720</v>
      </c>
      <c r="BA25" s="368"/>
      <c r="BB25" s="334">
        <v>4.84</v>
      </c>
      <c r="BC25" s="335">
        <v>4.99</v>
      </c>
      <c r="BD25" s="336">
        <v>44.5</v>
      </c>
      <c r="BE25" s="369" t="s">
        <v>2762</v>
      </c>
      <c r="BF25" s="336" t="s">
        <v>2762</v>
      </c>
      <c r="BG25" s="370"/>
      <c r="BH25" s="339" t="s">
        <v>2720</v>
      </c>
      <c r="BI25" s="340">
        <v>39</v>
      </c>
      <c r="BJ25" s="341">
        <v>20</v>
      </c>
      <c r="BK25" s="341">
        <v>19</v>
      </c>
      <c r="BL25" s="341">
        <v>22</v>
      </c>
      <c r="BM25" s="342">
        <v>17</v>
      </c>
      <c r="BN25" s="371">
        <v>5.46</v>
      </c>
      <c r="BO25" s="372" t="s">
        <v>2765</v>
      </c>
      <c r="BP25" s="371">
        <v>5.49</v>
      </c>
      <c r="BQ25" s="372" t="s">
        <v>2765</v>
      </c>
      <c r="BR25" s="345" t="s">
        <v>2761</v>
      </c>
      <c r="BS25" s="373"/>
      <c r="BT25" s="347">
        <v>4.5999999999999996</v>
      </c>
      <c r="BU25" s="348">
        <v>5.4</v>
      </c>
      <c r="BV25" s="348">
        <v>5.0999999999999996</v>
      </c>
      <c r="BW25" s="348">
        <v>4.5999999999999996</v>
      </c>
      <c r="BX25" s="349">
        <v>4.2</v>
      </c>
      <c r="BY25" s="349">
        <v>5</v>
      </c>
      <c r="BZ25" s="348">
        <v>4.2</v>
      </c>
      <c r="CA25" s="348" t="s">
        <v>2720</v>
      </c>
      <c r="CB25" s="348" t="s">
        <v>2720</v>
      </c>
      <c r="CC25" s="348">
        <v>4.7</v>
      </c>
      <c r="CD25" s="348">
        <v>4.9000000000000004</v>
      </c>
      <c r="CE25" s="348" t="s">
        <v>2720</v>
      </c>
      <c r="CF25" s="348">
        <v>5.5</v>
      </c>
      <c r="CG25" s="348">
        <v>2</v>
      </c>
      <c r="CH25" s="348">
        <v>5.9</v>
      </c>
      <c r="CI25" s="348">
        <v>6</v>
      </c>
      <c r="CJ25" s="348">
        <v>3.8</v>
      </c>
      <c r="CK25" s="348">
        <v>5.9</v>
      </c>
      <c r="CL25" s="348" t="s">
        <v>2720</v>
      </c>
      <c r="CM25" s="349" t="s">
        <v>2720</v>
      </c>
      <c r="CN25" s="348" t="s">
        <v>2720</v>
      </c>
      <c r="CO25" s="348">
        <v>5.6</v>
      </c>
      <c r="CP25" s="348" t="s">
        <v>2720</v>
      </c>
      <c r="CQ25" s="350">
        <v>4.84</v>
      </c>
      <c r="CR25" s="348" t="s">
        <v>2720</v>
      </c>
      <c r="CS25" s="348">
        <v>5.4</v>
      </c>
      <c r="CT25" s="348">
        <v>5.0999999999999996</v>
      </c>
      <c r="CU25" s="348" t="s">
        <v>2720</v>
      </c>
      <c r="CV25" s="348" t="s">
        <v>2720</v>
      </c>
      <c r="CW25" s="348">
        <v>5</v>
      </c>
      <c r="CX25" s="348" t="s">
        <v>2720</v>
      </c>
      <c r="CY25" s="348" t="s">
        <v>2720</v>
      </c>
      <c r="CZ25" s="348" t="s">
        <v>2720</v>
      </c>
      <c r="DA25" s="348" t="s">
        <v>2720</v>
      </c>
      <c r="DB25" s="348" t="s">
        <v>2720</v>
      </c>
      <c r="DC25" s="348" t="s">
        <v>2720</v>
      </c>
      <c r="DD25" s="348">
        <v>5.5</v>
      </c>
      <c r="DE25" s="348" t="s">
        <v>2720</v>
      </c>
      <c r="DF25" s="348">
        <v>5.9</v>
      </c>
      <c r="DG25" s="348">
        <v>6</v>
      </c>
      <c r="DH25" s="348" t="s">
        <v>2720</v>
      </c>
      <c r="DI25" s="348">
        <v>5.9</v>
      </c>
      <c r="DJ25" s="348" t="s">
        <v>2720</v>
      </c>
      <c r="DK25" s="348" t="s">
        <v>2720</v>
      </c>
      <c r="DL25" s="348" t="s">
        <v>2720</v>
      </c>
      <c r="DM25" s="348">
        <v>5.6</v>
      </c>
      <c r="DN25" s="348" t="s">
        <v>2720</v>
      </c>
      <c r="DO25" s="351">
        <v>5.46</v>
      </c>
      <c r="DP25" s="374">
        <v>4.8</v>
      </c>
      <c r="DQ25" s="353">
        <v>5.4</v>
      </c>
      <c r="DR25" s="353">
        <v>5.0999999999999996</v>
      </c>
      <c r="DS25" s="353">
        <v>4.5999999999999996</v>
      </c>
      <c r="DT25" s="353">
        <v>4.5</v>
      </c>
      <c r="DU25" s="353">
        <v>5</v>
      </c>
      <c r="DV25" s="353">
        <v>5.8</v>
      </c>
      <c r="DW25" s="353" t="s">
        <v>2720</v>
      </c>
      <c r="DX25" s="353" t="s">
        <v>2720</v>
      </c>
      <c r="DY25" s="353">
        <v>4.7</v>
      </c>
      <c r="DZ25" s="353">
        <v>4.9000000000000004</v>
      </c>
      <c r="EA25" s="353" t="s">
        <v>2720</v>
      </c>
      <c r="EB25" s="353">
        <v>5.5</v>
      </c>
      <c r="EC25" s="353">
        <v>2</v>
      </c>
      <c r="ED25" s="353">
        <v>5.9</v>
      </c>
      <c r="EE25" s="353">
        <v>6</v>
      </c>
      <c r="EF25" s="353">
        <v>4.3</v>
      </c>
      <c r="EG25" s="353">
        <v>5.9</v>
      </c>
      <c r="EH25" s="353" t="s">
        <v>2720</v>
      </c>
      <c r="EI25" s="353" t="s">
        <v>2720</v>
      </c>
      <c r="EJ25" s="353" t="s">
        <v>2720</v>
      </c>
      <c r="EK25" s="353">
        <v>5.6</v>
      </c>
      <c r="EL25" s="353" t="s">
        <v>2720</v>
      </c>
      <c r="EM25" s="354">
        <v>4.99</v>
      </c>
      <c r="EN25" s="353" t="s">
        <v>2720</v>
      </c>
      <c r="EO25" s="353">
        <v>5.4</v>
      </c>
      <c r="EP25" s="353">
        <v>5.0999999999999996</v>
      </c>
      <c r="EQ25" s="353" t="s">
        <v>2720</v>
      </c>
      <c r="ER25" s="353" t="s">
        <v>2720</v>
      </c>
      <c r="ES25" s="353">
        <v>5</v>
      </c>
      <c r="ET25" s="353">
        <v>5.8</v>
      </c>
      <c r="EU25" s="353" t="s">
        <v>2720</v>
      </c>
      <c r="EV25" s="353" t="s">
        <v>2720</v>
      </c>
      <c r="EW25" s="353" t="s">
        <v>2720</v>
      </c>
      <c r="EX25" s="353" t="s">
        <v>2720</v>
      </c>
      <c r="EY25" s="353" t="s">
        <v>2720</v>
      </c>
      <c r="EZ25" s="353">
        <v>5.5</v>
      </c>
      <c r="FA25" s="353" t="s">
        <v>2720</v>
      </c>
      <c r="FB25" s="353">
        <v>5.9</v>
      </c>
      <c r="FC25" s="353">
        <v>6</v>
      </c>
      <c r="FD25" s="353" t="s">
        <v>2720</v>
      </c>
      <c r="FE25" s="353">
        <v>5.9</v>
      </c>
      <c r="FF25" s="353" t="s">
        <v>2720</v>
      </c>
      <c r="FG25" s="353" t="s">
        <v>2720</v>
      </c>
      <c r="FH25" s="353" t="s">
        <v>2720</v>
      </c>
      <c r="FI25" s="353">
        <v>5.6</v>
      </c>
      <c r="FJ25" s="353" t="s">
        <v>2720</v>
      </c>
      <c r="FK25" s="355">
        <v>5.49</v>
      </c>
      <c r="FM25" s="357"/>
    </row>
    <row r="26" spans="1:169" s="356" customFormat="1" ht="27.95" customHeight="1">
      <c r="A26" s="358">
        <v>16</v>
      </c>
      <c r="B26" s="359" t="s">
        <v>2048</v>
      </c>
      <c r="C26" s="360" t="s">
        <v>2049</v>
      </c>
      <c r="D26" s="361" t="s">
        <v>1580</v>
      </c>
      <c r="E26" s="362"/>
      <c r="F26" s="363">
        <v>0</v>
      </c>
      <c r="G26" s="364">
        <v>59</v>
      </c>
      <c r="H26" s="365">
        <v>5.2</v>
      </c>
      <c r="I26" s="366" t="s">
        <v>2720</v>
      </c>
      <c r="J26" s="365">
        <v>6.1</v>
      </c>
      <c r="K26" s="366" t="s">
        <v>2720</v>
      </c>
      <c r="L26" s="365">
        <v>5</v>
      </c>
      <c r="M26" s="366" t="s">
        <v>2720</v>
      </c>
      <c r="N26" s="365">
        <v>5.7</v>
      </c>
      <c r="O26" s="366" t="s">
        <v>2720</v>
      </c>
      <c r="P26" s="365">
        <v>5.8</v>
      </c>
      <c r="Q26" s="366" t="s">
        <v>2720</v>
      </c>
      <c r="R26" s="365">
        <v>4.5</v>
      </c>
      <c r="S26" s="366" t="s">
        <v>2720</v>
      </c>
      <c r="T26" s="365">
        <v>5.4</v>
      </c>
      <c r="U26" s="366" t="s">
        <v>2720</v>
      </c>
      <c r="V26" s="365" t="s">
        <v>2720</v>
      </c>
      <c r="W26" s="366" t="s">
        <v>2720</v>
      </c>
      <c r="X26" s="367" t="s">
        <v>2720</v>
      </c>
      <c r="Y26" s="368"/>
      <c r="Z26" s="331">
        <v>2.9</v>
      </c>
      <c r="AA26" s="332">
        <v>4.0999999999999996</v>
      </c>
      <c r="AB26" s="331">
        <v>4.2</v>
      </c>
      <c r="AC26" s="332" t="s">
        <v>2720</v>
      </c>
      <c r="AD26" s="331">
        <v>3.6</v>
      </c>
      <c r="AE26" s="332" t="s">
        <v>2720</v>
      </c>
      <c r="AF26" s="331">
        <v>7.3</v>
      </c>
      <c r="AG26" s="332" t="s">
        <v>2720</v>
      </c>
      <c r="AH26" s="331" t="s">
        <v>2720</v>
      </c>
      <c r="AI26" s="332" t="s">
        <v>2720</v>
      </c>
      <c r="AJ26" s="331">
        <v>6.7</v>
      </c>
      <c r="AK26" s="332" t="s">
        <v>2720</v>
      </c>
      <c r="AL26" s="331">
        <v>5.8</v>
      </c>
      <c r="AM26" s="333" t="s">
        <v>2720</v>
      </c>
      <c r="AN26" s="331">
        <v>0.8</v>
      </c>
      <c r="AO26" s="332" t="s">
        <v>2720</v>
      </c>
      <c r="AP26" s="331">
        <v>6.3</v>
      </c>
      <c r="AQ26" s="333" t="s">
        <v>2720</v>
      </c>
      <c r="AR26" s="331" t="s">
        <v>2720</v>
      </c>
      <c r="AS26" s="333" t="s">
        <v>2720</v>
      </c>
      <c r="AT26" s="331" t="s">
        <v>2720</v>
      </c>
      <c r="AU26" s="333" t="s">
        <v>2720</v>
      </c>
      <c r="AV26" s="331" t="s">
        <v>2720</v>
      </c>
      <c r="AW26" s="333" t="s">
        <v>2720</v>
      </c>
      <c r="AX26" s="331">
        <v>6.3</v>
      </c>
      <c r="AY26" s="368"/>
      <c r="AZ26" s="331" t="s">
        <v>2720</v>
      </c>
      <c r="BA26" s="368"/>
      <c r="BB26" s="334">
        <v>5.08</v>
      </c>
      <c r="BC26" s="335">
        <v>5.14</v>
      </c>
      <c r="BD26" s="336">
        <v>46.5</v>
      </c>
      <c r="BE26" s="369" t="s">
        <v>2760</v>
      </c>
      <c r="BF26" s="336" t="s">
        <v>2760</v>
      </c>
      <c r="BG26" s="370"/>
      <c r="BH26" s="339" t="s">
        <v>2720</v>
      </c>
      <c r="BI26" s="340">
        <v>39</v>
      </c>
      <c r="BJ26" s="341">
        <v>25</v>
      </c>
      <c r="BK26" s="341">
        <v>14</v>
      </c>
      <c r="BL26" s="341">
        <v>25</v>
      </c>
      <c r="BM26" s="342">
        <v>14</v>
      </c>
      <c r="BN26" s="371">
        <v>5.93</v>
      </c>
      <c r="BO26" s="372" t="s">
        <v>2758</v>
      </c>
      <c r="BP26" s="371">
        <v>5.93</v>
      </c>
      <c r="BQ26" s="372" t="s">
        <v>2758</v>
      </c>
      <c r="BR26" s="345" t="s">
        <v>2761</v>
      </c>
      <c r="BS26" s="373"/>
      <c r="BT26" s="347">
        <v>5.2</v>
      </c>
      <c r="BU26" s="348">
        <v>6.1</v>
      </c>
      <c r="BV26" s="348">
        <v>5</v>
      </c>
      <c r="BW26" s="348">
        <v>5.7</v>
      </c>
      <c r="BX26" s="349">
        <v>5.8</v>
      </c>
      <c r="BY26" s="349">
        <v>4.5</v>
      </c>
      <c r="BZ26" s="348">
        <v>5.4</v>
      </c>
      <c r="CA26" s="348" t="s">
        <v>2720</v>
      </c>
      <c r="CB26" s="348" t="s">
        <v>2720</v>
      </c>
      <c r="CC26" s="348">
        <v>2.9</v>
      </c>
      <c r="CD26" s="348">
        <v>4.2</v>
      </c>
      <c r="CE26" s="348">
        <v>3.6</v>
      </c>
      <c r="CF26" s="348">
        <v>7.3</v>
      </c>
      <c r="CG26" s="348" t="s">
        <v>2720</v>
      </c>
      <c r="CH26" s="348">
        <v>6.7</v>
      </c>
      <c r="CI26" s="348">
        <v>5.8</v>
      </c>
      <c r="CJ26" s="348">
        <v>0.8</v>
      </c>
      <c r="CK26" s="348">
        <v>6.3</v>
      </c>
      <c r="CL26" s="348" t="s">
        <v>2720</v>
      </c>
      <c r="CM26" s="349" t="s">
        <v>2720</v>
      </c>
      <c r="CN26" s="348" t="s">
        <v>2720</v>
      </c>
      <c r="CO26" s="348">
        <v>6.3</v>
      </c>
      <c r="CP26" s="348" t="s">
        <v>2720</v>
      </c>
      <c r="CQ26" s="350">
        <v>5.08</v>
      </c>
      <c r="CR26" s="348">
        <v>5.2</v>
      </c>
      <c r="CS26" s="348">
        <v>6.1</v>
      </c>
      <c r="CT26" s="348">
        <v>5</v>
      </c>
      <c r="CU26" s="348">
        <v>5.7</v>
      </c>
      <c r="CV26" s="348">
        <v>5.8</v>
      </c>
      <c r="CW26" s="348" t="s">
        <v>2720</v>
      </c>
      <c r="CX26" s="348">
        <v>5.4</v>
      </c>
      <c r="CY26" s="348" t="s">
        <v>2720</v>
      </c>
      <c r="CZ26" s="348" t="s">
        <v>2720</v>
      </c>
      <c r="DA26" s="348" t="s">
        <v>2720</v>
      </c>
      <c r="DB26" s="348" t="s">
        <v>2720</v>
      </c>
      <c r="DC26" s="348" t="s">
        <v>2720</v>
      </c>
      <c r="DD26" s="348">
        <v>7.3</v>
      </c>
      <c r="DE26" s="348" t="s">
        <v>2720</v>
      </c>
      <c r="DF26" s="348">
        <v>6.7</v>
      </c>
      <c r="DG26" s="348">
        <v>5.8</v>
      </c>
      <c r="DH26" s="348" t="s">
        <v>2720</v>
      </c>
      <c r="DI26" s="348">
        <v>6.3</v>
      </c>
      <c r="DJ26" s="348" t="s">
        <v>2720</v>
      </c>
      <c r="DK26" s="348" t="s">
        <v>2720</v>
      </c>
      <c r="DL26" s="348" t="s">
        <v>2720</v>
      </c>
      <c r="DM26" s="348">
        <v>6.3</v>
      </c>
      <c r="DN26" s="348" t="s">
        <v>2720</v>
      </c>
      <c r="DO26" s="351">
        <v>5.93</v>
      </c>
      <c r="DP26" s="374">
        <v>5.2</v>
      </c>
      <c r="DQ26" s="353">
        <v>6.1</v>
      </c>
      <c r="DR26" s="353">
        <v>5</v>
      </c>
      <c r="DS26" s="353">
        <v>5.7</v>
      </c>
      <c r="DT26" s="353">
        <v>5.8</v>
      </c>
      <c r="DU26" s="353">
        <v>4.5</v>
      </c>
      <c r="DV26" s="353">
        <v>5.4</v>
      </c>
      <c r="DW26" s="353" t="s">
        <v>2720</v>
      </c>
      <c r="DX26" s="353" t="s">
        <v>2720</v>
      </c>
      <c r="DY26" s="353">
        <v>4.0999999999999996</v>
      </c>
      <c r="DZ26" s="353">
        <v>4.2</v>
      </c>
      <c r="EA26" s="353">
        <v>3.6</v>
      </c>
      <c r="EB26" s="353">
        <v>7.3</v>
      </c>
      <c r="EC26" s="353" t="s">
        <v>2720</v>
      </c>
      <c r="ED26" s="353">
        <v>6.7</v>
      </c>
      <c r="EE26" s="353">
        <v>5.8</v>
      </c>
      <c r="EF26" s="353">
        <v>0.8</v>
      </c>
      <c r="EG26" s="353">
        <v>6.3</v>
      </c>
      <c r="EH26" s="353" t="s">
        <v>2720</v>
      </c>
      <c r="EI26" s="353" t="s">
        <v>2720</v>
      </c>
      <c r="EJ26" s="353" t="s">
        <v>2720</v>
      </c>
      <c r="EK26" s="353">
        <v>6.3</v>
      </c>
      <c r="EL26" s="353" t="s">
        <v>2720</v>
      </c>
      <c r="EM26" s="354">
        <v>5.14</v>
      </c>
      <c r="EN26" s="353">
        <v>5.2</v>
      </c>
      <c r="EO26" s="353">
        <v>6.1</v>
      </c>
      <c r="EP26" s="353">
        <v>5</v>
      </c>
      <c r="EQ26" s="353">
        <v>5.7</v>
      </c>
      <c r="ER26" s="353">
        <v>5.8</v>
      </c>
      <c r="ES26" s="353" t="s">
        <v>2720</v>
      </c>
      <c r="ET26" s="353">
        <v>5.4</v>
      </c>
      <c r="EU26" s="353" t="s">
        <v>2720</v>
      </c>
      <c r="EV26" s="353" t="s">
        <v>2720</v>
      </c>
      <c r="EW26" s="353" t="s">
        <v>2720</v>
      </c>
      <c r="EX26" s="353" t="s">
        <v>2720</v>
      </c>
      <c r="EY26" s="353" t="s">
        <v>2720</v>
      </c>
      <c r="EZ26" s="353">
        <v>7.3</v>
      </c>
      <c r="FA26" s="353" t="s">
        <v>2720</v>
      </c>
      <c r="FB26" s="353">
        <v>6.7</v>
      </c>
      <c r="FC26" s="353">
        <v>5.8</v>
      </c>
      <c r="FD26" s="353" t="s">
        <v>2720</v>
      </c>
      <c r="FE26" s="353">
        <v>6.3</v>
      </c>
      <c r="FF26" s="353" t="s">
        <v>2720</v>
      </c>
      <c r="FG26" s="353" t="s">
        <v>2720</v>
      </c>
      <c r="FH26" s="353" t="s">
        <v>2720</v>
      </c>
      <c r="FI26" s="353">
        <v>6.3</v>
      </c>
      <c r="FJ26" s="353" t="s">
        <v>2720</v>
      </c>
      <c r="FK26" s="355">
        <v>5.93</v>
      </c>
      <c r="FM26" s="357"/>
    </row>
    <row r="27" spans="1:169" s="356" customFormat="1" ht="27.95" customHeight="1">
      <c r="A27" s="358">
        <v>17</v>
      </c>
      <c r="B27" s="359" t="s">
        <v>2050</v>
      </c>
      <c r="C27" s="360" t="s">
        <v>2051</v>
      </c>
      <c r="D27" s="361" t="s">
        <v>2052</v>
      </c>
      <c r="E27" s="362"/>
      <c r="F27" s="363">
        <v>2</v>
      </c>
      <c r="G27" s="364">
        <v>0</v>
      </c>
      <c r="H27" s="365">
        <v>5.2</v>
      </c>
      <c r="I27" s="366" t="s">
        <v>2720</v>
      </c>
      <c r="J27" s="365">
        <v>4.3</v>
      </c>
      <c r="K27" s="366">
        <v>6</v>
      </c>
      <c r="L27" s="365">
        <v>4.3</v>
      </c>
      <c r="M27" s="366">
        <v>6.3</v>
      </c>
      <c r="N27" s="365">
        <v>5.2</v>
      </c>
      <c r="O27" s="366" t="s">
        <v>2720</v>
      </c>
      <c r="P27" s="365">
        <v>6.2</v>
      </c>
      <c r="Q27" s="366" t="s">
        <v>2720</v>
      </c>
      <c r="R27" s="365">
        <v>4.4000000000000004</v>
      </c>
      <c r="S27" s="366">
        <v>4.5999999999999996</v>
      </c>
      <c r="T27" s="365">
        <v>6.6</v>
      </c>
      <c r="U27" s="366" t="s">
        <v>2720</v>
      </c>
      <c r="V27" s="365" t="s">
        <v>2720</v>
      </c>
      <c r="W27" s="366" t="s">
        <v>2720</v>
      </c>
      <c r="X27" s="367" t="s">
        <v>2720</v>
      </c>
      <c r="Y27" s="368"/>
      <c r="Z27" s="331">
        <v>6.4</v>
      </c>
      <c r="AA27" s="332" t="s">
        <v>2720</v>
      </c>
      <c r="AB27" s="331">
        <v>5.7</v>
      </c>
      <c r="AC27" s="332" t="s">
        <v>2720</v>
      </c>
      <c r="AD27" s="331" t="s">
        <v>2720</v>
      </c>
      <c r="AE27" s="332" t="s">
        <v>2720</v>
      </c>
      <c r="AF27" s="331">
        <v>7.8</v>
      </c>
      <c r="AG27" s="332" t="s">
        <v>2720</v>
      </c>
      <c r="AH27" s="331">
        <v>5.4</v>
      </c>
      <c r="AI27" s="332" t="s">
        <v>2720</v>
      </c>
      <c r="AJ27" s="331">
        <v>7.2</v>
      </c>
      <c r="AK27" s="332" t="s">
        <v>2720</v>
      </c>
      <c r="AL27" s="331">
        <v>6</v>
      </c>
      <c r="AM27" s="333" t="s">
        <v>2720</v>
      </c>
      <c r="AN27" s="331">
        <v>4</v>
      </c>
      <c r="AO27" s="332">
        <v>4.7</v>
      </c>
      <c r="AP27" s="331">
        <v>7</v>
      </c>
      <c r="AQ27" s="333" t="s">
        <v>2720</v>
      </c>
      <c r="AR27" s="331" t="s">
        <v>2720</v>
      </c>
      <c r="AS27" s="333" t="s">
        <v>2720</v>
      </c>
      <c r="AT27" s="331" t="s">
        <v>2720</v>
      </c>
      <c r="AU27" s="333" t="s">
        <v>2720</v>
      </c>
      <c r="AV27" s="331" t="s">
        <v>2720</v>
      </c>
      <c r="AW27" s="333" t="s">
        <v>2720</v>
      </c>
      <c r="AX27" s="331">
        <v>5.0999999999999996</v>
      </c>
      <c r="AY27" s="368"/>
      <c r="AZ27" s="331" t="s">
        <v>2720</v>
      </c>
      <c r="BA27" s="368"/>
      <c r="BB27" s="334">
        <v>5.54</v>
      </c>
      <c r="BC27" s="335">
        <v>5.84</v>
      </c>
      <c r="BD27" s="336">
        <v>60.5</v>
      </c>
      <c r="BE27" s="369" t="s">
        <v>2760</v>
      </c>
      <c r="BF27" s="336" t="s">
        <v>2760</v>
      </c>
      <c r="BG27" s="370"/>
      <c r="BH27" s="339" t="s">
        <v>2720</v>
      </c>
      <c r="BI27" s="340">
        <v>39</v>
      </c>
      <c r="BJ27" s="341">
        <v>27</v>
      </c>
      <c r="BK27" s="341">
        <v>12</v>
      </c>
      <c r="BL27" s="341">
        <v>32</v>
      </c>
      <c r="BM27" s="342">
        <v>7</v>
      </c>
      <c r="BN27" s="371">
        <v>6.1</v>
      </c>
      <c r="BO27" s="372" t="s">
        <v>2758</v>
      </c>
      <c r="BP27" s="371">
        <v>6.1</v>
      </c>
      <c r="BQ27" s="372" t="s">
        <v>2758</v>
      </c>
      <c r="BR27" s="345" t="s">
        <v>2761</v>
      </c>
      <c r="BS27" s="373"/>
      <c r="BT27" s="347">
        <v>5.2</v>
      </c>
      <c r="BU27" s="348">
        <v>4.3</v>
      </c>
      <c r="BV27" s="348">
        <v>4.3</v>
      </c>
      <c r="BW27" s="348">
        <v>5.2</v>
      </c>
      <c r="BX27" s="349">
        <v>6.2</v>
      </c>
      <c r="BY27" s="349">
        <v>4.4000000000000004</v>
      </c>
      <c r="BZ27" s="348">
        <v>6.6</v>
      </c>
      <c r="CA27" s="348" t="s">
        <v>2720</v>
      </c>
      <c r="CB27" s="348" t="s">
        <v>2720</v>
      </c>
      <c r="CC27" s="348">
        <v>6.4</v>
      </c>
      <c r="CD27" s="348">
        <v>5.7</v>
      </c>
      <c r="CE27" s="348" t="s">
        <v>2720</v>
      </c>
      <c r="CF27" s="348">
        <v>7.8</v>
      </c>
      <c r="CG27" s="348">
        <v>5.4</v>
      </c>
      <c r="CH27" s="348">
        <v>7.2</v>
      </c>
      <c r="CI27" s="348">
        <v>6</v>
      </c>
      <c r="CJ27" s="348">
        <v>4</v>
      </c>
      <c r="CK27" s="348">
        <v>7</v>
      </c>
      <c r="CL27" s="348" t="s">
        <v>2720</v>
      </c>
      <c r="CM27" s="349" t="s">
        <v>2720</v>
      </c>
      <c r="CN27" s="348" t="s">
        <v>2720</v>
      </c>
      <c r="CO27" s="348">
        <v>5.0999999999999996</v>
      </c>
      <c r="CP27" s="348" t="s">
        <v>2720</v>
      </c>
      <c r="CQ27" s="350">
        <v>5.54</v>
      </c>
      <c r="CR27" s="348">
        <v>5.2</v>
      </c>
      <c r="CS27" s="348" t="s">
        <v>2720</v>
      </c>
      <c r="CT27" s="348" t="s">
        <v>2720</v>
      </c>
      <c r="CU27" s="348">
        <v>5.2</v>
      </c>
      <c r="CV27" s="348">
        <v>6.2</v>
      </c>
      <c r="CW27" s="348" t="s">
        <v>2720</v>
      </c>
      <c r="CX27" s="348">
        <v>6.6</v>
      </c>
      <c r="CY27" s="348" t="s">
        <v>2720</v>
      </c>
      <c r="CZ27" s="348" t="s">
        <v>2720</v>
      </c>
      <c r="DA27" s="348">
        <v>6.4</v>
      </c>
      <c r="DB27" s="348">
        <v>5.7</v>
      </c>
      <c r="DC27" s="348" t="s">
        <v>2720</v>
      </c>
      <c r="DD27" s="348">
        <v>7.8</v>
      </c>
      <c r="DE27" s="348">
        <v>5.4</v>
      </c>
      <c r="DF27" s="348">
        <v>7.2</v>
      </c>
      <c r="DG27" s="348">
        <v>6</v>
      </c>
      <c r="DH27" s="348" t="s">
        <v>2720</v>
      </c>
      <c r="DI27" s="348">
        <v>7</v>
      </c>
      <c r="DJ27" s="348" t="s">
        <v>2720</v>
      </c>
      <c r="DK27" s="348" t="s">
        <v>2720</v>
      </c>
      <c r="DL27" s="348" t="s">
        <v>2720</v>
      </c>
      <c r="DM27" s="348">
        <v>5.0999999999999996</v>
      </c>
      <c r="DN27" s="348" t="s">
        <v>2720</v>
      </c>
      <c r="DO27" s="351">
        <v>6.1</v>
      </c>
      <c r="DP27" s="374">
        <v>5.2</v>
      </c>
      <c r="DQ27" s="353">
        <v>6</v>
      </c>
      <c r="DR27" s="353">
        <v>6.3</v>
      </c>
      <c r="DS27" s="353">
        <v>5.2</v>
      </c>
      <c r="DT27" s="353">
        <v>6.2</v>
      </c>
      <c r="DU27" s="353">
        <v>4.5999999999999996</v>
      </c>
      <c r="DV27" s="353">
        <v>6.6</v>
      </c>
      <c r="DW27" s="353" t="s">
        <v>2720</v>
      </c>
      <c r="DX27" s="353" t="s">
        <v>2720</v>
      </c>
      <c r="DY27" s="353">
        <v>6.4</v>
      </c>
      <c r="DZ27" s="353">
        <v>5.7</v>
      </c>
      <c r="EA27" s="353" t="s">
        <v>2720</v>
      </c>
      <c r="EB27" s="353">
        <v>7.8</v>
      </c>
      <c r="EC27" s="353">
        <v>5.4</v>
      </c>
      <c r="ED27" s="353">
        <v>7.2</v>
      </c>
      <c r="EE27" s="353">
        <v>6</v>
      </c>
      <c r="EF27" s="353">
        <v>4.7</v>
      </c>
      <c r="EG27" s="353">
        <v>7</v>
      </c>
      <c r="EH27" s="353" t="s">
        <v>2720</v>
      </c>
      <c r="EI27" s="353" t="s">
        <v>2720</v>
      </c>
      <c r="EJ27" s="353" t="s">
        <v>2720</v>
      </c>
      <c r="EK27" s="353">
        <v>5.0999999999999996</v>
      </c>
      <c r="EL27" s="353" t="s">
        <v>2720</v>
      </c>
      <c r="EM27" s="354">
        <v>5.84</v>
      </c>
      <c r="EN27" s="353">
        <v>5.2</v>
      </c>
      <c r="EO27" s="353">
        <v>6</v>
      </c>
      <c r="EP27" s="353">
        <v>6.3</v>
      </c>
      <c r="EQ27" s="353">
        <v>5.2</v>
      </c>
      <c r="ER27" s="353">
        <v>6.2</v>
      </c>
      <c r="ES27" s="353" t="s">
        <v>2720</v>
      </c>
      <c r="ET27" s="353">
        <v>6.6</v>
      </c>
      <c r="EU27" s="353" t="s">
        <v>2720</v>
      </c>
      <c r="EV27" s="353" t="s">
        <v>2720</v>
      </c>
      <c r="EW27" s="353">
        <v>6.4</v>
      </c>
      <c r="EX27" s="353">
        <v>5.7</v>
      </c>
      <c r="EY27" s="353" t="s">
        <v>2720</v>
      </c>
      <c r="EZ27" s="353">
        <v>7.8</v>
      </c>
      <c r="FA27" s="353">
        <v>5.4</v>
      </c>
      <c r="FB27" s="353">
        <v>7.2</v>
      </c>
      <c r="FC27" s="353">
        <v>6</v>
      </c>
      <c r="FD27" s="353" t="s">
        <v>2720</v>
      </c>
      <c r="FE27" s="353">
        <v>7</v>
      </c>
      <c r="FF27" s="353" t="s">
        <v>2720</v>
      </c>
      <c r="FG27" s="353" t="s">
        <v>2720</v>
      </c>
      <c r="FH27" s="353" t="s">
        <v>2720</v>
      </c>
      <c r="FI27" s="353">
        <v>5.0999999999999996</v>
      </c>
      <c r="FJ27" s="353" t="s">
        <v>2720</v>
      </c>
      <c r="FK27" s="355">
        <v>6.1</v>
      </c>
      <c r="FM27" s="357"/>
    </row>
    <row r="28" spans="1:169" s="356" customFormat="1" ht="27.95" customHeight="1">
      <c r="A28" s="358">
        <v>18</v>
      </c>
      <c r="B28" s="359" t="s">
        <v>2054</v>
      </c>
      <c r="C28" s="360" t="s">
        <v>1557</v>
      </c>
      <c r="D28" s="361" t="s">
        <v>1626</v>
      </c>
      <c r="E28" s="362"/>
      <c r="F28" s="363">
        <v>2</v>
      </c>
      <c r="G28" s="364">
        <v>10</v>
      </c>
      <c r="H28" s="365">
        <v>7.3</v>
      </c>
      <c r="I28" s="366" t="s">
        <v>2720</v>
      </c>
      <c r="J28" s="365">
        <v>8.1</v>
      </c>
      <c r="K28" s="366" t="s">
        <v>2720</v>
      </c>
      <c r="L28" s="365">
        <v>6.5</v>
      </c>
      <c r="M28" s="366" t="s">
        <v>2720</v>
      </c>
      <c r="N28" s="365">
        <v>6</v>
      </c>
      <c r="O28" s="366" t="s">
        <v>2720</v>
      </c>
      <c r="P28" s="365">
        <v>5.7</v>
      </c>
      <c r="Q28" s="366" t="s">
        <v>2720</v>
      </c>
      <c r="R28" s="365">
        <v>6.9</v>
      </c>
      <c r="S28" s="366" t="s">
        <v>2720</v>
      </c>
      <c r="T28" s="365">
        <v>7.6</v>
      </c>
      <c r="U28" s="366" t="s">
        <v>2720</v>
      </c>
      <c r="V28" s="365" t="s">
        <v>2720</v>
      </c>
      <c r="W28" s="366" t="s">
        <v>2720</v>
      </c>
      <c r="X28" s="367" t="s">
        <v>2720</v>
      </c>
      <c r="Y28" s="368"/>
      <c r="Z28" s="331">
        <v>7</v>
      </c>
      <c r="AA28" s="332" t="s">
        <v>2720</v>
      </c>
      <c r="AB28" s="331">
        <v>5.9</v>
      </c>
      <c r="AC28" s="332" t="s">
        <v>2720</v>
      </c>
      <c r="AD28" s="331">
        <v>6.2</v>
      </c>
      <c r="AE28" s="332" t="s">
        <v>2720</v>
      </c>
      <c r="AF28" s="331">
        <v>8.5</v>
      </c>
      <c r="AG28" s="332" t="s">
        <v>2720</v>
      </c>
      <c r="AH28" s="331" t="s">
        <v>2720</v>
      </c>
      <c r="AI28" s="332" t="s">
        <v>2720</v>
      </c>
      <c r="AJ28" s="331">
        <v>7.4</v>
      </c>
      <c r="AK28" s="332" t="s">
        <v>2720</v>
      </c>
      <c r="AL28" s="331">
        <v>7.7</v>
      </c>
      <c r="AM28" s="333" t="s">
        <v>2720</v>
      </c>
      <c r="AN28" s="331">
        <v>6.7</v>
      </c>
      <c r="AO28" s="332" t="s">
        <v>2720</v>
      </c>
      <c r="AP28" s="331">
        <v>6.2</v>
      </c>
      <c r="AQ28" s="333" t="s">
        <v>2720</v>
      </c>
      <c r="AR28" s="331" t="s">
        <v>2720</v>
      </c>
      <c r="AS28" s="333" t="s">
        <v>2720</v>
      </c>
      <c r="AT28" s="331" t="s">
        <v>2720</v>
      </c>
      <c r="AU28" s="333" t="s">
        <v>2720</v>
      </c>
      <c r="AV28" s="331" t="s">
        <v>2720</v>
      </c>
      <c r="AW28" s="333" t="s">
        <v>2720</v>
      </c>
      <c r="AX28" s="331">
        <v>7</v>
      </c>
      <c r="AY28" s="368"/>
      <c r="AZ28" s="331" t="s">
        <v>2720</v>
      </c>
      <c r="BA28" s="368"/>
      <c r="BB28" s="334">
        <v>6.9</v>
      </c>
      <c r="BC28" s="335">
        <v>6.9</v>
      </c>
      <c r="BD28" s="336">
        <v>61</v>
      </c>
      <c r="BE28" s="369" t="s">
        <v>2764</v>
      </c>
      <c r="BF28" s="336" t="s">
        <v>2764</v>
      </c>
      <c r="BG28" s="370"/>
      <c r="BH28" s="339" t="s">
        <v>2720</v>
      </c>
      <c r="BI28" s="340">
        <v>39</v>
      </c>
      <c r="BJ28" s="341">
        <v>39</v>
      </c>
      <c r="BK28" s="341">
        <v>0</v>
      </c>
      <c r="BL28" s="341">
        <v>39</v>
      </c>
      <c r="BM28" s="342">
        <v>0</v>
      </c>
      <c r="BN28" s="371">
        <v>6.9</v>
      </c>
      <c r="BO28" s="372" t="s">
        <v>2758</v>
      </c>
      <c r="BP28" s="371">
        <v>6.9</v>
      </c>
      <c r="BQ28" s="372" t="s">
        <v>2758</v>
      </c>
      <c r="BR28" s="345" t="s">
        <v>2759</v>
      </c>
      <c r="BS28" s="373"/>
      <c r="BT28" s="347">
        <v>7.3</v>
      </c>
      <c r="BU28" s="348">
        <v>8.1</v>
      </c>
      <c r="BV28" s="348">
        <v>6.5</v>
      </c>
      <c r="BW28" s="348">
        <v>6</v>
      </c>
      <c r="BX28" s="349">
        <v>5.7</v>
      </c>
      <c r="BY28" s="349">
        <v>6.9</v>
      </c>
      <c r="BZ28" s="348">
        <v>7.6</v>
      </c>
      <c r="CA28" s="348" t="s">
        <v>2720</v>
      </c>
      <c r="CB28" s="348" t="s">
        <v>2720</v>
      </c>
      <c r="CC28" s="348">
        <v>7</v>
      </c>
      <c r="CD28" s="348">
        <v>5.9</v>
      </c>
      <c r="CE28" s="348">
        <v>6.2</v>
      </c>
      <c r="CF28" s="348">
        <v>8.5</v>
      </c>
      <c r="CG28" s="348" t="s">
        <v>2720</v>
      </c>
      <c r="CH28" s="348">
        <v>7.4</v>
      </c>
      <c r="CI28" s="348">
        <v>7.7</v>
      </c>
      <c r="CJ28" s="348">
        <v>6.7</v>
      </c>
      <c r="CK28" s="348">
        <v>6.2</v>
      </c>
      <c r="CL28" s="348" t="s">
        <v>2720</v>
      </c>
      <c r="CM28" s="349" t="s">
        <v>2720</v>
      </c>
      <c r="CN28" s="348" t="s">
        <v>2720</v>
      </c>
      <c r="CO28" s="348">
        <v>7</v>
      </c>
      <c r="CP28" s="348" t="s">
        <v>2720</v>
      </c>
      <c r="CQ28" s="350">
        <v>6.9</v>
      </c>
      <c r="CR28" s="348">
        <v>7.3</v>
      </c>
      <c r="CS28" s="348">
        <v>8.1</v>
      </c>
      <c r="CT28" s="348">
        <v>6.5</v>
      </c>
      <c r="CU28" s="348">
        <v>6</v>
      </c>
      <c r="CV28" s="348">
        <v>5.7</v>
      </c>
      <c r="CW28" s="348">
        <v>6.9</v>
      </c>
      <c r="CX28" s="348">
        <v>7.6</v>
      </c>
      <c r="CY28" s="348" t="s">
        <v>2720</v>
      </c>
      <c r="CZ28" s="348" t="s">
        <v>2720</v>
      </c>
      <c r="DA28" s="348">
        <v>7</v>
      </c>
      <c r="DB28" s="348">
        <v>5.9</v>
      </c>
      <c r="DC28" s="348">
        <v>6.2</v>
      </c>
      <c r="DD28" s="348">
        <v>8.5</v>
      </c>
      <c r="DE28" s="348" t="s">
        <v>2720</v>
      </c>
      <c r="DF28" s="348">
        <v>7.4</v>
      </c>
      <c r="DG28" s="348">
        <v>7.7</v>
      </c>
      <c r="DH28" s="348">
        <v>6.7</v>
      </c>
      <c r="DI28" s="348">
        <v>6.2</v>
      </c>
      <c r="DJ28" s="348" t="s">
        <v>2720</v>
      </c>
      <c r="DK28" s="348" t="s">
        <v>2720</v>
      </c>
      <c r="DL28" s="348" t="s">
        <v>2720</v>
      </c>
      <c r="DM28" s="348">
        <v>7</v>
      </c>
      <c r="DN28" s="348" t="s">
        <v>2720</v>
      </c>
      <c r="DO28" s="351">
        <v>6.9</v>
      </c>
      <c r="DP28" s="374">
        <v>7.3</v>
      </c>
      <c r="DQ28" s="353">
        <v>8.1</v>
      </c>
      <c r="DR28" s="353">
        <v>6.5</v>
      </c>
      <c r="DS28" s="353">
        <v>6</v>
      </c>
      <c r="DT28" s="353">
        <v>5.7</v>
      </c>
      <c r="DU28" s="353">
        <v>6.9</v>
      </c>
      <c r="DV28" s="353">
        <v>7.6</v>
      </c>
      <c r="DW28" s="353" t="s">
        <v>2720</v>
      </c>
      <c r="DX28" s="353" t="s">
        <v>2720</v>
      </c>
      <c r="DY28" s="353">
        <v>7</v>
      </c>
      <c r="DZ28" s="353">
        <v>5.9</v>
      </c>
      <c r="EA28" s="353">
        <v>6.2</v>
      </c>
      <c r="EB28" s="353">
        <v>8.5</v>
      </c>
      <c r="EC28" s="353" t="s">
        <v>2720</v>
      </c>
      <c r="ED28" s="353">
        <v>7.4</v>
      </c>
      <c r="EE28" s="353">
        <v>7.7</v>
      </c>
      <c r="EF28" s="353">
        <v>6.7</v>
      </c>
      <c r="EG28" s="353">
        <v>6.2</v>
      </c>
      <c r="EH28" s="353" t="s">
        <v>2720</v>
      </c>
      <c r="EI28" s="353" t="s">
        <v>2720</v>
      </c>
      <c r="EJ28" s="353" t="s">
        <v>2720</v>
      </c>
      <c r="EK28" s="353">
        <v>7</v>
      </c>
      <c r="EL28" s="353" t="s">
        <v>2720</v>
      </c>
      <c r="EM28" s="354">
        <v>6.9</v>
      </c>
      <c r="EN28" s="353">
        <v>7.3</v>
      </c>
      <c r="EO28" s="353">
        <v>8.1</v>
      </c>
      <c r="EP28" s="353">
        <v>6.5</v>
      </c>
      <c r="EQ28" s="353">
        <v>6</v>
      </c>
      <c r="ER28" s="353">
        <v>5.7</v>
      </c>
      <c r="ES28" s="353">
        <v>6.9</v>
      </c>
      <c r="ET28" s="353">
        <v>7.6</v>
      </c>
      <c r="EU28" s="353" t="s">
        <v>2720</v>
      </c>
      <c r="EV28" s="353" t="s">
        <v>2720</v>
      </c>
      <c r="EW28" s="353">
        <v>7</v>
      </c>
      <c r="EX28" s="353">
        <v>5.9</v>
      </c>
      <c r="EY28" s="353">
        <v>6.2</v>
      </c>
      <c r="EZ28" s="353">
        <v>8.5</v>
      </c>
      <c r="FA28" s="353" t="s">
        <v>2720</v>
      </c>
      <c r="FB28" s="353">
        <v>7.4</v>
      </c>
      <c r="FC28" s="353">
        <v>7.7</v>
      </c>
      <c r="FD28" s="353">
        <v>6.7</v>
      </c>
      <c r="FE28" s="353">
        <v>6.2</v>
      </c>
      <c r="FF28" s="353" t="s">
        <v>2720</v>
      </c>
      <c r="FG28" s="353" t="s">
        <v>2720</v>
      </c>
      <c r="FH28" s="353" t="s">
        <v>2720</v>
      </c>
      <c r="FI28" s="353">
        <v>7</v>
      </c>
      <c r="FJ28" s="353" t="s">
        <v>2720</v>
      </c>
      <c r="FK28" s="355">
        <v>6.9</v>
      </c>
      <c r="FM28" s="357"/>
    </row>
    <row r="29" spans="1:169" s="356" customFormat="1" ht="27.95" customHeight="1">
      <c r="A29" s="358">
        <v>19</v>
      </c>
      <c r="B29" s="359" t="s">
        <v>2766</v>
      </c>
      <c r="C29" s="360" t="s">
        <v>1696</v>
      </c>
      <c r="D29" s="361" t="s">
        <v>2056</v>
      </c>
      <c r="E29" s="362"/>
      <c r="F29" s="363">
        <v>4</v>
      </c>
      <c r="G29" s="364">
        <v>26</v>
      </c>
      <c r="H29" s="365">
        <v>2.8</v>
      </c>
      <c r="I29" s="366">
        <v>4.2</v>
      </c>
      <c r="J29" s="365">
        <v>2.5</v>
      </c>
      <c r="K29" s="366">
        <v>4.8</v>
      </c>
      <c r="L29" s="365">
        <v>2.5</v>
      </c>
      <c r="M29" s="366">
        <v>5.2</v>
      </c>
      <c r="N29" s="365">
        <v>5.8</v>
      </c>
      <c r="O29" s="366" t="s">
        <v>2720</v>
      </c>
      <c r="P29" s="365">
        <v>4.5999999999999996</v>
      </c>
      <c r="Q29" s="366">
        <v>4.5999999999999996</v>
      </c>
      <c r="R29" s="365">
        <v>5.8</v>
      </c>
      <c r="S29" s="366" t="s">
        <v>2720</v>
      </c>
      <c r="T29" s="365">
        <v>4.8</v>
      </c>
      <c r="U29" s="366">
        <v>5.8</v>
      </c>
      <c r="V29" s="365" t="s">
        <v>2720</v>
      </c>
      <c r="W29" s="366" t="s">
        <v>2720</v>
      </c>
      <c r="X29" s="367" t="s">
        <v>2720</v>
      </c>
      <c r="Y29" s="368"/>
      <c r="Z29" s="331">
        <v>6.5</v>
      </c>
      <c r="AA29" s="332" t="s">
        <v>2720</v>
      </c>
      <c r="AB29" s="331">
        <v>5.0999999999999996</v>
      </c>
      <c r="AC29" s="332" t="s">
        <v>2720</v>
      </c>
      <c r="AD29" s="331" t="s">
        <v>2720</v>
      </c>
      <c r="AE29" s="332" t="s">
        <v>2720</v>
      </c>
      <c r="AF29" s="331">
        <v>8.1999999999999993</v>
      </c>
      <c r="AG29" s="332" t="s">
        <v>2720</v>
      </c>
      <c r="AH29" s="331">
        <v>4.7</v>
      </c>
      <c r="AI29" s="332" t="s">
        <v>2720</v>
      </c>
      <c r="AJ29" s="331">
        <v>6.7</v>
      </c>
      <c r="AK29" s="332" t="s">
        <v>2720</v>
      </c>
      <c r="AL29" s="331">
        <v>5.9</v>
      </c>
      <c r="AM29" s="333" t="s">
        <v>2720</v>
      </c>
      <c r="AN29" s="331">
        <v>4.5</v>
      </c>
      <c r="AO29" s="332">
        <v>4.5</v>
      </c>
      <c r="AP29" s="331">
        <v>7.6</v>
      </c>
      <c r="AQ29" s="333" t="s">
        <v>2720</v>
      </c>
      <c r="AR29" s="331" t="s">
        <v>2720</v>
      </c>
      <c r="AS29" s="333" t="s">
        <v>2720</v>
      </c>
      <c r="AT29" s="331" t="s">
        <v>2720</v>
      </c>
      <c r="AU29" s="333" t="s">
        <v>2720</v>
      </c>
      <c r="AV29" s="331" t="s">
        <v>2720</v>
      </c>
      <c r="AW29" s="333" t="s">
        <v>2720</v>
      </c>
      <c r="AX29" s="331">
        <v>6.5</v>
      </c>
      <c r="AY29" s="368"/>
      <c r="AZ29" s="331" t="s">
        <v>2720</v>
      </c>
      <c r="BA29" s="368"/>
      <c r="BB29" s="334">
        <v>5.16</v>
      </c>
      <c r="BC29" s="335">
        <v>5.64</v>
      </c>
      <c r="BD29" s="336">
        <v>52.5</v>
      </c>
      <c r="BE29" s="369" t="s">
        <v>2760</v>
      </c>
      <c r="BF29" s="336" t="s">
        <v>2760</v>
      </c>
      <c r="BG29" s="370"/>
      <c r="BH29" s="339" t="s">
        <v>2720</v>
      </c>
      <c r="BI29" s="340">
        <v>39</v>
      </c>
      <c r="BJ29" s="341">
        <v>22</v>
      </c>
      <c r="BK29" s="341">
        <v>17</v>
      </c>
      <c r="BL29" s="341">
        <v>26</v>
      </c>
      <c r="BM29" s="342">
        <v>13</v>
      </c>
      <c r="BN29" s="371">
        <v>6.3</v>
      </c>
      <c r="BO29" s="372" t="s">
        <v>2758</v>
      </c>
      <c r="BP29" s="371">
        <v>6.18</v>
      </c>
      <c r="BQ29" s="372" t="s">
        <v>2758</v>
      </c>
      <c r="BR29" s="345" t="s">
        <v>2761</v>
      </c>
      <c r="BS29" s="373"/>
      <c r="BT29" s="347">
        <v>2.8</v>
      </c>
      <c r="BU29" s="348">
        <v>2.5</v>
      </c>
      <c r="BV29" s="348">
        <v>2.5</v>
      </c>
      <c r="BW29" s="348">
        <v>5.8</v>
      </c>
      <c r="BX29" s="349">
        <v>4.5999999999999996</v>
      </c>
      <c r="BY29" s="349">
        <v>5.8</v>
      </c>
      <c r="BZ29" s="348">
        <v>4.8</v>
      </c>
      <c r="CA29" s="348" t="s">
        <v>2720</v>
      </c>
      <c r="CB29" s="348" t="s">
        <v>2720</v>
      </c>
      <c r="CC29" s="348">
        <v>6.5</v>
      </c>
      <c r="CD29" s="348">
        <v>5.0999999999999996</v>
      </c>
      <c r="CE29" s="348" t="s">
        <v>2720</v>
      </c>
      <c r="CF29" s="348">
        <v>8.1999999999999993</v>
      </c>
      <c r="CG29" s="348">
        <v>4.7</v>
      </c>
      <c r="CH29" s="348">
        <v>6.7</v>
      </c>
      <c r="CI29" s="348">
        <v>5.9</v>
      </c>
      <c r="CJ29" s="348">
        <v>4.5</v>
      </c>
      <c r="CK29" s="348">
        <v>7.6</v>
      </c>
      <c r="CL29" s="348" t="s">
        <v>2720</v>
      </c>
      <c r="CM29" s="349" t="s">
        <v>2720</v>
      </c>
      <c r="CN29" s="348" t="s">
        <v>2720</v>
      </c>
      <c r="CO29" s="348">
        <v>6.5</v>
      </c>
      <c r="CP29" s="348" t="s">
        <v>2720</v>
      </c>
      <c r="CQ29" s="350">
        <v>5.16</v>
      </c>
      <c r="CR29" s="348" t="s">
        <v>2720</v>
      </c>
      <c r="CS29" s="348" t="s">
        <v>2720</v>
      </c>
      <c r="CT29" s="348" t="s">
        <v>2720</v>
      </c>
      <c r="CU29" s="348">
        <v>5.8</v>
      </c>
      <c r="CV29" s="348" t="s">
        <v>2720</v>
      </c>
      <c r="CW29" s="348">
        <v>5.8</v>
      </c>
      <c r="CX29" s="348" t="s">
        <v>2720</v>
      </c>
      <c r="CY29" s="348" t="s">
        <v>2720</v>
      </c>
      <c r="CZ29" s="348" t="s">
        <v>2720</v>
      </c>
      <c r="DA29" s="348">
        <v>6.5</v>
      </c>
      <c r="DB29" s="348">
        <v>5.0999999999999996</v>
      </c>
      <c r="DC29" s="348" t="s">
        <v>2720</v>
      </c>
      <c r="DD29" s="348">
        <v>8.1999999999999993</v>
      </c>
      <c r="DE29" s="348" t="s">
        <v>2720</v>
      </c>
      <c r="DF29" s="348">
        <v>6.7</v>
      </c>
      <c r="DG29" s="348">
        <v>5.9</v>
      </c>
      <c r="DH29" s="348" t="s">
        <v>2720</v>
      </c>
      <c r="DI29" s="348">
        <v>7.6</v>
      </c>
      <c r="DJ29" s="348" t="s">
        <v>2720</v>
      </c>
      <c r="DK29" s="348" t="s">
        <v>2720</v>
      </c>
      <c r="DL29" s="348" t="s">
        <v>2720</v>
      </c>
      <c r="DM29" s="348">
        <v>6.5</v>
      </c>
      <c r="DN29" s="348" t="s">
        <v>2720</v>
      </c>
      <c r="DO29" s="351">
        <v>6.3</v>
      </c>
      <c r="DP29" s="374">
        <v>4.2</v>
      </c>
      <c r="DQ29" s="353">
        <v>4.8</v>
      </c>
      <c r="DR29" s="353">
        <v>5.2</v>
      </c>
      <c r="DS29" s="353">
        <v>5.8</v>
      </c>
      <c r="DT29" s="353">
        <v>4.5999999999999996</v>
      </c>
      <c r="DU29" s="353">
        <v>5.8</v>
      </c>
      <c r="DV29" s="353">
        <v>5.8</v>
      </c>
      <c r="DW29" s="353" t="s">
        <v>2720</v>
      </c>
      <c r="DX29" s="353" t="s">
        <v>2720</v>
      </c>
      <c r="DY29" s="353">
        <v>6.5</v>
      </c>
      <c r="DZ29" s="353">
        <v>5.0999999999999996</v>
      </c>
      <c r="EA29" s="353" t="s">
        <v>2720</v>
      </c>
      <c r="EB29" s="353">
        <v>8.1999999999999993</v>
      </c>
      <c r="EC29" s="353">
        <v>4.7</v>
      </c>
      <c r="ED29" s="353">
        <v>6.7</v>
      </c>
      <c r="EE29" s="353">
        <v>5.9</v>
      </c>
      <c r="EF29" s="353">
        <v>4.5</v>
      </c>
      <c r="EG29" s="353">
        <v>7.6</v>
      </c>
      <c r="EH29" s="353" t="s">
        <v>2720</v>
      </c>
      <c r="EI29" s="353" t="s">
        <v>2720</v>
      </c>
      <c r="EJ29" s="353" t="s">
        <v>2720</v>
      </c>
      <c r="EK29" s="353">
        <v>6.5</v>
      </c>
      <c r="EL29" s="353" t="s">
        <v>2720</v>
      </c>
      <c r="EM29" s="354">
        <v>5.64</v>
      </c>
      <c r="EN29" s="353" t="s">
        <v>2720</v>
      </c>
      <c r="EO29" s="353" t="s">
        <v>2720</v>
      </c>
      <c r="EP29" s="353">
        <v>5.2</v>
      </c>
      <c r="EQ29" s="353">
        <v>5.8</v>
      </c>
      <c r="ER29" s="353" t="s">
        <v>2720</v>
      </c>
      <c r="ES29" s="353">
        <v>5.8</v>
      </c>
      <c r="ET29" s="353">
        <v>5.8</v>
      </c>
      <c r="EU29" s="353" t="s">
        <v>2720</v>
      </c>
      <c r="EV29" s="353" t="s">
        <v>2720</v>
      </c>
      <c r="EW29" s="353">
        <v>6.5</v>
      </c>
      <c r="EX29" s="353">
        <v>5.0999999999999996</v>
      </c>
      <c r="EY29" s="353" t="s">
        <v>2720</v>
      </c>
      <c r="EZ29" s="353">
        <v>8.1999999999999993</v>
      </c>
      <c r="FA29" s="353" t="s">
        <v>2720</v>
      </c>
      <c r="FB29" s="353">
        <v>6.7</v>
      </c>
      <c r="FC29" s="353">
        <v>5.9</v>
      </c>
      <c r="FD29" s="353" t="s">
        <v>2720</v>
      </c>
      <c r="FE29" s="353">
        <v>7.6</v>
      </c>
      <c r="FF29" s="353" t="s">
        <v>2720</v>
      </c>
      <c r="FG29" s="353" t="s">
        <v>2720</v>
      </c>
      <c r="FH29" s="353" t="s">
        <v>2720</v>
      </c>
      <c r="FI29" s="353">
        <v>6.5</v>
      </c>
      <c r="FJ29" s="353" t="s">
        <v>2720</v>
      </c>
      <c r="FK29" s="355">
        <v>6.18</v>
      </c>
      <c r="FM29" s="357"/>
    </row>
    <row r="30" spans="1:169" s="356" customFormat="1" ht="27.95" customHeight="1">
      <c r="A30" s="358">
        <v>20</v>
      </c>
      <c r="B30" s="359" t="s">
        <v>2057</v>
      </c>
      <c r="C30" s="360" t="s">
        <v>1456</v>
      </c>
      <c r="D30" s="361" t="s">
        <v>2058</v>
      </c>
      <c r="E30" s="362"/>
      <c r="F30" s="363">
        <v>0</v>
      </c>
      <c r="G30" s="364">
        <v>7</v>
      </c>
      <c r="H30" s="365">
        <v>5.0999999999999996</v>
      </c>
      <c r="I30" s="366" t="s">
        <v>2720</v>
      </c>
      <c r="J30" s="365">
        <v>3.9</v>
      </c>
      <c r="K30" s="366">
        <v>4.4000000000000004</v>
      </c>
      <c r="L30" s="365">
        <v>5</v>
      </c>
      <c r="M30" s="366" t="s">
        <v>2720</v>
      </c>
      <c r="N30" s="365">
        <v>4.9000000000000004</v>
      </c>
      <c r="O30" s="366">
        <v>6.4</v>
      </c>
      <c r="P30" s="365">
        <v>4.4000000000000004</v>
      </c>
      <c r="Q30" s="366">
        <v>4.4000000000000004</v>
      </c>
      <c r="R30" s="365">
        <v>5</v>
      </c>
      <c r="S30" s="366" t="s">
        <v>2720</v>
      </c>
      <c r="T30" s="365">
        <v>3.9</v>
      </c>
      <c r="U30" s="366">
        <v>5.4</v>
      </c>
      <c r="V30" s="365" t="s">
        <v>2720</v>
      </c>
      <c r="W30" s="366" t="s">
        <v>2720</v>
      </c>
      <c r="X30" s="367" t="s">
        <v>2720</v>
      </c>
      <c r="Y30" s="368"/>
      <c r="Z30" s="331">
        <v>7</v>
      </c>
      <c r="AA30" s="332" t="s">
        <v>2720</v>
      </c>
      <c r="AB30" s="331">
        <v>4.5</v>
      </c>
      <c r="AC30" s="332" t="s">
        <v>2720</v>
      </c>
      <c r="AD30" s="331" t="s">
        <v>2720</v>
      </c>
      <c r="AE30" s="332" t="s">
        <v>2720</v>
      </c>
      <c r="AF30" s="331">
        <v>6.7</v>
      </c>
      <c r="AG30" s="332" t="s">
        <v>2720</v>
      </c>
      <c r="AH30" s="331">
        <v>3.8</v>
      </c>
      <c r="AI30" s="332">
        <v>5.3</v>
      </c>
      <c r="AJ30" s="331">
        <v>6.8</v>
      </c>
      <c r="AK30" s="332" t="s">
        <v>2720</v>
      </c>
      <c r="AL30" s="331">
        <v>5.6</v>
      </c>
      <c r="AM30" s="333" t="s">
        <v>2720</v>
      </c>
      <c r="AN30" s="331">
        <v>2.6</v>
      </c>
      <c r="AO30" s="332">
        <v>3.5</v>
      </c>
      <c r="AP30" s="331">
        <v>7.4</v>
      </c>
      <c r="AQ30" s="333" t="s">
        <v>2720</v>
      </c>
      <c r="AR30" s="331" t="s">
        <v>2720</v>
      </c>
      <c r="AS30" s="333" t="s">
        <v>2720</v>
      </c>
      <c r="AT30" s="331" t="s">
        <v>2720</v>
      </c>
      <c r="AU30" s="333" t="s">
        <v>2720</v>
      </c>
      <c r="AV30" s="331" t="s">
        <v>2720</v>
      </c>
      <c r="AW30" s="333" t="s">
        <v>2720</v>
      </c>
      <c r="AX30" s="331">
        <v>6.6</v>
      </c>
      <c r="AY30" s="368"/>
      <c r="AZ30" s="331" t="s">
        <v>2720</v>
      </c>
      <c r="BA30" s="368"/>
      <c r="BB30" s="334">
        <v>5.1100000000000003</v>
      </c>
      <c r="BC30" s="335">
        <v>5.43</v>
      </c>
      <c r="BD30" s="336">
        <v>54</v>
      </c>
      <c r="BE30" s="369" t="s">
        <v>2760</v>
      </c>
      <c r="BF30" s="336" t="s">
        <v>2760</v>
      </c>
      <c r="BG30" s="370"/>
      <c r="BH30" s="339" t="s">
        <v>2720</v>
      </c>
      <c r="BI30" s="340">
        <v>39</v>
      </c>
      <c r="BJ30" s="341">
        <v>22</v>
      </c>
      <c r="BK30" s="341">
        <v>17</v>
      </c>
      <c r="BL30" s="341">
        <v>28</v>
      </c>
      <c r="BM30" s="342">
        <v>11</v>
      </c>
      <c r="BN30" s="371">
        <v>5.93</v>
      </c>
      <c r="BO30" s="372" t="s">
        <v>2758</v>
      </c>
      <c r="BP30" s="371">
        <v>5.88</v>
      </c>
      <c r="BQ30" s="372" t="s">
        <v>2758</v>
      </c>
      <c r="BR30" s="345" t="s">
        <v>2761</v>
      </c>
      <c r="BS30" s="373"/>
      <c r="BT30" s="347">
        <v>5.0999999999999996</v>
      </c>
      <c r="BU30" s="348">
        <v>3.9</v>
      </c>
      <c r="BV30" s="348">
        <v>5</v>
      </c>
      <c r="BW30" s="348">
        <v>4.9000000000000004</v>
      </c>
      <c r="BX30" s="349">
        <v>4.4000000000000004</v>
      </c>
      <c r="BY30" s="349">
        <v>5</v>
      </c>
      <c r="BZ30" s="348">
        <v>3.9</v>
      </c>
      <c r="CA30" s="348" t="s">
        <v>2720</v>
      </c>
      <c r="CB30" s="348" t="s">
        <v>2720</v>
      </c>
      <c r="CC30" s="348">
        <v>7</v>
      </c>
      <c r="CD30" s="348">
        <v>4.5</v>
      </c>
      <c r="CE30" s="348" t="s">
        <v>2720</v>
      </c>
      <c r="CF30" s="348">
        <v>6.7</v>
      </c>
      <c r="CG30" s="348">
        <v>3.8</v>
      </c>
      <c r="CH30" s="348">
        <v>6.8</v>
      </c>
      <c r="CI30" s="348">
        <v>5.6</v>
      </c>
      <c r="CJ30" s="348">
        <v>2.6</v>
      </c>
      <c r="CK30" s="348">
        <v>7.4</v>
      </c>
      <c r="CL30" s="348" t="s">
        <v>2720</v>
      </c>
      <c r="CM30" s="349" t="s">
        <v>2720</v>
      </c>
      <c r="CN30" s="348" t="s">
        <v>2720</v>
      </c>
      <c r="CO30" s="348">
        <v>6.6</v>
      </c>
      <c r="CP30" s="348" t="s">
        <v>2720</v>
      </c>
      <c r="CQ30" s="350">
        <v>5.1100000000000003</v>
      </c>
      <c r="CR30" s="348">
        <v>5.0999999999999996</v>
      </c>
      <c r="CS30" s="348" t="s">
        <v>2720</v>
      </c>
      <c r="CT30" s="348">
        <v>5</v>
      </c>
      <c r="CU30" s="348" t="s">
        <v>2720</v>
      </c>
      <c r="CV30" s="348" t="s">
        <v>2720</v>
      </c>
      <c r="CW30" s="348">
        <v>5</v>
      </c>
      <c r="CX30" s="348" t="s">
        <v>2720</v>
      </c>
      <c r="CY30" s="348" t="s">
        <v>2720</v>
      </c>
      <c r="CZ30" s="348" t="s">
        <v>2720</v>
      </c>
      <c r="DA30" s="348">
        <v>7</v>
      </c>
      <c r="DB30" s="348" t="s">
        <v>2720</v>
      </c>
      <c r="DC30" s="348" t="s">
        <v>2720</v>
      </c>
      <c r="DD30" s="348">
        <v>6.7</v>
      </c>
      <c r="DE30" s="348" t="s">
        <v>2720</v>
      </c>
      <c r="DF30" s="348">
        <v>6.8</v>
      </c>
      <c r="DG30" s="348">
        <v>5.6</v>
      </c>
      <c r="DH30" s="348" t="s">
        <v>2720</v>
      </c>
      <c r="DI30" s="348">
        <v>7.4</v>
      </c>
      <c r="DJ30" s="348" t="s">
        <v>2720</v>
      </c>
      <c r="DK30" s="348" t="s">
        <v>2720</v>
      </c>
      <c r="DL30" s="348" t="s">
        <v>2720</v>
      </c>
      <c r="DM30" s="348">
        <v>6.6</v>
      </c>
      <c r="DN30" s="348" t="s">
        <v>2720</v>
      </c>
      <c r="DO30" s="351">
        <v>5.93</v>
      </c>
      <c r="DP30" s="374">
        <v>5.0999999999999996</v>
      </c>
      <c r="DQ30" s="353">
        <v>4.4000000000000004</v>
      </c>
      <c r="DR30" s="353">
        <v>5</v>
      </c>
      <c r="DS30" s="353">
        <v>6.4</v>
      </c>
      <c r="DT30" s="353">
        <v>4.4000000000000004</v>
      </c>
      <c r="DU30" s="353">
        <v>5</v>
      </c>
      <c r="DV30" s="353">
        <v>5.4</v>
      </c>
      <c r="DW30" s="353" t="s">
        <v>2720</v>
      </c>
      <c r="DX30" s="353" t="s">
        <v>2720</v>
      </c>
      <c r="DY30" s="353">
        <v>7</v>
      </c>
      <c r="DZ30" s="353">
        <v>4.5</v>
      </c>
      <c r="EA30" s="353" t="s">
        <v>2720</v>
      </c>
      <c r="EB30" s="353">
        <v>6.7</v>
      </c>
      <c r="EC30" s="353">
        <v>5.3</v>
      </c>
      <c r="ED30" s="353">
        <v>6.8</v>
      </c>
      <c r="EE30" s="353">
        <v>5.6</v>
      </c>
      <c r="EF30" s="353">
        <v>3.5</v>
      </c>
      <c r="EG30" s="353">
        <v>7.4</v>
      </c>
      <c r="EH30" s="353" t="s">
        <v>2720</v>
      </c>
      <c r="EI30" s="353" t="s">
        <v>2720</v>
      </c>
      <c r="EJ30" s="353" t="s">
        <v>2720</v>
      </c>
      <c r="EK30" s="353">
        <v>6.6</v>
      </c>
      <c r="EL30" s="353" t="s">
        <v>2720</v>
      </c>
      <c r="EM30" s="354">
        <v>5.43</v>
      </c>
      <c r="EN30" s="353">
        <v>5.0999999999999996</v>
      </c>
      <c r="EO30" s="353" t="s">
        <v>2720</v>
      </c>
      <c r="EP30" s="353">
        <v>5</v>
      </c>
      <c r="EQ30" s="353">
        <v>6.4</v>
      </c>
      <c r="ER30" s="353" t="s">
        <v>2720</v>
      </c>
      <c r="ES30" s="353">
        <v>5</v>
      </c>
      <c r="ET30" s="353">
        <v>5.4</v>
      </c>
      <c r="EU30" s="353" t="s">
        <v>2720</v>
      </c>
      <c r="EV30" s="353" t="s">
        <v>2720</v>
      </c>
      <c r="EW30" s="353">
        <v>7</v>
      </c>
      <c r="EX30" s="353" t="s">
        <v>2720</v>
      </c>
      <c r="EY30" s="353" t="s">
        <v>2720</v>
      </c>
      <c r="EZ30" s="353">
        <v>6.7</v>
      </c>
      <c r="FA30" s="353">
        <v>5.3</v>
      </c>
      <c r="FB30" s="353">
        <v>6.8</v>
      </c>
      <c r="FC30" s="353">
        <v>5.6</v>
      </c>
      <c r="FD30" s="353" t="s">
        <v>2720</v>
      </c>
      <c r="FE30" s="353">
        <v>7.4</v>
      </c>
      <c r="FF30" s="353" t="s">
        <v>2720</v>
      </c>
      <c r="FG30" s="353" t="s">
        <v>2720</v>
      </c>
      <c r="FH30" s="353" t="s">
        <v>2720</v>
      </c>
      <c r="FI30" s="353">
        <v>6.6</v>
      </c>
      <c r="FJ30" s="353" t="s">
        <v>2720</v>
      </c>
      <c r="FK30" s="355">
        <v>5.88</v>
      </c>
      <c r="FM30" s="357"/>
    </row>
    <row r="31" spans="1:169" s="356" customFormat="1" ht="27.95" customHeight="1">
      <c r="A31" s="358">
        <v>21</v>
      </c>
      <c r="B31" s="359" t="s">
        <v>2059</v>
      </c>
      <c r="C31" s="360" t="s">
        <v>2060</v>
      </c>
      <c r="D31" s="361" t="s">
        <v>2061</v>
      </c>
      <c r="E31" s="362"/>
      <c r="F31" s="363">
        <v>0</v>
      </c>
      <c r="G31" s="364">
        <v>54</v>
      </c>
      <c r="H31" s="365">
        <v>4.4000000000000004</v>
      </c>
      <c r="I31" s="366">
        <v>4.4000000000000004</v>
      </c>
      <c r="J31" s="365">
        <v>4.5999999999999996</v>
      </c>
      <c r="K31" s="366">
        <v>4.5999999999999996</v>
      </c>
      <c r="L31" s="365">
        <v>4.0999999999999996</v>
      </c>
      <c r="M31" s="366">
        <v>5.0999999999999996</v>
      </c>
      <c r="N31" s="365">
        <v>5.5</v>
      </c>
      <c r="O31" s="366" t="s">
        <v>2720</v>
      </c>
      <c r="P31" s="365">
        <v>5</v>
      </c>
      <c r="Q31" s="366" t="s">
        <v>2720</v>
      </c>
      <c r="R31" s="365">
        <v>3.4</v>
      </c>
      <c r="S31" s="366">
        <v>3.4</v>
      </c>
      <c r="T31" s="365">
        <v>4.2</v>
      </c>
      <c r="U31" s="366">
        <v>5.7</v>
      </c>
      <c r="V31" s="365" t="s">
        <v>2720</v>
      </c>
      <c r="W31" s="366" t="s">
        <v>2720</v>
      </c>
      <c r="X31" s="367" t="s">
        <v>2720</v>
      </c>
      <c r="Y31" s="368"/>
      <c r="Z31" s="331">
        <v>2.6</v>
      </c>
      <c r="AA31" s="332">
        <v>2.6</v>
      </c>
      <c r="AB31" s="331">
        <v>4.5999999999999996</v>
      </c>
      <c r="AC31" s="332">
        <v>4.5999999999999996</v>
      </c>
      <c r="AD31" s="331">
        <v>3.3</v>
      </c>
      <c r="AE31" s="332">
        <v>3.3</v>
      </c>
      <c r="AF31" s="331">
        <v>4.3</v>
      </c>
      <c r="AG31" s="332">
        <v>4.9000000000000004</v>
      </c>
      <c r="AH31" s="331" t="s">
        <v>2720</v>
      </c>
      <c r="AI31" s="332" t="s">
        <v>2720</v>
      </c>
      <c r="AJ31" s="331">
        <v>5.6</v>
      </c>
      <c r="AK31" s="332" t="s">
        <v>2720</v>
      </c>
      <c r="AL31" s="331">
        <v>5.3</v>
      </c>
      <c r="AM31" s="333" t="s">
        <v>2720</v>
      </c>
      <c r="AN31" s="331">
        <v>0.5</v>
      </c>
      <c r="AO31" s="332">
        <v>1.5</v>
      </c>
      <c r="AP31" s="331">
        <v>6.3</v>
      </c>
      <c r="AQ31" s="333" t="s">
        <v>2720</v>
      </c>
      <c r="AR31" s="331" t="s">
        <v>2720</v>
      </c>
      <c r="AS31" s="333" t="s">
        <v>2720</v>
      </c>
      <c r="AT31" s="331" t="s">
        <v>2720</v>
      </c>
      <c r="AU31" s="333" t="s">
        <v>2720</v>
      </c>
      <c r="AV31" s="331" t="s">
        <v>2720</v>
      </c>
      <c r="AW31" s="333" t="s">
        <v>2720</v>
      </c>
      <c r="AX31" s="331">
        <v>5.4</v>
      </c>
      <c r="AY31" s="368"/>
      <c r="AZ31" s="331" t="s">
        <v>2720</v>
      </c>
      <c r="BA31" s="368"/>
      <c r="BB31" s="334">
        <v>4.28</v>
      </c>
      <c r="BC31" s="335">
        <v>4.49</v>
      </c>
      <c r="BD31" s="336">
        <v>41</v>
      </c>
      <c r="BE31" s="369" t="s">
        <v>2762</v>
      </c>
      <c r="BF31" s="336" t="s">
        <v>2762</v>
      </c>
      <c r="BG31" s="370"/>
      <c r="BH31" s="339" t="s">
        <v>2720</v>
      </c>
      <c r="BI31" s="340">
        <v>39</v>
      </c>
      <c r="BJ31" s="341">
        <v>13</v>
      </c>
      <c r="BK31" s="341">
        <v>26</v>
      </c>
      <c r="BL31" s="341">
        <v>17</v>
      </c>
      <c r="BM31" s="342">
        <v>22</v>
      </c>
      <c r="BN31" s="371">
        <v>5.48</v>
      </c>
      <c r="BO31" s="372" t="s">
        <v>2765</v>
      </c>
      <c r="BP31" s="371">
        <v>5.46</v>
      </c>
      <c r="BQ31" s="372" t="s">
        <v>2765</v>
      </c>
      <c r="BR31" s="345" t="s">
        <v>2761</v>
      </c>
      <c r="BS31" s="373"/>
      <c r="BT31" s="347">
        <v>4.4000000000000004</v>
      </c>
      <c r="BU31" s="348">
        <v>4.5999999999999996</v>
      </c>
      <c r="BV31" s="348">
        <v>4.0999999999999996</v>
      </c>
      <c r="BW31" s="348">
        <v>5.5</v>
      </c>
      <c r="BX31" s="349">
        <v>5</v>
      </c>
      <c r="BY31" s="349">
        <v>3.4</v>
      </c>
      <c r="BZ31" s="348">
        <v>4.2</v>
      </c>
      <c r="CA31" s="348" t="s">
        <v>2720</v>
      </c>
      <c r="CB31" s="348" t="s">
        <v>2720</v>
      </c>
      <c r="CC31" s="348">
        <v>2.6</v>
      </c>
      <c r="CD31" s="348">
        <v>4.5999999999999996</v>
      </c>
      <c r="CE31" s="348">
        <v>3.3</v>
      </c>
      <c r="CF31" s="348">
        <v>4.3</v>
      </c>
      <c r="CG31" s="348" t="s">
        <v>2720</v>
      </c>
      <c r="CH31" s="348">
        <v>5.6</v>
      </c>
      <c r="CI31" s="348">
        <v>5.3</v>
      </c>
      <c r="CJ31" s="348">
        <v>0.5</v>
      </c>
      <c r="CK31" s="348">
        <v>6.3</v>
      </c>
      <c r="CL31" s="348" t="s">
        <v>2720</v>
      </c>
      <c r="CM31" s="349" t="s">
        <v>2720</v>
      </c>
      <c r="CN31" s="348" t="s">
        <v>2720</v>
      </c>
      <c r="CO31" s="348">
        <v>5.4</v>
      </c>
      <c r="CP31" s="348" t="s">
        <v>2720</v>
      </c>
      <c r="CQ31" s="350">
        <v>4.28</v>
      </c>
      <c r="CR31" s="348" t="s">
        <v>2720</v>
      </c>
      <c r="CS31" s="348" t="s">
        <v>2720</v>
      </c>
      <c r="CT31" s="348" t="s">
        <v>2720</v>
      </c>
      <c r="CU31" s="348">
        <v>5.5</v>
      </c>
      <c r="CV31" s="348">
        <v>5</v>
      </c>
      <c r="CW31" s="348" t="s">
        <v>2720</v>
      </c>
      <c r="CX31" s="348" t="s">
        <v>2720</v>
      </c>
      <c r="CY31" s="348" t="s">
        <v>2720</v>
      </c>
      <c r="CZ31" s="348" t="s">
        <v>2720</v>
      </c>
      <c r="DA31" s="348" t="s">
        <v>2720</v>
      </c>
      <c r="DB31" s="348" t="s">
        <v>2720</v>
      </c>
      <c r="DC31" s="348" t="s">
        <v>2720</v>
      </c>
      <c r="DD31" s="348" t="s">
        <v>2720</v>
      </c>
      <c r="DE31" s="348" t="s">
        <v>2720</v>
      </c>
      <c r="DF31" s="348">
        <v>5.6</v>
      </c>
      <c r="DG31" s="348">
        <v>5.3</v>
      </c>
      <c r="DH31" s="348" t="s">
        <v>2720</v>
      </c>
      <c r="DI31" s="348">
        <v>6.3</v>
      </c>
      <c r="DJ31" s="348" t="s">
        <v>2720</v>
      </c>
      <c r="DK31" s="348" t="s">
        <v>2720</v>
      </c>
      <c r="DL31" s="348" t="s">
        <v>2720</v>
      </c>
      <c r="DM31" s="348">
        <v>5.4</v>
      </c>
      <c r="DN31" s="348" t="s">
        <v>2720</v>
      </c>
      <c r="DO31" s="351">
        <v>5.48</v>
      </c>
      <c r="DP31" s="374">
        <v>4.4000000000000004</v>
      </c>
      <c r="DQ31" s="353">
        <v>4.5999999999999996</v>
      </c>
      <c r="DR31" s="353">
        <v>5.0999999999999996</v>
      </c>
      <c r="DS31" s="353">
        <v>5.5</v>
      </c>
      <c r="DT31" s="353">
        <v>5</v>
      </c>
      <c r="DU31" s="353">
        <v>3.4</v>
      </c>
      <c r="DV31" s="353">
        <v>5.7</v>
      </c>
      <c r="DW31" s="353" t="s">
        <v>2720</v>
      </c>
      <c r="DX31" s="353" t="s">
        <v>2720</v>
      </c>
      <c r="DY31" s="353">
        <v>2.6</v>
      </c>
      <c r="DZ31" s="353">
        <v>4.5999999999999996</v>
      </c>
      <c r="EA31" s="353">
        <v>3.3</v>
      </c>
      <c r="EB31" s="353">
        <v>4.9000000000000004</v>
      </c>
      <c r="EC31" s="353" t="s">
        <v>2720</v>
      </c>
      <c r="ED31" s="353">
        <v>5.6</v>
      </c>
      <c r="EE31" s="353">
        <v>5.3</v>
      </c>
      <c r="EF31" s="353">
        <v>1.5</v>
      </c>
      <c r="EG31" s="353">
        <v>6.3</v>
      </c>
      <c r="EH31" s="353" t="s">
        <v>2720</v>
      </c>
      <c r="EI31" s="353" t="s">
        <v>2720</v>
      </c>
      <c r="EJ31" s="353" t="s">
        <v>2720</v>
      </c>
      <c r="EK31" s="353">
        <v>5.4</v>
      </c>
      <c r="EL31" s="353" t="s">
        <v>2720</v>
      </c>
      <c r="EM31" s="354">
        <v>4.49</v>
      </c>
      <c r="EN31" s="353" t="s">
        <v>2720</v>
      </c>
      <c r="EO31" s="353" t="s">
        <v>2720</v>
      </c>
      <c r="EP31" s="353">
        <v>5.0999999999999996</v>
      </c>
      <c r="EQ31" s="353">
        <v>5.5</v>
      </c>
      <c r="ER31" s="353">
        <v>5</v>
      </c>
      <c r="ES31" s="353" t="s">
        <v>2720</v>
      </c>
      <c r="ET31" s="353">
        <v>5.7</v>
      </c>
      <c r="EU31" s="353" t="s">
        <v>2720</v>
      </c>
      <c r="EV31" s="353" t="s">
        <v>2720</v>
      </c>
      <c r="EW31" s="353" t="s">
        <v>2720</v>
      </c>
      <c r="EX31" s="353" t="s">
        <v>2720</v>
      </c>
      <c r="EY31" s="353" t="s">
        <v>2720</v>
      </c>
      <c r="EZ31" s="353" t="s">
        <v>2720</v>
      </c>
      <c r="FA31" s="353" t="s">
        <v>2720</v>
      </c>
      <c r="FB31" s="353">
        <v>5.6</v>
      </c>
      <c r="FC31" s="353">
        <v>5.3</v>
      </c>
      <c r="FD31" s="353" t="s">
        <v>2720</v>
      </c>
      <c r="FE31" s="353">
        <v>6.3</v>
      </c>
      <c r="FF31" s="353" t="s">
        <v>2720</v>
      </c>
      <c r="FG31" s="353" t="s">
        <v>2720</v>
      </c>
      <c r="FH31" s="353" t="s">
        <v>2720</v>
      </c>
      <c r="FI31" s="353">
        <v>5.4</v>
      </c>
      <c r="FJ31" s="353" t="s">
        <v>2720</v>
      </c>
      <c r="FK31" s="355">
        <v>5.46</v>
      </c>
      <c r="FM31" s="357"/>
    </row>
    <row r="32" spans="1:169" s="356" customFormat="1" ht="27.95" customHeight="1">
      <c r="A32" s="358">
        <v>22</v>
      </c>
      <c r="B32" s="359" t="s">
        <v>2063</v>
      </c>
      <c r="C32" s="360" t="s">
        <v>459</v>
      </c>
      <c r="D32" s="361" t="s">
        <v>1635</v>
      </c>
      <c r="E32" s="362"/>
      <c r="F32" s="363">
        <v>0</v>
      </c>
      <c r="G32" s="364">
        <v>8</v>
      </c>
      <c r="H32" s="365">
        <v>5.3</v>
      </c>
      <c r="I32" s="366" t="s">
        <v>2720</v>
      </c>
      <c r="J32" s="365">
        <v>6.9</v>
      </c>
      <c r="K32" s="366" t="s">
        <v>2720</v>
      </c>
      <c r="L32" s="365">
        <v>5.9</v>
      </c>
      <c r="M32" s="366" t="s">
        <v>2720</v>
      </c>
      <c r="N32" s="365">
        <v>4.5999999999999996</v>
      </c>
      <c r="O32" s="366">
        <v>4.5999999999999996</v>
      </c>
      <c r="P32" s="365">
        <v>5.9</v>
      </c>
      <c r="Q32" s="366" t="s">
        <v>2720</v>
      </c>
      <c r="R32" s="365">
        <v>5.6</v>
      </c>
      <c r="S32" s="366" t="s">
        <v>2720</v>
      </c>
      <c r="T32" s="365">
        <v>6.1</v>
      </c>
      <c r="U32" s="366" t="s">
        <v>2720</v>
      </c>
      <c r="V32" s="365" t="s">
        <v>2720</v>
      </c>
      <c r="W32" s="366" t="s">
        <v>2720</v>
      </c>
      <c r="X32" s="367" t="s">
        <v>2720</v>
      </c>
      <c r="Y32" s="368"/>
      <c r="Z32" s="331">
        <v>6.5</v>
      </c>
      <c r="AA32" s="332" t="s">
        <v>2720</v>
      </c>
      <c r="AB32" s="331">
        <v>7.4</v>
      </c>
      <c r="AC32" s="332" t="s">
        <v>2720</v>
      </c>
      <c r="AD32" s="331">
        <v>6.4</v>
      </c>
      <c r="AE32" s="332" t="s">
        <v>2720</v>
      </c>
      <c r="AF32" s="331" t="s">
        <v>2720</v>
      </c>
      <c r="AG32" s="332" t="s">
        <v>2720</v>
      </c>
      <c r="AH32" s="331">
        <v>5.5</v>
      </c>
      <c r="AI32" s="332" t="s">
        <v>2720</v>
      </c>
      <c r="AJ32" s="331">
        <v>6.5</v>
      </c>
      <c r="AK32" s="332" t="s">
        <v>2720</v>
      </c>
      <c r="AL32" s="331">
        <v>6.2</v>
      </c>
      <c r="AM32" s="333" t="s">
        <v>2720</v>
      </c>
      <c r="AN32" s="331">
        <v>2.6</v>
      </c>
      <c r="AO32" s="332" t="s">
        <v>2720</v>
      </c>
      <c r="AP32" s="331">
        <v>7</v>
      </c>
      <c r="AQ32" s="333" t="s">
        <v>2720</v>
      </c>
      <c r="AR32" s="331" t="s">
        <v>2720</v>
      </c>
      <c r="AS32" s="333" t="s">
        <v>2720</v>
      </c>
      <c r="AT32" s="331" t="s">
        <v>2720</v>
      </c>
      <c r="AU32" s="333" t="s">
        <v>2720</v>
      </c>
      <c r="AV32" s="331" t="s">
        <v>2720</v>
      </c>
      <c r="AW32" s="333" t="s">
        <v>2720</v>
      </c>
      <c r="AX32" s="331">
        <v>5</v>
      </c>
      <c r="AY32" s="368"/>
      <c r="AZ32" s="331" t="s">
        <v>2720</v>
      </c>
      <c r="BA32" s="368"/>
      <c r="BB32" s="334">
        <v>5.87</v>
      </c>
      <c r="BC32" s="335">
        <v>5.87</v>
      </c>
      <c r="BD32" s="336">
        <v>54.5</v>
      </c>
      <c r="BE32" s="369" t="s">
        <v>2760</v>
      </c>
      <c r="BF32" s="336" t="s">
        <v>2760</v>
      </c>
      <c r="BG32" s="370"/>
      <c r="BH32" s="339" t="s">
        <v>2720</v>
      </c>
      <c r="BI32" s="340">
        <v>39</v>
      </c>
      <c r="BJ32" s="341">
        <v>35</v>
      </c>
      <c r="BK32" s="341">
        <v>4</v>
      </c>
      <c r="BL32" s="341">
        <v>35</v>
      </c>
      <c r="BM32" s="342">
        <v>4</v>
      </c>
      <c r="BN32" s="371">
        <v>6.13</v>
      </c>
      <c r="BO32" s="372" t="s">
        <v>2758</v>
      </c>
      <c r="BP32" s="371">
        <v>6.13</v>
      </c>
      <c r="BQ32" s="372" t="s">
        <v>2758</v>
      </c>
      <c r="BR32" s="345" t="s">
        <v>2759</v>
      </c>
      <c r="BS32" s="373"/>
      <c r="BT32" s="347">
        <v>5.3</v>
      </c>
      <c r="BU32" s="348">
        <v>6.9</v>
      </c>
      <c r="BV32" s="348">
        <v>5.9</v>
      </c>
      <c r="BW32" s="348">
        <v>4.5999999999999996</v>
      </c>
      <c r="BX32" s="349">
        <v>5.9</v>
      </c>
      <c r="BY32" s="349">
        <v>5.6</v>
      </c>
      <c r="BZ32" s="348">
        <v>6.1</v>
      </c>
      <c r="CA32" s="348" t="s">
        <v>2720</v>
      </c>
      <c r="CB32" s="348" t="s">
        <v>2720</v>
      </c>
      <c r="CC32" s="348">
        <v>6.5</v>
      </c>
      <c r="CD32" s="348">
        <v>7.4</v>
      </c>
      <c r="CE32" s="348">
        <v>6.4</v>
      </c>
      <c r="CF32" s="348" t="s">
        <v>2720</v>
      </c>
      <c r="CG32" s="348">
        <v>5.5</v>
      </c>
      <c r="CH32" s="348">
        <v>6.5</v>
      </c>
      <c r="CI32" s="348">
        <v>6.2</v>
      </c>
      <c r="CJ32" s="348">
        <v>2.6</v>
      </c>
      <c r="CK32" s="348">
        <v>7</v>
      </c>
      <c r="CL32" s="348" t="s">
        <v>2720</v>
      </c>
      <c r="CM32" s="349" t="s">
        <v>2720</v>
      </c>
      <c r="CN32" s="348" t="s">
        <v>2720</v>
      </c>
      <c r="CO32" s="348">
        <v>5</v>
      </c>
      <c r="CP32" s="348" t="s">
        <v>2720</v>
      </c>
      <c r="CQ32" s="350">
        <v>5.87</v>
      </c>
      <c r="CR32" s="348">
        <v>5.3</v>
      </c>
      <c r="CS32" s="348">
        <v>6.9</v>
      </c>
      <c r="CT32" s="348">
        <v>5.9</v>
      </c>
      <c r="CU32" s="348" t="s">
        <v>2720</v>
      </c>
      <c r="CV32" s="348">
        <v>5.9</v>
      </c>
      <c r="CW32" s="348">
        <v>5.6</v>
      </c>
      <c r="CX32" s="348">
        <v>6.1</v>
      </c>
      <c r="CY32" s="348" t="s">
        <v>2720</v>
      </c>
      <c r="CZ32" s="348" t="s">
        <v>2720</v>
      </c>
      <c r="DA32" s="348">
        <v>6.5</v>
      </c>
      <c r="DB32" s="348">
        <v>7.4</v>
      </c>
      <c r="DC32" s="348">
        <v>6.4</v>
      </c>
      <c r="DD32" s="348" t="s">
        <v>2720</v>
      </c>
      <c r="DE32" s="348">
        <v>5.5</v>
      </c>
      <c r="DF32" s="348">
        <v>6.5</v>
      </c>
      <c r="DG32" s="348">
        <v>6.2</v>
      </c>
      <c r="DH32" s="348" t="s">
        <v>2720</v>
      </c>
      <c r="DI32" s="348">
        <v>7</v>
      </c>
      <c r="DJ32" s="348" t="s">
        <v>2720</v>
      </c>
      <c r="DK32" s="348" t="s">
        <v>2720</v>
      </c>
      <c r="DL32" s="348" t="s">
        <v>2720</v>
      </c>
      <c r="DM32" s="348">
        <v>5</v>
      </c>
      <c r="DN32" s="348" t="s">
        <v>2720</v>
      </c>
      <c r="DO32" s="351">
        <v>6.13</v>
      </c>
      <c r="DP32" s="374">
        <v>5.3</v>
      </c>
      <c r="DQ32" s="353">
        <v>6.9</v>
      </c>
      <c r="DR32" s="353">
        <v>5.9</v>
      </c>
      <c r="DS32" s="353">
        <v>4.5999999999999996</v>
      </c>
      <c r="DT32" s="353">
        <v>5.9</v>
      </c>
      <c r="DU32" s="353">
        <v>5.6</v>
      </c>
      <c r="DV32" s="353">
        <v>6.1</v>
      </c>
      <c r="DW32" s="353" t="s">
        <v>2720</v>
      </c>
      <c r="DX32" s="353" t="s">
        <v>2720</v>
      </c>
      <c r="DY32" s="353">
        <v>6.5</v>
      </c>
      <c r="DZ32" s="353">
        <v>7.4</v>
      </c>
      <c r="EA32" s="353">
        <v>6.4</v>
      </c>
      <c r="EB32" s="353" t="s">
        <v>2720</v>
      </c>
      <c r="EC32" s="353">
        <v>5.5</v>
      </c>
      <c r="ED32" s="353">
        <v>6.5</v>
      </c>
      <c r="EE32" s="353">
        <v>6.2</v>
      </c>
      <c r="EF32" s="353">
        <v>2.6</v>
      </c>
      <c r="EG32" s="353">
        <v>7</v>
      </c>
      <c r="EH32" s="353" t="s">
        <v>2720</v>
      </c>
      <c r="EI32" s="353" t="s">
        <v>2720</v>
      </c>
      <c r="EJ32" s="353" t="s">
        <v>2720</v>
      </c>
      <c r="EK32" s="353">
        <v>5</v>
      </c>
      <c r="EL32" s="353" t="s">
        <v>2720</v>
      </c>
      <c r="EM32" s="354">
        <v>5.87</v>
      </c>
      <c r="EN32" s="353">
        <v>5.3</v>
      </c>
      <c r="EO32" s="353">
        <v>6.9</v>
      </c>
      <c r="EP32" s="353">
        <v>5.9</v>
      </c>
      <c r="EQ32" s="353" t="s">
        <v>2720</v>
      </c>
      <c r="ER32" s="353">
        <v>5.9</v>
      </c>
      <c r="ES32" s="353">
        <v>5.6</v>
      </c>
      <c r="ET32" s="353">
        <v>6.1</v>
      </c>
      <c r="EU32" s="353" t="s">
        <v>2720</v>
      </c>
      <c r="EV32" s="353" t="s">
        <v>2720</v>
      </c>
      <c r="EW32" s="353">
        <v>6.5</v>
      </c>
      <c r="EX32" s="353">
        <v>7.4</v>
      </c>
      <c r="EY32" s="353">
        <v>6.4</v>
      </c>
      <c r="EZ32" s="353" t="s">
        <v>2720</v>
      </c>
      <c r="FA32" s="353">
        <v>5.5</v>
      </c>
      <c r="FB32" s="353">
        <v>6.5</v>
      </c>
      <c r="FC32" s="353">
        <v>6.2</v>
      </c>
      <c r="FD32" s="353" t="s">
        <v>2720</v>
      </c>
      <c r="FE32" s="353">
        <v>7</v>
      </c>
      <c r="FF32" s="353" t="s">
        <v>2720</v>
      </c>
      <c r="FG32" s="353" t="s">
        <v>2720</v>
      </c>
      <c r="FH32" s="353" t="s">
        <v>2720</v>
      </c>
      <c r="FI32" s="353">
        <v>5</v>
      </c>
      <c r="FJ32" s="353" t="s">
        <v>2720</v>
      </c>
      <c r="FK32" s="355">
        <v>6.13</v>
      </c>
      <c r="FM32" s="357"/>
    </row>
    <row r="33" spans="1:169" s="356" customFormat="1" ht="27.95" customHeight="1">
      <c r="A33" s="358">
        <v>23</v>
      </c>
      <c r="B33" s="359" t="s">
        <v>2065</v>
      </c>
      <c r="C33" s="360" t="s">
        <v>2083</v>
      </c>
      <c r="D33" s="361" t="s">
        <v>1454</v>
      </c>
      <c r="E33" s="362"/>
      <c r="F33" s="363">
        <v>0</v>
      </c>
      <c r="G33" s="364">
        <v>15</v>
      </c>
      <c r="H33" s="365">
        <v>6.3</v>
      </c>
      <c r="I33" s="366" t="s">
        <v>2720</v>
      </c>
      <c r="J33" s="365">
        <v>6.4</v>
      </c>
      <c r="K33" s="366" t="s">
        <v>2720</v>
      </c>
      <c r="L33" s="365">
        <v>5</v>
      </c>
      <c r="M33" s="366" t="s">
        <v>2720</v>
      </c>
      <c r="N33" s="365">
        <v>5.4</v>
      </c>
      <c r="O33" s="366" t="s">
        <v>2720</v>
      </c>
      <c r="P33" s="365">
        <v>6.5</v>
      </c>
      <c r="Q33" s="366" t="s">
        <v>2720</v>
      </c>
      <c r="R33" s="365">
        <v>6.5</v>
      </c>
      <c r="S33" s="366" t="s">
        <v>2720</v>
      </c>
      <c r="T33" s="365">
        <v>5.8</v>
      </c>
      <c r="U33" s="366" t="s">
        <v>2720</v>
      </c>
      <c r="V33" s="365" t="s">
        <v>2720</v>
      </c>
      <c r="W33" s="366" t="s">
        <v>2720</v>
      </c>
      <c r="X33" s="367" t="s">
        <v>2720</v>
      </c>
      <c r="Y33" s="368"/>
      <c r="Z33" s="331">
        <v>5</v>
      </c>
      <c r="AA33" s="332" t="s">
        <v>2720</v>
      </c>
      <c r="AB33" s="331">
        <v>5.2</v>
      </c>
      <c r="AC33" s="332" t="s">
        <v>2720</v>
      </c>
      <c r="AD33" s="331">
        <v>5.9</v>
      </c>
      <c r="AE33" s="332" t="s">
        <v>2720</v>
      </c>
      <c r="AF33" s="331">
        <v>7.6</v>
      </c>
      <c r="AG33" s="332" t="s">
        <v>2720</v>
      </c>
      <c r="AH33" s="331" t="s">
        <v>2720</v>
      </c>
      <c r="AI33" s="332" t="s">
        <v>2720</v>
      </c>
      <c r="AJ33" s="331">
        <v>6.2</v>
      </c>
      <c r="AK33" s="332" t="s">
        <v>2720</v>
      </c>
      <c r="AL33" s="331">
        <v>6.6</v>
      </c>
      <c r="AM33" s="333" t="s">
        <v>2720</v>
      </c>
      <c r="AN33" s="331">
        <v>6</v>
      </c>
      <c r="AO33" s="332" t="s">
        <v>2720</v>
      </c>
      <c r="AP33" s="331">
        <v>5.5</v>
      </c>
      <c r="AQ33" s="333" t="s">
        <v>2720</v>
      </c>
      <c r="AR33" s="331" t="s">
        <v>2720</v>
      </c>
      <c r="AS33" s="333" t="s">
        <v>2720</v>
      </c>
      <c r="AT33" s="331" t="s">
        <v>2720</v>
      </c>
      <c r="AU33" s="333" t="s">
        <v>2720</v>
      </c>
      <c r="AV33" s="331" t="s">
        <v>2720</v>
      </c>
      <c r="AW33" s="333" t="s">
        <v>2720</v>
      </c>
      <c r="AX33" s="331">
        <v>6.7</v>
      </c>
      <c r="AY33" s="368"/>
      <c r="AZ33" s="331" t="s">
        <v>2720</v>
      </c>
      <c r="BA33" s="368"/>
      <c r="BB33" s="334">
        <v>6.08</v>
      </c>
      <c r="BC33" s="335">
        <v>6.08</v>
      </c>
      <c r="BD33" s="336">
        <v>62.5</v>
      </c>
      <c r="BE33" s="369" t="s">
        <v>2764</v>
      </c>
      <c r="BF33" s="336" t="s">
        <v>2764</v>
      </c>
      <c r="BG33" s="370"/>
      <c r="BH33" s="339" t="s">
        <v>2720</v>
      </c>
      <c r="BI33" s="340">
        <v>39</v>
      </c>
      <c r="BJ33" s="341">
        <v>39</v>
      </c>
      <c r="BK33" s="341">
        <v>0</v>
      </c>
      <c r="BL33" s="341">
        <v>39</v>
      </c>
      <c r="BM33" s="342">
        <v>0</v>
      </c>
      <c r="BN33" s="371">
        <v>6.08</v>
      </c>
      <c r="BO33" s="372" t="s">
        <v>2758</v>
      </c>
      <c r="BP33" s="371">
        <v>6.08</v>
      </c>
      <c r="BQ33" s="372" t="s">
        <v>2758</v>
      </c>
      <c r="BR33" s="345" t="s">
        <v>2759</v>
      </c>
      <c r="BS33" s="373"/>
      <c r="BT33" s="347">
        <v>6.3</v>
      </c>
      <c r="BU33" s="348">
        <v>6.4</v>
      </c>
      <c r="BV33" s="348">
        <v>5</v>
      </c>
      <c r="BW33" s="348">
        <v>5.4</v>
      </c>
      <c r="BX33" s="349">
        <v>6.5</v>
      </c>
      <c r="BY33" s="349">
        <v>6.5</v>
      </c>
      <c r="BZ33" s="348">
        <v>5.8</v>
      </c>
      <c r="CA33" s="348" t="s">
        <v>2720</v>
      </c>
      <c r="CB33" s="348" t="s">
        <v>2720</v>
      </c>
      <c r="CC33" s="348">
        <v>5</v>
      </c>
      <c r="CD33" s="348">
        <v>5.2</v>
      </c>
      <c r="CE33" s="348">
        <v>5.9</v>
      </c>
      <c r="CF33" s="348">
        <v>7.6</v>
      </c>
      <c r="CG33" s="348" t="s">
        <v>2720</v>
      </c>
      <c r="CH33" s="348">
        <v>6.2</v>
      </c>
      <c r="CI33" s="348">
        <v>6.6</v>
      </c>
      <c r="CJ33" s="348">
        <v>6</v>
      </c>
      <c r="CK33" s="348">
        <v>5.5</v>
      </c>
      <c r="CL33" s="348" t="s">
        <v>2720</v>
      </c>
      <c r="CM33" s="349" t="s">
        <v>2720</v>
      </c>
      <c r="CN33" s="348" t="s">
        <v>2720</v>
      </c>
      <c r="CO33" s="348">
        <v>6.7</v>
      </c>
      <c r="CP33" s="348" t="s">
        <v>2720</v>
      </c>
      <c r="CQ33" s="350">
        <v>6.08</v>
      </c>
      <c r="CR33" s="348">
        <v>6.3</v>
      </c>
      <c r="CS33" s="348">
        <v>6.4</v>
      </c>
      <c r="CT33" s="348">
        <v>5</v>
      </c>
      <c r="CU33" s="348">
        <v>5.4</v>
      </c>
      <c r="CV33" s="348">
        <v>6.5</v>
      </c>
      <c r="CW33" s="348">
        <v>6.5</v>
      </c>
      <c r="CX33" s="348">
        <v>5.8</v>
      </c>
      <c r="CY33" s="348" t="s">
        <v>2720</v>
      </c>
      <c r="CZ33" s="348" t="s">
        <v>2720</v>
      </c>
      <c r="DA33" s="348">
        <v>5</v>
      </c>
      <c r="DB33" s="348">
        <v>5.2</v>
      </c>
      <c r="DC33" s="348">
        <v>5.9</v>
      </c>
      <c r="DD33" s="348">
        <v>7.6</v>
      </c>
      <c r="DE33" s="348" t="s">
        <v>2720</v>
      </c>
      <c r="DF33" s="348">
        <v>6.2</v>
      </c>
      <c r="DG33" s="348">
        <v>6.6</v>
      </c>
      <c r="DH33" s="348">
        <v>6</v>
      </c>
      <c r="DI33" s="348">
        <v>5.5</v>
      </c>
      <c r="DJ33" s="348" t="s">
        <v>2720</v>
      </c>
      <c r="DK33" s="348" t="s">
        <v>2720</v>
      </c>
      <c r="DL33" s="348" t="s">
        <v>2720</v>
      </c>
      <c r="DM33" s="348">
        <v>6.7</v>
      </c>
      <c r="DN33" s="348" t="s">
        <v>2720</v>
      </c>
      <c r="DO33" s="351">
        <v>6.08</v>
      </c>
      <c r="DP33" s="374">
        <v>6.3</v>
      </c>
      <c r="DQ33" s="353">
        <v>6.4</v>
      </c>
      <c r="DR33" s="353">
        <v>5</v>
      </c>
      <c r="DS33" s="353">
        <v>5.4</v>
      </c>
      <c r="DT33" s="353">
        <v>6.5</v>
      </c>
      <c r="DU33" s="353">
        <v>6.5</v>
      </c>
      <c r="DV33" s="353">
        <v>5.8</v>
      </c>
      <c r="DW33" s="353" t="s">
        <v>2720</v>
      </c>
      <c r="DX33" s="353" t="s">
        <v>2720</v>
      </c>
      <c r="DY33" s="353">
        <v>5</v>
      </c>
      <c r="DZ33" s="353">
        <v>5.2</v>
      </c>
      <c r="EA33" s="353">
        <v>5.9</v>
      </c>
      <c r="EB33" s="353">
        <v>7.6</v>
      </c>
      <c r="EC33" s="353" t="s">
        <v>2720</v>
      </c>
      <c r="ED33" s="353">
        <v>6.2</v>
      </c>
      <c r="EE33" s="353">
        <v>6.6</v>
      </c>
      <c r="EF33" s="353">
        <v>6</v>
      </c>
      <c r="EG33" s="353">
        <v>5.5</v>
      </c>
      <c r="EH33" s="353" t="s">
        <v>2720</v>
      </c>
      <c r="EI33" s="353" t="s">
        <v>2720</v>
      </c>
      <c r="EJ33" s="353" t="s">
        <v>2720</v>
      </c>
      <c r="EK33" s="353">
        <v>6.7</v>
      </c>
      <c r="EL33" s="353" t="s">
        <v>2720</v>
      </c>
      <c r="EM33" s="354">
        <v>6.08</v>
      </c>
      <c r="EN33" s="353">
        <v>6.3</v>
      </c>
      <c r="EO33" s="353">
        <v>6.4</v>
      </c>
      <c r="EP33" s="353">
        <v>5</v>
      </c>
      <c r="EQ33" s="353">
        <v>5.4</v>
      </c>
      <c r="ER33" s="353">
        <v>6.5</v>
      </c>
      <c r="ES33" s="353">
        <v>6.5</v>
      </c>
      <c r="ET33" s="353">
        <v>5.8</v>
      </c>
      <c r="EU33" s="353" t="s">
        <v>2720</v>
      </c>
      <c r="EV33" s="353" t="s">
        <v>2720</v>
      </c>
      <c r="EW33" s="353">
        <v>5</v>
      </c>
      <c r="EX33" s="353">
        <v>5.2</v>
      </c>
      <c r="EY33" s="353">
        <v>5.9</v>
      </c>
      <c r="EZ33" s="353">
        <v>7.6</v>
      </c>
      <c r="FA33" s="353" t="s">
        <v>2720</v>
      </c>
      <c r="FB33" s="353">
        <v>6.2</v>
      </c>
      <c r="FC33" s="353">
        <v>6.6</v>
      </c>
      <c r="FD33" s="353">
        <v>6</v>
      </c>
      <c r="FE33" s="353">
        <v>5.5</v>
      </c>
      <c r="FF33" s="353" t="s">
        <v>2720</v>
      </c>
      <c r="FG33" s="353" t="s">
        <v>2720</v>
      </c>
      <c r="FH33" s="353" t="s">
        <v>2720</v>
      </c>
      <c r="FI33" s="353">
        <v>6.7</v>
      </c>
      <c r="FJ33" s="353" t="s">
        <v>2720</v>
      </c>
      <c r="FK33" s="355">
        <v>6.08</v>
      </c>
      <c r="FM33" s="357"/>
    </row>
    <row r="34" spans="1:169" s="356" customFormat="1" ht="27.95" customHeight="1">
      <c r="A34" s="358">
        <v>24</v>
      </c>
      <c r="B34" s="359" t="s">
        <v>2086</v>
      </c>
      <c r="C34" s="360" t="s">
        <v>1546</v>
      </c>
      <c r="D34" s="361" t="s">
        <v>1763</v>
      </c>
      <c r="E34" s="362"/>
      <c r="F34" s="363">
        <v>0</v>
      </c>
      <c r="G34" s="364">
        <v>1</v>
      </c>
      <c r="H34" s="365">
        <v>5.7</v>
      </c>
      <c r="I34" s="366" t="s">
        <v>2720</v>
      </c>
      <c r="J34" s="365">
        <v>5</v>
      </c>
      <c r="K34" s="366" t="s">
        <v>2720</v>
      </c>
      <c r="L34" s="365">
        <v>6.4</v>
      </c>
      <c r="M34" s="366" t="s">
        <v>2720</v>
      </c>
      <c r="N34" s="365">
        <v>7</v>
      </c>
      <c r="O34" s="366" t="s">
        <v>2720</v>
      </c>
      <c r="P34" s="365">
        <v>5.6</v>
      </c>
      <c r="Q34" s="366" t="s">
        <v>2720</v>
      </c>
      <c r="R34" s="365">
        <v>6.1</v>
      </c>
      <c r="S34" s="366" t="s">
        <v>2720</v>
      </c>
      <c r="T34" s="365">
        <v>7.4</v>
      </c>
      <c r="U34" s="366" t="s">
        <v>2720</v>
      </c>
      <c r="V34" s="365" t="s">
        <v>2720</v>
      </c>
      <c r="W34" s="366" t="s">
        <v>2720</v>
      </c>
      <c r="X34" s="367" t="s">
        <v>2720</v>
      </c>
      <c r="Y34" s="368"/>
      <c r="Z34" s="331">
        <v>5.3</v>
      </c>
      <c r="AA34" s="332" t="s">
        <v>2720</v>
      </c>
      <c r="AB34" s="331">
        <v>5.4</v>
      </c>
      <c r="AC34" s="332" t="s">
        <v>2720</v>
      </c>
      <c r="AD34" s="331" t="s">
        <v>2720</v>
      </c>
      <c r="AE34" s="332" t="s">
        <v>2720</v>
      </c>
      <c r="AF34" s="331">
        <v>8.1999999999999993</v>
      </c>
      <c r="AG34" s="332" t="s">
        <v>2720</v>
      </c>
      <c r="AH34" s="331">
        <v>7.2</v>
      </c>
      <c r="AI34" s="332" t="s">
        <v>2720</v>
      </c>
      <c r="AJ34" s="331">
        <v>7.3</v>
      </c>
      <c r="AK34" s="332" t="s">
        <v>2720</v>
      </c>
      <c r="AL34" s="331">
        <v>7.6</v>
      </c>
      <c r="AM34" s="333" t="s">
        <v>2720</v>
      </c>
      <c r="AN34" s="331">
        <v>7.4</v>
      </c>
      <c r="AO34" s="332" t="s">
        <v>2720</v>
      </c>
      <c r="AP34" s="331">
        <v>7.6</v>
      </c>
      <c r="AQ34" s="333" t="s">
        <v>2720</v>
      </c>
      <c r="AR34" s="331" t="s">
        <v>2720</v>
      </c>
      <c r="AS34" s="333" t="s">
        <v>2720</v>
      </c>
      <c r="AT34" s="331" t="s">
        <v>2720</v>
      </c>
      <c r="AU34" s="333" t="s">
        <v>2720</v>
      </c>
      <c r="AV34" s="331" t="s">
        <v>2720</v>
      </c>
      <c r="AW34" s="333" t="s">
        <v>2720</v>
      </c>
      <c r="AX34" s="331">
        <v>7.2</v>
      </c>
      <c r="AY34" s="368"/>
      <c r="AZ34" s="331" t="s">
        <v>2720</v>
      </c>
      <c r="BA34" s="368"/>
      <c r="BB34" s="334">
        <v>6.48</v>
      </c>
      <c r="BC34" s="335">
        <v>6.48</v>
      </c>
      <c r="BD34" s="336">
        <v>69</v>
      </c>
      <c r="BE34" s="369" t="s">
        <v>2764</v>
      </c>
      <c r="BF34" s="336" t="s">
        <v>2764</v>
      </c>
      <c r="BG34" s="370"/>
      <c r="BH34" s="339" t="s">
        <v>2720</v>
      </c>
      <c r="BI34" s="340">
        <v>39</v>
      </c>
      <c r="BJ34" s="341">
        <v>39</v>
      </c>
      <c r="BK34" s="341">
        <v>0</v>
      </c>
      <c r="BL34" s="341">
        <v>39</v>
      </c>
      <c r="BM34" s="342">
        <v>0</v>
      </c>
      <c r="BN34" s="371">
        <v>6.48</v>
      </c>
      <c r="BO34" s="372" t="s">
        <v>2758</v>
      </c>
      <c r="BP34" s="371">
        <v>6.48</v>
      </c>
      <c r="BQ34" s="372" t="s">
        <v>2758</v>
      </c>
      <c r="BR34" s="345" t="s">
        <v>2759</v>
      </c>
      <c r="BS34" s="373"/>
      <c r="BT34" s="347">
        <v>5.7</v>
      </c>
      <c r="BU34" s="348">
        <v>5</v>
      </c>
      <c r="BV34" s="348">
        <v>6.4</v>
      </c>
      <c r="BW34" s="348">
        <v>7</v>
      </c>
      <c r="BX34" s="349">
        <v>5.6</v>
      </c>
      <c r="BY34" s="349">
        <v>6.1</v>
      </c>
      <c r="BZ34" s="348">
        <v>7.4</v>
      </c>
      <c r="CA34" s="348" t="s">
        <v>2720</v>
      </c>
      <c r="CB34" s="348" t="s">
        <v>2720</v>
      </c>
      <c r="CC34" s="348">
        <v>5.3</v>
      </c>
      <c r="CD34" s="348">
        <v>5.4</v>
      </c>
      <c r="CE34" s="348" t="s">
        <v>2720</v>
      </c>
      <c r="CF34" s="348">
        <v>8.1999999999999993</v>
      </c>
      <c r="CG34" s="348">
        <v>7.2</v>
      </c>
      <c r="CH34" s="348">
        <v>7.3</v>
      </c>
      <c r="CI34" s="348">
        <v>7.6</v>
      </c>
      <c r="CJ34" s="348">
        <v>7.4</v>
      </c>
      <c r="CK34" s="348">
        <v>7.6</v>
      </c>
      <c r="CL34" s="348" t="s">
        <v>2720</v>
      </c>
      <c r="CM34" s="349" t="s">
        <v>2720</v>
      </c>
      <c r="CN34" s="348" t="s">
        <v>2720</v>
      </c>
      <c r="CO34" s="348">
        <v>7.2</v>
      </c>
      <c r="CP34" s="348" t="s">
        <v>2720</v>
      </c>
      <c r="CQ34" s="350">
        <v>6.48</v>
      </c>
      <c r="CR34" s="348">
        <v>5.7</v>
      </c>
      <c r="CS34" s="348">
        <v>5</v>
      </c>
      <c r="CT34" s="348">
        <v>6.4</v>
      </c>
      <c r="CU34" s="348">
        <v>7</v>
      </c>
      <c r="CV34" s="348">
        <v>5.6</v>
      </c>
      <c r="CW34" s="348">
        <v>6.1</v>
      </c>
      <c r="CX34" s="348">
        <v>7.4</v>
      </c>
      <c r="CY34" s="348" t="s">
        <v>2720</v>
      </c>
      <c r="CZ34" s="348" t="s">
        <v>2720</v>
      </c>
      <c r="DA34" s="348">
        <v>5.3</v>
      </c>
      <c r="DB34" s="348">
        <v>5.4</v>
      </c>
      <c r="DC34" s="348" t="s">
        <v>2720</v>
      </c>
      <c r="DD34" s="348">
        <v>8.1999999999999993</v>
      </c>
      <c r="DE34" s="348">
        <v>7.2</v>
      </c>
      <c r="DF34" s="348">
        <v>7.3</v>
      </c>
      <c r="DG34" s="348">
        <v>7.6</v>
      </c>
      <c r="DH34" s="348">
        <v>7.4</v>
      </c>
      <c r="DI34" s="348">
        <v>7.6</v>
      </c>
      <c r="DJ34" s="348" t="s">
        <v>2720</v>
      </c>
      <c r="DK34" s="348" t="s">
        <v>2720</v>
      </c>
      <c r="DL34" s="348" t="s">
        <v>2720</v>
      </c>
      <c r="DM34" s="348">
        <v>7.2</v>
      </c>
      <c r="DN34" s="348" t="s">
        <v>2720</v>
      </c>
      <c r="DO34" s="351">
        <v>6.48</v>
      </c>
      <c r="DP34" s="374">
        <v>5.7</v>
      </c>
      <c r="DQ34" s="353">
        <v>5</v>
      </c>
      <c r="DR34" s="353">
        <v>6.4</v>
      </c>
      <c r="DS34" s="353">
        <v>7</v>
      </c>
      <c r="DT34" s="353">
        <v>5.6</v>
      </c>
      <c r="DU34" s="353">
        <v>6.1</v>
      </c>
      <c r="DV34" s="353">
        <v>7.4</v>
      </c>
      <c r="DW34" s="353" t="s">
        <v>2720</v>
      </c>
      <c r="DX34" s="353" t="s">
        <v>2720</v>
      </c>
      <c r="DY34" s="353">
        <v>5.3</v>
      </c>
      <c r="DZ34" s="353">
        <v>5.4</v>
      </c>
      <c r="EA34" s="353" t="s">
        <v>2720</v>
      </c>
      <c r="EB34" s="353">
        <v>8.1999999999999993</v>
      </c>
      <c r="EC34" s="353">
        <v>7.2</v>
      </c>
      <c r="ED34" s="353">
        <v>7.3</v>
      </c>
      <c r="EE34" s="353">
        <v>7.6</v>
      </c>
      <c r="EF34" s="353">
        <v>7.4</v>
      </c>
      <c r="EG34" s="353">
        <v>7.6</v>
      </c>
      <c r="EH34" s="353" t="s">
        <v>2720</v>
      </c>
      <c r="EI34" s="353" t="s">
        <v>2720</v>
      </c>
      <c r="EJ34" s="353" t="s">
        <v>2720</v>
      </c>
      <c r="EK34" s="353">
        <v>7.2</v>
      </c>
      <c r="EL34" s="353" t="s">
        <v>2720</v>
      </c>
      <c r="EM34" s="354">
        <v>6.48</v>
      </c>
      <c r="EN34" s="353">
        <v>5.7</v>
      </c>
      <c r="EO34" s="353">
        <v>5</v>
      </c>
      <c r="EP34" s="353">
        <v>6.4</v>
      </c>
      <c r="EQ34" s="353">
        <v>7</v>
      </c>
      <c r="ER34" s="353">
        <v>5.6</v>
      </c>
      <c r="ES34" s="353">
        <v>6.1</v>
      </c>
      <c r="ET34" s="353">
        <v>7.4</v>
      </c>
      <c r="EU34" s="353" t="s">
        <v>2720</v>
      </c>
      <c r="EV34" s="353" t="s">
        <v>2720</v>
      </c>
      <c r="EW34" s="353">
        <v>5.3</v>
      </c>
      <c r="EX34" s="353">
        <v>5.4</v>
      </c>
      <c r="EY34" s="353" t="s">
        <v>2720</v>
      </c>
      <c r="EZ34" s="353">
        <v>8.1999999999999993</v>
      </c>
      <c r="FA34" s="353">
        <v>7.2</v>
      </c>
      <c r="FB34" s="353">
        <v>7.3</v>
      </c>
      <c r="FC34" s="353">
        <v>7.6</v>
      </c>
      <c r="FD34" s="353">
        <v>7.4</v>
      </c>
      <c r="FE34" s="353">
        <v>7.6</v>
      </c>
      <c r="FF34" s="353" t="s">
        <v>2720</v>
      </c>
      <c r="FG34" s="353" t="s">
        <v>2720</v>
      </c>
      <c r="FH34" s="353" t="s">
        <v>2720</v>
      </c>
      <c r="FI34" s="353">
        <v>7.2</v>
      </c>
      <c r="FJ34" s="353" t="s">
        <v>2720</v>
      </c>
      <c r="FK34" s="355">
        <v>6.48</v>
      </c>
      <c r="FM34" s="357"/>
    </row>
    <row r="35" spans="1:169" s="356" customFormat="1" ht="27.95" customHeight="1">
      <c r="A35" s="358">
        <v>25</v>
      </c>
      <c r="B35" s="359" t="s">
        <v>2087</v>
      </c>
      <c r="C35" s="360" t="s">
        <v>2046</v>
      </c>
      <c r="D35" s="361" t="s">
        <v>1457</v>
      </c>
      <c r="E35" s="362"/>
      <c r="F35" s="363">
        <v>0</v>
      </c>
      <c r="G35" s="364">
        <v>19</v>
      </c>
      <c r="H35" s="365">
        <v>5</v>
      </c>
      <c r="I35" s="366" t="s">
        <v>2720</v>
      </c>
      <c r="J35" s="365">
        <v>3.7</v>
      </c>
      <c r="K35" s="366">
        <v>6.2</v>
      </c>
      <c r="L35" s="365">
        <v>4.2</v>
      </c>
      <c r="M35" s="366">
        <v>4.7</v>
      </c>
      <c r="N35" s="365">
        <v>4.5</v>
      </c>
      <c r="O35" s="366">
        <v>4.5</v>
      </c>
      <c r="P35" s="365">
        <v>5.8</v>
      </c>
      <c r="Q35" s="366" t="s">
        <v>2720</v>
      </c>
      <c r="R35" s="365">
        <v>5.9</v>
      </c>
      <c r="S35" s="366" t="s">
        <v>2720</v>
      </c>
      <c r="T35" s="365">
        <v>5.0999999999999996</v>
      </c>
      <c r="U35" s="366" t="s">
        <v>2720</v>
      </c>
      <c r="V35" s="365" t="s">
        <v>2720</v>
      </c>
      <c r="W35" s="366" t="s">
        <v>2720</v>
      </c>
      <c r="X35" s="367" t="s">
        <v>2720</v>
      </c>
      <c r="Y35" s="368"/>
      <c r="Z35" s="331">
        <v>5.2</v>
      </c>
      <c r="AA35" s="332" t="s">
        <v>2720</v>
      </c>
      <c r="AB35" s="331">
        <v>4.0999999999999996</v>
      </c>
      <c r="AC35" s="332" t="s">
        <v>2720</v>
      </c>
      <c r="AD35" s="331" t="s">
        <v>2720</v>
      </c>
      <c r="AE35" s="332" t="s">
        <v>2720</v>
      </c>
      <c r="AF35" s="331">
        <v>5.0999999999999996</v>
      </c>
      <c r="AG35" s="332" t="s">
        <v>2720</v>
      </c>
      <c r="AH35" s="331">
        <v>4.5</v>
      </c>
      <c r="AI35" s="332">
        <v>4.9000000000000004</v>
      </c>
      <c r="AJ35" s="331">
        <v>5.9</v>
      </c>
      <c r="AK35" s="332" t="s">
        <v>2720</v>
      </c>
      <c r="AL35" s="331">
        <v>4.8</v>
      </c>
      <c r="AM35" s="333">
        <v>5.9</v>
      </c>
      <c r="AN35" s="331">
        <v>2</v>
      </c>
      <c r="AO35" s="332" t="s">
        <v>2720</v>
      </c>
      <c r="AP35" s="331">
        <v>6.4</v>
      </c>
      <c r="AQ35" s="333" t="s">
        <v>2720</v>
      </c>
      <c r="AR35" s="331" t="s">
        <v>2720</v>
      </c>
      <c r="AS35" s="333" t="s">
        <v>2720</v>
      </c>
      <c r="AT35" s="331" t="s">
        <v>2720</v>
      </c>
      <c r="AU35" s="333" t="s">
        <v>2720</v>
      </c>
      <c r="AV35" s="331" t="s">
        <v>2720</v>
      </c>
      <c r="AW35" s="333" t="s">
        <v>2720</v>
      </c>
      <c r="AX35" s="331">
        <v>5.8</v>
      </c>
      <c r="AY35" s="368"/>
      <c r="AZ35" s="331" t="s">
        <v>2720</v>
      </c>
      <c r="BA35" s="368"/>
      <c r="BB35" s="334">
        <v>4.93</v>
      </c>
      <c r="BC35" s="335">
        <v>5.23</v>
      </c>
      <c r="BD35" s="336">
        <v>54.5</v>
      </c>
      <c r="BE35" s="369" t="s">
        <v>2762</v>
      </c>
      <c r="BF35" s="336" t="s">
        <v>2760</v>
      </c>
      <c r="BG35" s="370"/>
      <c r="BH35" s="339" t="s">
        <v>2720</v>
      </c>
      <c r="BI35" s="340">
        <v>39</v>
      </c>
      <c r="BJ35" s="341">
        <v>23</v>
      </c>
      <c r="BK35" s="341">
        <v>16</v>
      </c>
      <c r="BL35" s="341">
        <v>28</v>
      </c>
      <c r="BM35" s="342">
        <v>11</v>
      </c>
      <c r="BN35" s="371">
        <v>5.6</v>
      </c>
      <c r="BO35" s="372" t="s">
        <v>2758</v>
      </c>
      <c r="BP35" s="371">
        <v>5.69</v>
      </c>
      <c r="BQ35" s="372" t="s">
        <v>2758</v>
      </c>
      <c r="BR35" s="345" t="s">
        <v>2761</v>
      </c>
      <c r="BS35" s="373"/>
      <c r="BT35" s="347">
        <v>5</v>
      </c>
      <c r="BU35" s="348">
        <v>3.7</v>
      </c>
      <c r="BV35" s="348">
        <v>4.2</v>
      </c>
      <c r="BW35" s="348">
        <v>4.5</v>
      </c>
      <c r="BX35" s="349">
        <v>5.8</v>
      </c>
      <c r="BY35" s="349">
        <v>5.9</v>
      </c>
      <c r="BZ35" s="348">
        <v>5.0999999999999996</v>
      </c>
      <c r="CA35" s="348" t="s">
        <v>2720</v>
      </c>
      <c r="CB35" s="348" t="s">
        <v>2720</v>
      </c>
      <c r="CC35" s="348">
        <v>5.2</v>
      </c>
      <c r="CD35" s="348">
        <v>4.0999999999999996</v>
      </c>
      <c r="CE35" s="348" t="s">
        <v>2720</v>
      </c>
      <c r="CF35" s="348">
        <v>5.0999999999999996</v>
      </c>
      <c r="CG35" s="348">
        <v>4.5</v>
      </c>
      <c r="CH35" s="348">
        <v>5.9</v>
      </c>
      <c r="CI35" s="348">
        <v>4.8</v>
      </c>
      <c r="CJ35" s="348">
        <v>2</v>
      </c>
      <c r="CK35" s="348">
        <v>6.4</v>
      </c>
      <c r="CL35" s="348" t="s">
        <v>2720</v>
      </c>
      <c r="CM35" s="349" t="s">
        <v>2720</v>
      </c>
      <c r="CN35" s="348" t="s">
        <v>2720</v>
      </c>
      <c r="CO35" s="348">
        <v>5.8</v>
      </c>
      <c r="CP35" s="348" t="s">
        <v>2720</v>
      </c>
      <c r="CQ35" s="350">
        <v>4.93</v>
      </c>
      <c r="CR35" s="348">
        <v>5</v>
      </c>
      <c r="CS35" s="348" t="s">
        <v>2720</v>
      </c>
      <c r="CT35" s="348" t="s">
        <v>2720</v>
      </c>
      <c r="CU35" s="348" t="s">
        <v>2720</v>
      </c>
      <c r="CV35" s="348">
        <v>5.8</v>
      </c>
      <c r="CW35" s="348">
        <v>5.9</v>
      </c>
      <c r="CX35" s="348">
        <v>5.0999999999999996</v>
      </c>
      <c r="CY35" s="348" t="s">
        <v>2720</v>
      </c>
      <c r="CZ35" s="348" t="s">
        <v>2720</v>
      </c>
      <c r="DA35" s="348">
        <v>5.2</v>
      </c>
      <c r="DB35" s="348" t="s">
        <v>2720</v>
      </c>
      <c r="DC35" s="348" t="s">
        <v>2720</v>
      </c>
      <c r="DD35" s="348">
        <v>5.0999999999999996</v>
      </c>
      <c r="DE35" s="348" t="s">
        <v>2720</v>
      </c>
      <c r="DF35" s="348">
        <v>5.9</v>
      </c>
      <c r="DG35" s="348" t="s">
        <v>2720</v>
      </c>
      <c r="DH35" s="348" t="s">
        <v>2720</v>
      </c>
      <c r="DI35" s="348">
        <v>6.4</v>
      </c>
      <c r="DJ35" s="348" t="s">
        <v>2720</v>
      </c>
      <c r="DK35" s="348" t="s">
        <v>2720</v>
      </c>
      <c r="DL35" s="348" t="s">
        <v>2720</v>
      </c>
      <c r="DM35" s="348">
        <v>5.8</v>
      </c>
      <c r="DN35" s="348" t="s">
        <v>2720</v>
      </c>
      <c r="DO35" s="351">
        <v>5.6</v>
      </c>
      <c r="DP35" s="374">
        <v>5</v>
      </c>
      <c r="DQ35" s="353">
        <v>6.2</v>
      </c>
      <c r="DR35" s="353">
        <v>4.7</v>
      </c>
      <c r="DS35" s="353">
        <v>4.5</v>
      </c>
      <c r="DT35" s="353">
        <v>5.8</v>
      </c>
      <c r="DU35" s="353">
        <v>5.9</v>
      </c>
      <c r="DV35" s="353">
        <v>5.0999999999999996</v>
      </c>
      <c r="DW35" s="353" t="s">
        <v>2720</v>
      </c>
      <c r="DX35" s="353" t="s">
        <v>2720</v>
      </c>
      <c r="DY35" s="353">
        <v>5.2</v>
      </c>
      <c r="DZ35" s="353">
        <v>4.0999999999999996</v>
      </c>
      <c r="EA35" s="353" t="s">
        <v>2720</v>
      </c>
      <c r="EB35" s="353">
        <v>5.0999999999999996</v>
      </c>
      <c r="EC35" s="353">
        <v>4.9000000000000004</v>
      </c>
      <c r="ED35" s="353">
        <v>5.9</v>
      </c>
      <c r="EE35" s="353">
        <v>5.9</v>
      </c>
      <c r="EF35" s="353">
        <v>2</v>
      </c>
      <c r="EG35" s="353">
        <v>6.4</v>
      </c>
      <c r="EH35" s="353" t="s">
        <v>2720</v>
      </c>
      <c r="EI35" s="353" t="s">
        <v>2720</v>
      </c>
      <c r="EJ35" s="353" t="s">
        <v>2720</v>
      </c>
      <c r="EK35" s="353">
        <v>5.8</v>
      </c>
      <c r="EL35" s="353" t="s">
        <v>2720</v>
      </c>
      <c r="EM35" s="354">
        <v>5.23</v>
      </c>
      <c r="EN35" s="353">
        <v>5</v>
      </c>
      <c r="EO35" s="353">
        <v>6.2</v>
      </c>
      <c r="EP35" s="353" t="s">
        <v>2720</v>
      </c>
      <c r="EQ35" s="353" t="s">
        <v>2720</v>
      </c>
      <c r="ER35" s="353">
        <v>5.8</v>
      </c>
      <c r="ES35" s="353">
        <v>5.9</v>
      </c>
      <c r="ET35" s="353">
        <v>5.0999999999999996</v>
      </c>
      <c r="EU35" s="353" t="s">
        <v>2720</v>
      </c>
      <c r="EV35" s="353" t="s">
        <v>2720</v>
      </c>
      <c r="EW35" s="353">
        <v>5.2</v>
      </c>
      <c r="EX35" s="353" t="s">
        <v>2720</v>
      </c>
      <c r="EY35" s="353" t="s">
        <v>2720</v>
      </c>
      <c r="EZ35" s="353">
        <v>5.0999999999999996</v>
      </c>
      <c r="FA35" s="353" t="s">
        <v>2720</v>
      </c>
      <c r="FB35" s="353">
        <v>5.9</v>
      </c>
      <c r="FC35" s="353">
        <v>5.9</v>
      </c>
      <c r="FD35" s="353" t="s">
        <v>2720</v>
      </c>
      <c r="FE35" s="353">
        <v>6.4</v>
      </c>
      <c r="FF35" s="353" t="s">
        <v>2720</v>
      </c>
      <c r="FG35" s="353" t="s">
        <v>2720</v>
      </c>
      <c r="FH35" s="353" t="s">
        <v>2720</v>
      </c>
      <c r="FI35" s="353">
        <v>5.8</v>
      </c>
      <c r="FJ35" s="353" t="s">
        <v>2720</v>
      </c>
      <c r="FK35" s="355">
        <v>5.69</v>
      </c>
      <c r="FM35" s="357"/>
    </row>
    <row r="36" spans="1:169" s="356" customFormat="1" ht="27.95" customHeight="1">
      <c r="A36" s="358">
        <v>26</v>
      </c>
      <c r="B36" s="359" t="s">
        <v>2767</v>
      </c>
      <c r="C36" s="360" t="s">
        <v>1461</v>
      </c>
      <c r="D36" s="361" t="s">
        <v>1463</v>
      </c>
      <c r="E36" s="362"/>
      <c r="F36" s="363">
        <v>0</v>
      </c>
      <c r="G36" s="364">
        <v>68</v>
      </c>
      <c r="H36" s="365">
        <v>3.3</v>
      </c>
      <c r="I36" s="366" t="s">
        <v>2720</v>
      </c>
      <c r="J36" s="365">
        <v>5.5</v>
      </c>
      <c r="K36" s="366" t="s">
        <v>2720</v>
      </c>
      <c r="L36" s="365">
        <v>5</v>
      </c>
      <c r="M36" s="366" t="s">
        <v>2720</v>
      </c>
      <c r="N36" s="365">
        <v>3.3</v>
      </c>
      <c r="O36" s="366" t="s">
        <v>2720</v>
      </c>
      <c r="P36" s="365">
        <v>3.2</v>
      </c>
      <c r="Q36" s="366" t="s">
        <v>2720</v>
      </c>
      <c r="R36" s="365">
        <v>5</v>
      </c>
      <c r="S36" s="366" t="s">
        <v>2720</v>
      </c>
      <c r="T36" s="365">
        <v>5</v>
      </c>
      <c r="U36" s="366" t="s">
        <v>2720</v>
      </c>
      <c r="V36" s="365" t="s">
        <v>2720</v>
      </c>
      <c r="W36" s="366" t="s">
        <v>2720</v>
      </c>
      <c r="X36" s="367" t="s">
        <v>2720</v>
      </c>
      <c r="Y36" s="368"/>
      <c r="Z36" s="331">
        <v>0</v>
      </c>
      <c r="AA36" s="332" t="s">
        <v>2720</v>
      </c>
      <c r="AB36" s="331">
        <v>0.1</v>
      </c>
      <c r="AC36" s="332" t="s">
        <v>2720</v>
      </c>
      <c r="AD36" s="331" t="s">
        <v>2720</v>
      </c>
      <c r="AE36" s="332" t="s">
        <v>2720</v>
      </c>
      <c r="AF36" s="331" t="s">
        <v>2720</v>
      </c>
      <c r="AG36" s="332" t="s">
        <v>2720</v>
      </c>
      <c r="AH36" s="331">
        <v>0</v>
      </c>
      <c r="AI36" s="332" t="s">
        <v>2720</v>
      </c>
      <c r="AJ36" s="331">
        <v>0</v>
      </c>
      <c r="AK36" s="332" t="s">
        <v>2720</v>
      </c>
      <c r="AL36" s="331">
        <v>0</v>
      </c>
      <c r="AM36" s="333" t="s">
        <v>2720</v>
      </c>
      <c r="AN36" s="331">
        <v>0</v>
      </c>
      <c r="AO36" s="332" t="s">
        <v>2720</v>
      </c>
      <c r="AP36" s="331">
        <v>0</v>
      </c>
      <c r="AQ36" s="333" t="s">
        <v>2720</v>
      </c>
      <c r="AR36" s="331" t="s">
        <v>2720</v>
      </c>
      <c r="AS36" s="333" t="s">
        <v>2720</v>
      </c>
      <c r="AT36" s="331" t="s">
        <v>2720</v>
      </c>
      <c r="AU36" s="333" t="s">
        <v>2720</v>
      </c>
      <c r="AV36" s="331" t="s">
        <v>2720</v>
      </c>
      <c r="AW36" s="333" t="s">
        <v>2720</v>
      </c>
      <c r="AX36" s="331">
        <v>0</v>
      </c>
      <c r="AY36" s="368"/>
      <c r="AZ36" s="331" t="s">
        <v>2720</v>
      </c>
      <c r="BA36" s="368"/>
      <c r="BB36" s="334">
        <v>2.38</v>
      </c>
      <c r="BC36" s="335">
        <v>2.38</v>
      </c>
      <c r="BD36" s="336">
        <v>46.5</v>
      </c>
      <c r="BE36" s="369" t="s">
        <v>2768</v>
      </c>
      <c r="BF36" s="336" t="s">
        <v>2768</v>
      </c>
      <c r="BG36" s="370"/>
      <c r="BH36" s="339" t="s">
        <v>2769</v>
      </c>
      <c r="BI36" s="340">
        <v>37</v>
      </c>
      <c r="BJ36" s="341">
        <v>12</v>
      </c>
      <c r="BK36" s="341">
        <v>25</v>
      </c>
      <c r="BL36" s="341">
        <v>12</v>
      </c>
      <c r="BM36" s="342">
        <v>25</v>
      </c>
      <c r="BN36" s="371">
        <v>5.13</v>
      </c>
      <c r="BO36" s="372" t="s">
        <v>2765</v>
      </c>
      <c r="BP36" s="371">
        <v>5.13</v>
      </c>
      <c r="BQ36" s="372" t="s">
        <v>2765</v>
      </c>
      <c r="BR36" s="345" t="s">
        <v>2761</v>
      </c>
      <c r="BS36" s="373"/>
      <c r="BT36" s="347">
        <v>3.3</v>
      </c>
      <c r="BU36" s="348">
        <v>5.5</v>
      </c>
      <c r="BV36" s="348">
        <v>5</v>
      </c>
      <c r="BW36" s="348">
        <v>3.3</v>
      </c>
      <c r="BX36" s="349">
        <v>3.2</v>
      </c>
      <c r="BY36" s="349">
        <v>5</v>
      </c>
      <c r="BZ36" s="348">
        <v>5</v>
      </c>
      <c r="CA36" s="348" t="s">
        <v>2720</v>
      </c>
      <c r="CB36" s="348" t="s">
        <v>2720</v>
      </c>
      <c r="CC36" s="348">
        <v>0</v>
      </c>
      <c r="CD36" s="348">
        <v>0.1</v>
      </c>
      <c r="CE36" s="348" t="s">
        <v>2720</v>
      </c>
      <c r="CF36" s="348" t="s">
        <v>2720</v>
      </c>
      <c r="CG36" s="348">
        <v>0</v>
      </c>
      <c r="CH36" s="348">
        <v>0</v>
      </c>
      <c r="CI36" s="348">
        <v>0</v>
      </c>
      <c r="CJ36" s="348">
        <v>0</v>
      </c>
      <c r="CK36" s="348">
        <v>0</v>
      </c>
      <c r="CL36" s="348" t="s">
        <v>2720</v>
      </c>
      <c r="CM36" s="349" t="s">
        <v>2720</v>
      </c>
      <c r="CN36" s="348" t="s">
        <v>2720</v>
      </c>
      <c r="CO36" s="348">
        <v>0</v>
      </c>
      <c r="CP36" s="348" t="s">
        <v>2720</v>
      </c>
      <c r="CQ36" s="350">
        <v>2.38</v>
      </c>
      <c r="CR36" s="348" t="s">
        <v>2720</v>
      </c>
      <c r="CS36" s="348">
        <v>5.5</v>
      </c>
      <c r="CT36" s="348">
        <v>5</v>
      </c>
      <c r="CU36" s="348" t="s">
        <v>2720</v>
      </c>
      <c r="CV36" s="348" t="s">
        <v>2720</v>
      </c>
      <c r="CW36" s="348">
        <v>5</v>
      </c>
      <c r="CX36" s="348">
        <v>5</v>
      </c>
      <c r="CY36" s="348" t="s">
        <v>2720</v>
      </c>
      <c r="CZ36" s="348" t="s">
        <v>2720</v>
      </c>
      <c r="DA36" s="348" t="s">
        <v>2720</v>
      </c>
      <c r="DB36" s="348" t="s">
        <v>2720</v>
      </c>
      <c r="DC36" s="348" t="s">
        <v>2720</v>
      </c>
      <c r="DD36" s="348" t="s">
        <v>2720</v>
      </c>
      <c r="DE36" s="348" t="s">
        <v>2720</v>
      </c>
      <c r="DF36" s="348" t="s">
        <v>2720</v>
      </c>
      <c r="DG36" s="348" t="s">
        <v>2720</v>
      </c>
      <c r="DH36" s="348" t="s">
        <v>2720</v>
      </c>
      <c r="DI36" s="348" t="s">
        <v>2720</v>
      </c>
      <c r="DJ36" s="348" t="s">
        <v>2720</v>
      </c>
      <c r="DK36" s="348" t="s">
        <v>2720</v>
      </c>
      <c r="DL36" s="348" t="s">
        <v>2720</v>
      </c>
      <c r="DM36" s="348" t="s">
        <v>2720</v>
      </c>
      <c r="DN36" s="348" t="s">
        <v>2720</v>
      </c>
      <c r="DO36" s="351">
        <v>5.13</v>
      </c>
      <c r="DP36" s="374">
        <v>3.3</v>
      </c>
      <c r="DQ36" s="353">
        <v>5.5</v>
      </c>
      <c r="DR36" s="353">
        <v>5</v>
      </c>
      <c r="DS36" s="353">
        <v>3.3</v>
      </c>
      <c r="DT36" s="353">
        <v>3.2</v>
      </c>
      <c r="DU36" s="353">
        <v>5</v>
      </c>
      <c r="DV36" s="353">
        <v>5</v>
      </c>
      <c r="DW36" s="353" t="s">
        <v>2720</v>
      </c>
      <c r="DX36" s="353" t="s">
        <v>2720</v>
      </c>
      <c r="DY36" s="353">
        <v>0</v>
      </c>
      <c r="DZ36" s="353">
        <v>0.1</v>
      </c>
      <c r="EA36" s="353" t="s">
        <v>2720</v>
      </c>
      <c r="EB36" s="353" t="s">
        <v>2720</v>
      </c>
      <c r="EC36" s="353">
        <v>0</v>
      </c>
      <c r="ED36" s="353">
        <v>0</v>
      </c>
      <c r="EE36" s="353">
        <v>0</v>
      </c>
      <c r="EF36" s="353">
        <v>0</v>
      </c>
      <c r="EG36" s="353">
        <v>0</v>
      </c>
      <c r="EH36" s="353" t="s">
        <v>2720</v>
      </c>
      <c r="EI36" s="353" t="s">
        <v>2720</v>
      </c>
      <c r="EJ36" s="353" t="s">
        <v>2720</v>
      </c>
      <c r="EK36" s="353">
        <v>0</v>
      </c>
      <c r="EL36" s="353" t="s">
        <v>2720</v>
      </c>
      <c r="EM36" s="354">
        <v>2.38</v>
      </c>
      <c r="EN36" s="353" t="s">
        <v>2720</v>
      </c>
      <c r="EO36" s="353">
        <v>5.5</v>
      </c>
      <c r="EP36" s="353">
        <v>5</v>
      </c>
      <c r="EQ36" s="353" t="s">
        <v>2720</v>
      </c>
      <c r="ER36" s="353" t="s">
        <v>2720</v>
      </c>
      <c r="ES36" s="353">
        <v>5</v>
      </c>
      <c r="ET36" s="353">
        <v>5</v>
      </c>
      <c r="EU36" s="353" t="s">
        <v>2720</v>
      </c>
      <c r="EV36" s="353" t="s">
        <v>2720</v>
      </c>
      <c r="EW36" s="353" t="s">
        <v>2720</v>
      </c>
      <c r="EX36" s="353" t="s">
        <v>2720</v>
      </c>
      <c r="EY36" s="353" t="s">
        <v>2720</v>
      </c>
      <c r="EZ36" s="353" t="s">
        <v>2720</v>
      </c>
      <c r="FA36" s="353" t="s">
        <v>2720</v>
      </c>
      <c r="FB36" s="353" t="s">
        <v>2720</v>
      </c>
      <c r="FC36" s="353" t="s">
        <v>2720</v>
      </c>
      <c r="FD36" s="353" t="s">
        <v>2720</v>
      </c>
      <c r="FE36" s="353" t="s">
        <v>2720</v>
      </c>
      <c r="FF36" s="353" t="s">
        <v>2720</v>
      </c>
      <c r="FG36" s="353" t="s">
        <v>2720</v>
      </c>
      <c r="FH36" s="353" t="s">
        <v>2720</v>
      </c>
      <c r="FI36" s="353" t="s">
        <v>2720</v>
      </c>
      <c r="FJ36" s="353" t="s">
        <v>2720</v>
      </c>
      <c r="FK36" s="355">
        <v>5.13</v>
      </c>
      <c r="FM36" s="357"/>
    </row>
    <row r="37" spans="1:169" s="356" customFormat="1" ht="27.95" customHeight="1">
      <c r="A37" s="358">
        <v>27</v>
      </c>
      <c r="B37" s="359" t="s">
        <v>2091</v>
      </c>
      <c r="C37" s="360" t="s">
        <v>2092</v>
      </c>
      <c r="D37" s="361" t="s">
        <v>1672</v>
      </c>
      <c r="E37" s="362"/>
      <c r="F37" s="363">
        <v>0</v>
      </c>
      <c r="G37" s="364">
        <v>13</v>
      </c>
      <c r="H37" s="365">
        <v>4.4000000000000004</v>
      </c>
      <c r="I37" s="366">
        <v>4.4000000000000004</v>
      </c>
      <c r="J37" s="365">
        <v>6.7</v>
      </c>
      <c r="K37" s="366" t="s">
        <v>2720</v>
      </c>
      <c r="L37" s="365">
        <v>5</v>
      </c>
      <c r="M37" s="366" t="s">
        <v>2720</v>
      </c>
      <c r="N37" s="365">
        <v>5.5</v>
      </c>
      <c r="O37" s="366" t="s">
        <v>2720</v>
      </c>
      <c r="P37" s="365">
        <v>5.4</v>
      </c>
      <c r="Q37" s="366" t="s">
        <v>2720</v>
      </c>
      <c r="R37" s="365">
        <v>5.0999999999999996</v>
      </c>
      <c r="S37" s="366" t="s">
        <v>2720</v>
      </c>
      <c r="T37" s="365">
        <v>5.6</v>
      </c>
      <c r="U37" s="366" t="s">
        <v>2720</v>
      </c>
      <c r="V37" s="365" t="s">
        <v>2720</v>
      </c>
      <c r="W37" s="366" t="s">
        <v>2720</v>
      </c>
      <c r="X37" s="367" t="s">
        <v>2720</v>
      </c>
      <c r="Y37" s="368"/>
      <c r="Z37" s="331">
        <v>3.8</v>
      </c>
      <c r="AA37" s="332">
        <v>4.8</v>
      </c>
      <c r="AB37" s="331">
        <v>5.0999999999999996</v>
      </c>
      <c r="AC37" s="332" t="s">
        <v>2720</v>
      </c>
      <c r="AD37" s="331" t="s">
        <v>2720</v>
      </c>
      <c r="AE37" s="332" t="s">
        <v>2720</v>
      </c>
      <c r="AF37" s="331">
        <v>6.3</v>
      </c>
      <c r="AG37" s="332" t="s">
        <v>2720</v>
      </c>
      <c r="AH37" s="331">
        <v>4.5</v>
      </c>
      <c r="AI37" s="332">
        <v>5.3</v>
      </c>
      <c r="AJ37" s="331">
        <v>5.9</v>
      </c>
      <c r="AK37" s="332" t="s">
        <v>2720</v>
      </c>
      <c r="AL37" s="331">
        <v>6.1</v>
      </c>
      <c r="AM37" s="333" t="s">
        <v>2720</v>
      </c>
      <c r="AN37" s="331">
        <v>5.3</v>
      </c>
      <c r="AO37" s="332" t="s">
        <v>2720</v>
      </c>
      <c r="AP37" s="331">
        <v>6.6</v>
      </c>
      <c r="AQ37" s="333" t="s">
        <v>2720</v>
      </c>
      <c r="AR37" s="331" t="s">
        <v>2720</v>
      </c>
      <c r="AS37" s="333" t="s">
        <v>2720</v>
      </c>
      <c r="AT37" s="331" t="s">
        <v>2720</v>
      </c>
      <c r="AU37" s="333" t="s">
        <v>2720</v>
      </c>
      <c r="AV37" s="331" t="s">
        <v>2720</v>
      </c>
      <c r="AW37" s="333" t="s">
        <v>2720</v>
      </c>
      <c r="AX37" s="331">
        <v>7.5</v>
      </c>
      <c r="AY37" s="368"/>
      <c r="AZ37" s="331" t="s">
        <v>2720</v>
      </c>
      <c r="BA37" s="368"/>
      <c r="BB37" s="334">
        <v>5.5</v>
      </c>
      <c r="BC37" s="335">
        <v>5.59</v>
      </c>
      <c r="BD37" s="336">
        <v>52.5</v>
      </c>
      <c r="BE37" s="369" t="s">
        <v>2760</v>
      </c>
      <c r="BF37" s="336" t="s">
        <v>2760</v>
      </c>
      <c r="BG37" s="370"/>
      <c r="BH37" s="339" t="s">
        <v>2720</v>
      </c>
      <c r="BI37" s="340">
        <v>39</v>
      </c>
      <c r="BJ37" s="341">
        <v>32</v>
      </c>
      <c r="BK37" s="341">
        <v>7</v>
      </c>
      <c r="BL37" s="341">
        <v>34</v>
      </c>
      <c r="BM37" s="342">
        <v>5</v>
      </c>
      <c r="BN37" s="371">
        <v>5.77</v>
      </c>
      <c r="BO37" s="372" t="s">
        <v>2758</v>
      </c>
      <c r="BP37" s="371">
        <v>5.74</v>
      </c>
      <c r="BQ37" s="372" t="s">
        <v>2758</v>
      </c>
      <c r="BR37" s="345" t="s">
        <v>2761</v>
      </c>
      <c r="BS37" s="373"/>
      <c r="BT37" s="347">
        <v>4.4000000000000004</v>
      </c>
      <c r="BU37" s="348">
        <v>6.7</v>
      </c>
      <c r="BV37" s="348">
        <v>5</v>
      </c>
      <c r="BW37" s="348">
        <v>5.5</v>
      </c>
      <c r="BX37" s="349">
        <v>5.4</v>
      </c>
      <c r="BY37" s="349">
        <v>5.0999999999999996</v>
      </c>
      <c r="BZ37" s="348">
        <v>5.6</v>
      </c>
      <c r="CA37" s="348" t="s">
        <v>2720</v>
      </c>
      <c r="CB37" s="348" t="s">
        <v>2720</v>
      </c>
      <c r="CC37" s="348">
        <v>3.8</v>
      </c>
      <c r="CD37" s="348">
        <v>5.0999999999999996</v>
      </c>
      <c r="CE37" s="348" t="s">
        <v>2720</v>
      </c>
      <c r="CF37" s="348">
        <v>6.3</v>
      </c>
      <c r="CG37" s="348">
        <v>4.5</v>
      </c>
      <c r="CH37" s="348">
        <v>5.9</v>
      </c>
      <c r="CI37" s="348">
        <v>6.1</v>
      </c>
      <c r="CJ37" s="348">
        <v>5.3</v>
      </c>
      <c r="CK37" s="348">
        <v>6.6</v>
      </c>
      <c r="CL37" s="348" t="s">
        <v>2720</v>
      </c>
      <c r="CM37" s="349" t="s">
        <v>2720</v>
      </c>
      <c r="CN37" s="348" t="s">
        <v>2720</v>
      </c>
      <c r="CO37" s="348">
        <v>7.5</v>
      </c>
      <c r="CP37" s="348" t="s">
        <v>2720</v>
      </c>
      <c r="CQ37" s="350">
        <v>5.5</v>
      </c>
      <c r="CR37" s="348" t="s">
        <v>2720</v>
      </c>
      <c r="CS37" s="348">
        <v>6.7</v>
      </c>
      <c r="CT37" s="348">
        <v>5</v>
      </c>
      <c r="CU37" s="348">
        <v>5.5</v>
      </c>
      <c r="CV37" s="348">
        <v>5.4</v>
      </c>
      <c r="CW37" s="348">
        <v>5.0999999999999996</v>
      </c>
      <c r="CX37" s="348">
        <v>5.6</v>
      </c>
      <c r="CY37" s="348" t="s">
        <v>2720</v>
      </c>
      <c r="CZ37" s="348" t="s">
        <v>2720</v>
      </c>
      <c r="DA37" s="348" t="s">
        <v>2720</v>
      </c>
      <c r="DB37" s="348">
        <v>5.0999999999999996</v>
      </c>
      <c r="DC37" s="348" t="s">
        <v>2720</v>
      </c>
      <c r="DD37" s="348">
        <v>6.3</v>
      </c>
      <c r="DE37" s="348" t="s">
        <v>2720</v>
      </c>
      <c r="DF37" s="348">
        <v>5.9</v>
      </c>
      <c r="DG37" s="348">
        <v>6.1</v>
      </c>
      <c r="DH37" s="348">
        <v>5.3</v>
      </c>
      <c r="DI37" s="348">
        <v>6.6</v>
      </c>
      <c r="DJ37" s="348" t="s">
        <v>2720</v>
      </c>
      <c r="DK37" s="348" t="s">
        <v>2720</v>
      </c>
      <c r="DL37" s="348" t="s">
        <v>2720</v>
      </c>
      <c r="DM37" s="348">
        <v>7.5</v>
      </c>
      <c r="DN37" s="348" t="s">
        <v>2720</v>
      </c>
      <c r="DO37" s="351">
        <v>5.77</v>
      </c>
      <c r="DP37" s="374">
        <v>4.4000000000000004</v>
      </c>
      <c r="DQ37" s="353">
        <v>6.7</v>
      </c>
      <c r="DR37" s="353">
        <v>5</v>
      </c>
      <c r="DS37" s="353">
        <v>5.5</v>
      </c>
      <c r="DT37" s="353">
        <v>5.4</v>
      </c>
      <c r="DU37" s="353">
        <v>5.0999999999999996</v>
      </c>
      <c r="DV37" s="353">
        <v>5.6</v>
      </c>
      <c r="DW37" s="353" t="s">
        <v>2720</v>
      </c>
      <c r="DX37" s="353" t="s">
        <v>2720</v>
      </c>
      <c r="DY37" s="353">
        <v>4.8</v>
      </c>
      <c r="DZ37" s="353">
        <v>5.0999999999999996</v>
      </c>
      <c r="EA37" s="353" t="s">
        <v>2720</v>
      </c>
      <c r="EB37" s="353">
        <v>6.3</v>
      </c>
      <c r="EC37" s="353">
        <v>5.3</v>
      </c>
      <c r="ED37" s="353">
        <v>5.9</v>
      </c>
      <c r="EE37" s="353">
        <v>6.1</v>
      </c>
      <c r="EF37" s="353">
        <v>5.3</v>
      </c>
      <c r="EG37" s="353">
        <v>6.6</v>
      </c>
      <c r="EH37" s="353" t="s">
        <v>2720</v>
      </c>
      <c r="EI37" s="353" t="s">
        <v>2720</v>
      </c>
      <c r="EJ37" s="353" t="s">
        <v>2720</v>
      </c>
      <c r="EK37" s="353">
        <v>7.5</v>
      </c>
      <c r="EL37" s="353" t="s">
        <v>2720</v>
      </c>
      <c r="EM37" s="354">
        <v>5.59</v>
      </c>
      <c r="EN37" s="353" t="s">
        <v>2720</v>
      </c>
      <c r="EO37" s="353">
        <v>6.7</v>
      </c>
      <c r="EP37" s="353">
        <v>5</v>
      </c>
      <c r="EQ37" s="353">
        <v>5.5</v>
      </c>
      <c r="ER37" s="353">
        <v>5.4</v>
      </c>
      <c r="ES37" s="353">
        <v>5.0999999999999996</v>
      </c>
      <c r="ET37" s="353">
        <v>5.6</v>
      </c>
      <c r="EU37" s="353" t="s">
        <v>2720</v>
      </c>
      <c r="EV37" s="353" t="s">
        <v>2720</v>
      </c>
      <c r="EW37" s="353" t="s">
        <v>2720</v>
      </c>
      <c r="EX37" s="353">
        <v>5.0999999999999996</v>
      </c>
      <c r="EY37" s="353" t="s">
        <v>2720</v>
      </c>
      <c r="EZ37" s="353">
        <v>6.3</v>
      </c>
      <c r="FA37" s="353">
        <v>5.3</v>
      </c>
      <c r="FB37" s="353">
        <v>5.9</v>
      </c>
      <c r="FC37" s="353">
        <v>6.1</v>
      </c>
      <c r="FD37" s="353">
        <v>5.3</v>
      </c>
      <c r="FE37" s="353">
        <v>6.6</v>
      </c>
      <c r="FF37" s="353" t="s">
        <v>2720</v>
      </c>
      <c r="FG37" s="353" t="s">
        <v>2720</v>
      </c>
      <c r="FH37" s="353" t="s">
        <v>2720</v>
      </c>
      <c r="FI37" s="353">
        <v>7.5</v>
      </c>
      <c r="FJ37" s="353" t="s">
        <v>2720</v>
      </c>
      <c r="FK37" s="355">
        <v>5.74</v>
      </c>
      <c r="FM37" s="357"/>
    </row>
    <row r="38" spans="1:169" s="356" customFormat="1" ht="27.95" customHeight="1">
      <c r="A38" s="358">
        <v>28</v>
      </c>
      <c r="B38" s="359" t="s">
        <v>2094</v>
      </c>
      <c r="C38" s="360" t="s">
        <v>2040</v>
      </c>
      <c r="D38" s="361" t="s">
        <v>1466</v>
      </c>
      <c r="E38" s="362"/>
      <c r="F38" s="363">
        <v>0</v>
      </c>
      <c r="G38" s="364">
        <v>16</v>
      </c>
      <c r="H38" s="365">
        <v>3.8</v>
      </c>
      <c r="I38" s="366">
        <v>4.7</v>
      </c>
      <c r="J38" s="365">
        <v>5.0999999999999996</v>
      </c>
      <c r="K38" s="366" t="s">
        <v>2720</v>
      </c>
      <c r="L38" s="365">
        <v>5</v>
      </c>
      <c r="M38" s="366" t="s">
        <v>2720</v>
      </c>
      <c r="N38" s="365">
        <v>5.8</v>
      </c>
      <c r="O38" s="366" t="s">
        <v>2720</v>
      </c>
      <c r="P38" s="365">
        <v>6.4</v>
      </c>
      <c r="Q38" s="366" t="s">
        <v>2720</v>
      </c>
      <c r="R38" s="365">
        <v>5.2</v>
      </c>
      <c r="S38" s="366" t="s">
        <v>2720</v>
      </c>
      <c r="T38" s="365">
        <v>5.8</v>
      </c>
      <c r="U38" s="366" t="s">
        <v>2720</v>
      </c>
      <c r="V38" s="365" t="s">
        <v>2720</v>
      </c>
      <c r="W38" s="366" t="s">
        <v>2720</v>
      </c>
      <c r="X38" s="367" t="s">
        <v>2720</v>
      </c>
      <c r="Y38" s="368"/>
      <c r="Z38" s="331">
        <v>2.9</v>
      </c>
      <c r="AA38" s="332">
        <v>4.5999999999999996</v>
      </c>
      <c r="AB38" s="331">
        <v>5.2</v>
      </c>
      <c r="AC38" s="332" t="s">
        <v>2720</v>
      </c>
      <c r="AD38" s="331">
        <v>4.0999999999999996</v>
      </c>
      <c r="AE38" s="332">
        <v>5.7</v>
      </c>
      <c r="AF38" s="331">
        <v>6.6</v>
      </c>
      <c r="AG38" s="332" t="s">
        <v>2720</v>
      </c>
      <c r="AH38" s="331" t="s">
        <v>2720</v>
      </c>
      <c r="AI38" s="332" t="s">
        <v>2720</v>
      </c>
      <c r="AJ38" s="331">
        <v>6</v>
      </c>
      <c r="AK38" s="332" t="s">
        <v>2720</v>
      </c>
      <c r="AL38" s="331">
        <v>6.9</v>
      </c>
      <c r="AM38" s="333" t="s">
        <v>2720</v>
      </c>
      <c r="AN38" s="331">
        <v>2.9</v>
      </c>
      <c r="AO38" s="332">
        <v>2.9</v>
      </c>
      <c r="AP38" s="331">
        <v>6</v>
      </c>
      <c r="AQ38" s="333" t="s">
        <v>2720</v>
      </c>
      <c r="AR38" s="331" t="s">
        <v>2720</v>
      </c>
      <c r="AS38" s="333" t="s">
        <v>2720</v>
      </c>
      <c r="AT38" s="331" t="s">
        <v>2720</v>
      </c>
      <c r="AU38" s="333" t="s">
        <v>2720</v>
      </c>
      <c r="AV38" s="331" t="s">
        <v>2720</v>
      </c>
      <c r="AW38" s="333" t="s">
        <v>2720</v>
      </c>
      <c r="AX38" s="331">
        <v>7.7</v>
      </c>
      <c r="AY38" s="368"/>
      <c r="AZ38" s="331" t="s">
        <v>2720</v>
      </c>
      <c r="BA38" s="368"/>
      <c r="BB38" s="334">
        <v>5.31</v>
      </c>
      <c r="BC38" s="335">
        <v>5.54</v>
      </c>
      <c r="BD38" s="336">
        <v>66</v>
      </c>
      <c r="BE38" s="369" t="s">
        <v>2760</v>
      </c>
      <c r="BF38" s="336" t="s">
        <v>2760</v>
      </c>
      <c r="BG38" s="370"/>
      <c r="BH38" s="339" t="s">
        <v>2720</v>
      </c>
      <c r="BI38" s="340">
        <v>39</v>
      </c>
      <c r="BJ38" s="341">
        <v>30</v>
      </c>
      <c r="BK38" s="341">
        <v>9</v>
      </c>
      <c r="BL38" s="341">
        <v>32</v>
      </c>
      <c r="BM38" s="342">
        <v>7</v>
      </c>
      <c r="BN38" s="371">
        <v>5.86</v>
      </c>
      <c r="BO38" s="372" t="s">
        <v>2758</v>
      </c>
      <c r="BP38" s="371">
        <v>5.85</v>
      </c>
      <c r="BQ38" s="372" t="s">
        <v>2758</v>
      </c>
      <c r="BR38" s="345" t="s">
        <v>2761</v>
      </c>
      <c r="BS38" s="373"/>
      <c r="BT38" s="347">
        <v>3.8</v>
      </c>
      <c r="BU38" s="348">
        <v>5.0999999999999996</v>
      </c>
      <c r="BV38" s="348">
        <v>5</v>
      </c>
      <c r="BW38" s="348">
        <v>5.8</v>
      </c>
      <c r="BX38" s="349">
        <v>6.4</v>
      </c>
      <c r="BY38" s="349">
        <v>5.2</v>
      </c>
      <c r="BZ38" s="348">
        <v>5.8</v>
      </c>
      <c r="CA38" s="348" t="s">
        <v>2720</v>
      </c>
      <c r="CB38" s="348" t="s">
        <v>2720</v>
      </c>
      <c r="CC38" s="348">
        <v>2.9</v>
      </c>
      <c r="CD38" s="348">
        <v>5.2</v>
      </c>
      <c r="CE38" s="348">
        <v>4.0999999999999996</v>
      </c>
      <c r="CF38" s="348">
        <v>6.6</v>
      </c>
      <c r="CG38" s="348" t="s">
        <v>2720</v>
      </c>
      <c r="CH38" s="348">
        <v>6</v>
      </c>
      <c r="CI38" s="348">
        <v>6.9</v>
      </c>
      <c r="CJ38" s="348">
        <v>2.9</v>
      </c>
      <c r="CK38" s="348">
        <v>6</v>
      </c>
      <c r="CL38" s="348" t="s">
        <v>2720</v>
      </c>
      <c r="CM38" s="349" t="s">
        <v>2720</v>
      </c>
      <c r="CN38" s="348" t="s">
        <v>2720</v>
      </c>
      <c r="CO38" s="348">
        <v>7.7</v>
      </c>
      <c r="CP38" s="348" t="s">
        <v>2720</v>
      </c>
      <c r="CQ38" s="350">
        <v>5.31</v>
      </c>
      <c r="CR38" s="348" t="s">
        <v>2720</v>
      </c>
      <c r="CS38" s="348">
        <v>5.0999999999999996</v>
      </c>
      <c r="CT38" s="348">
        <v>5</v>
      </c>
      <c r="CU38" s="348">
        <v>5.8</v>
      </c>
      <c r="CV38" s="348">
        <v>6.4</v>
      </c>
      <c r="CW38" s="348">
        <v>5.2</v>
      </c>
      <c r="CX38" s="348">
        <v>5.8</v>
      </c>
      <c r="CY38" s="348" t="s">
        <v>2720</v>
      </c>
      <c r="CZ38" s="348" t="s">
        <v>2720</v>
      </c>
      <c r="DA38" s="348" t="s">
        <v>2720</v>
      </c>
      <c r="DB38" s="348">
        <v>5.2</v>
      </c>
      <c r="DC38" s="348" t="s">
        <v>2720</v>
      </c>
      <c r="DD38" s="348">
        <v>6.6</v>
      </c>
      <c r="DE38" s="348" t="s">
        <v>2720</v>
      </c>
      <c r="DF38" s="348">
        <v>6</v>
      </c>
      <c r="DG38" s="348">
        <v>6.9</v>
      </c>
      <c r="DH38" s="348" t="s">
        <v>2720</v>
      </c>
      <c r="DI38" s="348">
        <v>6</v>
      </c>
      <c r="DJ38" s="348" t="s">
        <v>2720</v>
      </c>
      <c r="DK38" s="348" t="s">
        <v>2720</v>
      </c>
      <c r="DL38" s="348" t="s">
        <v>2720</v>
      </c>
      <c r="DM38" s="348">
        <v>7.7</v>
      </c>
      <c r="DN38" s="348" t="s">
        <v>2720</v>
      </c>
      <c r="DO38" s="351">
        <v>5.86</v>
      </c>
      <c r="DP38" s="374">
        <v>4.7</v>
      </c>
      <c r="DQ38" s="353">
        <v>5.0999999999999996</v>
      </c>
      <c r="DR38" s="353">
        <v>5</v>
      </c>
      <c r="DS38" s="353">
        <v>5.8</v>
      </c>
      <c r="DT38" s="353">
        <v>6.4</v>
      </c>
      <c r="DU38" s="353">
        <v>5.2</v>
      </c>
      <c r="DV38" s="353">
        <v>5.8</v>
      </c>
      <c r="DW38" s="353" t="s">
        <v>2720</v>
      </c>
      <c r="DX38" s="353" t="s">
        <v>2720</v>
      </c>
      <c r="DY38" s="353">
        <v>4.5999999999999996</v>
      </c>
      <c r="DZ38" s="353">
        <v>5.2</v>
      </c>
      <c r="EA38" s="353">
        <v>5.7</v>
      </c>
      <c r="EB38" s="353">
        <v>6.6</v>
      </c>
      <c r="EC38" s="353" t="s">
        <v>2720</v>
      </c>
      <c r="ED38" s="353">
        <v>6</v>
      </c>
      <c r="EE38" s="353">
        <v>6.9</v>
      </c>
      <c r="EF38" s="353">
        <v>2.9</v>
      </c>
      <c r="EG38" s="353">
        <v>6</v>
      </c>
      <c r="EH38" s="353" t="s">
        <v>2720</v>
      </c>
      <c r="EI38" s="353" t="s">
        <v>2720</v>
      </c>
      <c r="EJ38" s="353" t="s">
        <v>2720</v>
      </c>
      <c r="EK38" s="353">
        <v>7.7</v>
      </c>
      <c r="EL38" s="353" t="s">
        <v>2720</v>
      </c>
      <c r="EM38" s="354">
        <v>5.54</v>
      </c>
      <c r="EN38" s="353" t="s">
        <v>2720</v>
      </c>
      <c r="EO38" s="353">
        <v>5.0999999999999996</v>
      </c>
      <c r="EP38" s="353">
        <v>5</v>
      </c>
      <c r="EQ38" s="353">
        <v>5.8</v>
      </c>
      <c r="ER38" s="353">
        <v>6.4</v>
      </c>
      <c r="ES38" s="353">
        <v>5.2</v>
      </c>
      <c r="ET38" s="353">
        <v>5.8</v>
      </c>
      <c r="EU38" s="353" t="s">
        <v>2720</v>
      </c>
      <c r="EV38" s="353" t="s">
        <v>2720</v>
      </c>
      <c r="EW38" s="353" t="s">
        <v>2720</v>
      </c>
      <c r="EX38" s="353">
        <v>5.2</v>
      </c>
      <c r="EY38" s="353">
        <v>5.7</v>
      </c>
      <c r="EZ38" s="353">
        <v>6.6</v>
      </c>
      <c r="FA38" s="353" t="s">
        <v>2720</v>
      </c>
      <c r="FB38" s="353">
        <v>6</v>
      </c>
      <c r="FC38" s="353">
        <v>6.9</v>
      </c>
      <c r="FD38" s="353" t="s">
        <v>2720</v>
      </c>
      <c r="FE38" s="353">
        <v>6</v>
      </c>
      <c r="FF38" s="353" t="s">
        <v>2720</v>
      </c>
      <c r="FG38" s="353" t="s">
        <v>2720</v>
      </c>
      <c r="FH38" s="353" t="s">
        <v>2720</v>
      </c>
      <c r="FI38" s="353">
        <v>7.7</v>
      </c>
      <c r="FJ38" s="353" t="s">
        <v>2720</v>
      </c>
      <c r="FK38" s="355">
        <v>5.85</v>
      </c>
      <c r="FM38" s="357"/>
    </row>
    <row r="39" spans="1:169" s="356" customFormat="1" ht="27.95" customHeight="1">
      <c r="A39" s="358">
        <v>29</v>
      </c>
      <c r="B39" s="359" t="s">
        <v>2096</v>
      </c>
      <c r="C39" s="360" t="s">
        <v>2097</v>
      </c>
      <c r="D39" s="361" t="s">
        <v>1468</v>
      </c>
      <c r="E39" s="362"/>
      <c r="F39" s="363">
        <v>0</v>
      </c>
      <c r="G39" s="364">
        <v>44</v>
      </c>
      <c r="H39" s="365">
        <v>5.2</v>
      </c>
      <c r="I39" s="366" t="s">
        <v>2720</v>
      </c>
      <c r="J39" s="365">
        <v>5.4</v>
      </c>
      <c r="K39" s="366" t="s">
        <v>2720</v>
      </c>
      <c r="L39" s="365">
        <v>4.8</v>
      </c>
      <c r="M39" s="366">
        <v>6.3</v>
      </c>
      <c r="N39" s="365">
        <v>7</v>
      </c>
      <c r="O39" s="366" t="s">
        <v>2720</v>
      </c>
      <c r="P39" s="365">
        <v>6.7</v>
      </c>
      <c r="Q39" s="366" t="s">
        <v>2720</v>
      </c>
      <c r="R39" s="365">
        <v>4.2</v>
      </c>
      <c r="S39" s="366">
        <v>4.3</v>
      </c>
      <c r="T39" s="365">
        <v>5</v>
      </c>
      <c r="U39" s="366" t="s">
        <v>2720</v>
      </c>
      <c r="V39" s="365" t="s">
        <v>2720</v>
      </c>
      <c r="W39" s="366" t="s">
        <v>2720</v>
      </c>
      <c r="X39" s="367" t="s">
        <v>2720</v>
      </c>
      <c r="Y39" s="368"/>
      <c r="Z39" s="331">
        <v>3.1</v>
      </c>
      <c r="AA39" s="332">
        <v>4.8</v>
      </c>
      <c r="AB39" s="331">
        <v>5.3</v>
      </c>
      <c r="AC39" s="332" t="s">
        <v>2720</v>
      </c>
      <c r="AD39" s="331">
        <v>6.2</v>
      </c>
      <c r="AE39" s="332" t="s">
        <v>2720</v>
      </c>
      <c r="AF39" s="331">
        <v>7.8</v>
      </c>
      <c r="AG39" s="332" t="s">
        <v>2720</v>
      </c>
      <c r="AH39" s="331" t="s">
        <v>2720</v>
      </c>
      <c r="AI39" s="332" t="s">
        <v>2720</v>
      </c>
      <c r="AJ39" s="331">
        <v>6.8</v>
      </c>
      <c r="AK39" s="332" t="s">
        <v>2720</v>
      </c>
      <c r="AL39" s="331">
        <v>6.8</v>
      </c>
      <c r="AM39" s="333" t="s">
        <v>2720</v>
      </c>
      <c r="AN39" s="331">
        <v>4.5</v>
      </c>
      <c r="AO39" s="332">
        <v>5.5</v>
      </c>
      <c r="AP39" s="331">
        <v>7.1</v>
      </c>
      <c r="AQ39" s="333" t="s">
        <v>2720</v>
      </c>
      <c r="AR39" s="331" t="s">
        <v>2720</v>
      </c>
      <c r="AS39" s="333" t="s">
        <v>2720</v>
      </c>
      <c r="AT39" s="331" t="s">
        <v>2720</v>
      </c>
      <c r="AU39" s="333" t="s">
        <v>2720</v>
      </c>
      <c r="AV39" s="331" t="s">
        <v>2720</v>
      </c>
      <c r="AW39" s="333" t="s">
        <v>2720</v>
      </c>
      <c r="AX39" s="331">
        <v>6.4</v>
      </c>
      <c r="AY39" s="368"/>
      <c r="AZ39" s="331" t="s">
        <v>2720</v>
      </c>
      <c r="BA39" s="368"/>
      <c r="BB39" s="334">
        <v>5.64</v>
      </c>
      <c r="BC39" s="335">
        <v>5.86</v>
      </c>
      <c r="BD39" s="336">
        <v>67.5</v>
      </c>
      <c r="BE39" s="369" t="s">
        <v>2760</v>
      </c>
      <c r="BF39" s="336" t="s">
        <v>2760</v>
      </c>
      <c r="BG39" s="370"/>
      <c r="BH39" s="339" t="s">
        <v>2720</v>
      </c>
      <c r="BI39" s="340">
        <v>39</v>
      </c>
      <c r="BJ39" s="341">
        <v>28</v>
      </c>
      <c r="BK39" s="341">
        <v>11</v>
      </c>
      <c r="BL39" s="341">
        <v>32</v>
      </c>
      <c r="BM39" s="342">
        <v>7</v>
      </c>
      <c r="BN39" s="371">
        <v>6.21</v>
      </c>
      <c r="BO39" s="372" t="s">
        <v>2758</v>
      </c>
      <c r="BP39" s="371">
        <v>6.18</v>
      </c>
      <c r="BQ39" s="372" t="s">
        <v>2758</v>
      </c>
      <c r="BR39" s="345" t="s">
        <v>2761</v>
      </c>
      <c r="BS39" s="373"/>
      <c r="BT39" s="347">
        <v>5.2</v>
      </c>
      <c r="BU39" s="348">
        <v>5.4</v>
      </c>
      <c r="BV39" s="348">
        <v>4.8</v>
      </c>
      <c r="BW39" s="348">
        <v>7</v>
      </c>
      <c r="BX39" s="349">
        <v>6.7</v>
      </c>
      <c r="BY39" s="349">
        <v>4.2</v>
      </c>
      <c r="BZ39" s="348">
        <v>5</v>
      </c>
      <c r="CA39" s="348" t="s">
        <v>2720</v>
      </c>
      <c r="CB39" s="348" t="s">
        <v>2720</v>
      </c>
      <c r="CC39" s="348">
        <v>3.1</v>
      </c>
      <c r="CD39" s="348">
        <v>5.3</v>
      </c>
      <c r="CE39" s="348">
        <v>6.2</v>
      </c>
      <c r="CF39" s="348">
        <v>7.8</v>
      </c>
      <c r="CG39" s="348" t="s">
        <v>2720</v>
      </c>
      <c r="CH39" s="348">
        <v>6.8</v>
      </c>
      <c r="CI39" s="348">
        <v>6.8</v>
      </c>
      <c r="CJ39" s="348">
        <v>4.5</v>
      </c>
      <c r="CK39" s="348">
        <v>7.1</v>
      </c>
      <c r="CL39" s="348" t="s">
        <v>2720</v>
      </c>
      <c r="CM39" s="349" t="s">
        <v>2720</v>
      </c>
      <c r="CN39" s="348" t="s">
        <v>2720</v>
      </c>
      <c r="CO39" s="348">
        <v>6.4</v>
      </c>
      <c r="CP39" s="348" t="s">
        <v>2720</v>
      </c>
      <c r="CQ39" s="350">
        <v>5.64</v>
      </c>
      <c r="CR39" s="348">
        <v>5.2</v>
      </c>
      <c r="CS39" s="348">
        <v>5.4</v>
      </c>
      <c r="CT39" s="348" t="s">
        <v>2720</v>
      </c>
      <c r="CU39" s="348">
        <v>7</v>
      </c>
      <c r="CV39" s="348">
        <v>6.7</v>
      </c>
      <c r="CW39" s="348" t="s">
        <v>2720</v>
      </c>
      <c r="CX39" s="348">
        <v>5</v>
      </c>
      <c r="CY39" s="348" t="s">
        <v>2720</v>
      </c>
      <c r="CZ39" s="348" t="s">
        <v>2720</v>
      </c>
      <c r="DA39" s="348" t="s">
        <v>2720</v>
      </c>
      <c r="DB39" s="348">
        <v>5.3</v>
      </c>
      <c r="DC39" s="348">
        <v>6.2</v>
      </c>
      <c r="DD39" s="348">
        <v>7.8</v>
      </c>
      <c r="DE39" s="348" t="s">
        <v>2720</v>
      </c>
      <c r="DF39" s="348">
        <v>6.8</v>
      </c>
      <c r="DG39" s="348">
        <v>6.8</v>
      </c>
      <c r="DH39" s="348" t="s">
        <v>2720</v>
      </c>
      <c r="DI39" s="348">
        <v>7.1</v>
      </c>
      <c r="DJ39" s="348" t="s">
        <v>2720</v>
      </c>
      <c r="DK39" s="348" t="s">
        <v>2720</v>
      </c>
      <c r="DL39" s="348" t="s">
        <v>2720</v>
      </c>
      <c r="DM39" s="348">
        <v>6.4</v>
      </c>
      <c r="DN39" s="348" t="s">
        <v>2720</v>
      </c>
      <c r="DO39" s="351">
        <v>6.21</v>
      </c>
      <c r="DP39" s="374">
        <v>5.2</v>
      </c>
      <c r="DQ39" s="353">
        <v>5.4</v>
      </c>
      <c r="DR39" s="353">
        <v>6.3</v>
      </c>
      <c r="DS39" s="353">
        <v>7</v>
      </c>
      <c r="DT39" s="353">
        <v>6.7</v>
      </c>
      <c r="DU39" s="353">
        <v>4.3</v>
      </c>
      <c r="DV39" s="353">
        <v>5</v>
      </c>
      <c r="DW39" s="353" t="s">
        <v>2720</v>
      </c>
      <c r="DX39" s="353" t="s">
        <v>2720</v>
      </c>
      <c r="DY39" s="353">
        <v>4.8</v>
      </c>
      <c r="DZ39" s="353">
        <v>5.3</v>
      </c>
      <c r="EA39" s="353">
        <v>6.2</v>
      </c>
      <c r="EB39" s="353">
        <v>7.8</v>
      </c>
      <c r="EC39" s="353" t="s">
        <v>2720</v>
      </c>
      <c r="ED39" s="353">
        <v>6.8</v>
      </c>
      <c r="EE39" s="353">
        <v>6.8</v>
      </c>
      <c r="EF39" s="353">
        <v>5.5</v>
      </c>
      <c r="EG39" s="353">
        <v>7.1</v>
      </c>
      <c r="EH39" s="353" t="s">
        <v>2720</v>
      </c>
      <c r="EI39" s="353" t="s">
        <v>2720</v>
      </c>
      <c r="EJ39" s="353" t="s">
        <v>2720</v>
      </c>
      <c r="EK39" s="353">
        <v>6.4</v>
      </c>
      <c r="EL39" s="353" t="s">
        <v>2720</v>
      </c>
      <c r="EM39" s="354">
        <v>5.86</v>
      </c>
      <c r="EN39" s="353">
        <v>5.2</v>
      </c>
      <c r="EO39" s="353">
        <v>5.4</v>
      </c>
      <c r="EP39" s="353">
        <v>6.3</v>
      </c>
      <c r="EQ39" s="353">
        <v>7</v>
      </c>
      <c r="ER39" s="353">
        <v>6.7</v>
      </c>
      <c r="ES39" s="353" t="s">
        <v>2720</v>
      </c>
      <c r="ET39" s="353">
        <v>5</v>
      </c>
      <c r="EU39" s="353" t="s">
        <v>2720</v>
      </c>
      <c r="EV39" s="353" t="s">
        <v>2720</v>
      </c>
      <c r="EW39" s="353" t="s">
        <v>2720</v>
      </c>
      <c r="EX39" s="353">
        <v>5.3</v>
      </c>
      <c r="EY39" s="353">
        <v>6.2</v>
      </c>
      <c r="EZ39" s="353">
        <v>7.8</v>
      </c>
      <c r="FA39" s="353" t="s">
        <v>2720</v>
      </c>
      <c r="FB39" s="353">
        <v>6.8</v>
      </c>
      <c r="FC39" s="353">
        <v>6.8</v>
      </c>
      <c r="FD39" s="353">
        <v>5.5</v>
      </c>
      <c r="FE39" s="353">
        <v>7.1</v>
      </c>
      <c r="FF39" s="353" t="s">
        <v>2720</v>
      </c>
      <c r="FG39" s="353" t="s">
        <v>2720</v>
      </c>
      <c r="FH39" s="353" t="s">
        <v>2720</v>
      </c>
      <c r="FI39" s="353">
        <v>6.4</v>
      </c>
      <c r="FJ39" s="353" t="s">
        <v>2720</v>
      </c>
      <c r="FK39" s="355">
        <v>6.18</v>
      </c>
      <c r="FM39" s="357"/>
    </row>
    <row r="40" spans="1:169" s="356" customFormat="1" ht="27.95" customHeight="1">
      <c r="A40" s="358">
        <v>30</v>
      </c>
      <c r="B40" s="359" t="s">
        <v>2100</v>
      </c>
      <c r="C40" s="360" t="s">
        <v>2101</v>
      </c>
      <c r="D40" s="361" t="s">
        <v>1677</v>
      </c>
      <c r="E40" s="362"/>
      <c r="F40" s="363">
        <v>0</v>
      </c>
      <c r="G40" s="364">
        <v>8</v>
      </c>
      <c r="H40" s="365">
        <v>5.2</v>
      </c>
      <c r="I40" s="366" t="s">
        <v>2720</v>
      </c>
      <c r="J40" s="365">
        <v>4.4000000000000004</v>
      </c>
      <c r="K40" s="366">
        <v>6.5</v>
      </c>
      <c r="L40" s="365">
        <v>5.6</v>
      </c>
      <c r="M40" s="366" t="s">
        <v>2720</v>
      </c>
      <c r="N40" s="365">
        <v>6</v>
      </c>
      <c r="O40" s="366" t="s">
        <v>2720</v>
      </c>
      <c r="P40" s="365">
        <v>5.4</v>
      </c>
      <c r="Q40" s="366" t="s">
        <v>2720</v>
      </c>
      <c r="R40" s="365">
        <v>5</v>
      </c>
      <c r="S40" s="366" t="s">
        <v>2720</v>
      </c>
      <c r="T40" s="365">
        <v>6.2</v>
      </c>
      <c r="U40" s="366" t="s">
        <v>2720</v>
      </c>
      <c r="V40" s="365" t="s">
        <v>2720</v>
      </c>
      <c r="W40" s="366" t="s">
        <v>2720</v>
      </c>
      <c r="X40" s="367" t="s">
        <v>2720</v>
      </c>
      <c r="Y40" s="368"/>
      <c r="Z40" s="331">
        <v>4.7</v>
      </c>
      <c r="AA40" s="332">
        <v>6.1</v>
      </c>
      <c r="AB40" s="331">
        <v>5</v>
      </c>
      <c r="AC40" s="332" t="s">
        <v>2720</v>
      </c>
      <c r="AD40" s="331" t="s">
        <v>2720</v>
      </c>
      <c r="AE40" s="332" t="s">
        <v>2720</v>
      </c>
      <c r="AF40" s="331">
        <v>7.3</v>
      </c>
      <c r="AG40" s="332" t="s">
        <v>2720</v>
      </c>
      <c r="AH40" s="331">
        <v>5.6</v>
      </c>
      <c r="AI40" s="332" t="s">
        <v>2720</v>
      </c>
      <c r="AJ40" s="331">
        <v>5.4</v>
      </c>
      <c r="AK40" s="332" t="s">
        <v>2720</v>
      </c>
      <c r="AL40" s="331">
        <v>7.1</v>
      </c>
      <c r="AM40" s="333" t="s">
        <v>2720</v>
      </c>
      <c r="AN40" s="331">
        <v>4.5</v>
      </c>
      <c r="AO40" s="332">
        <v>5.6</v>
      </c>
      <c r="AP40" s="331">
        <v>6.7</v>
      </c>
      <c r="AQ40" s="333" t="s">
        <v>2720</v>
      </c>
      <c r="AR40" s="331" t="s">
        <v>2720</v>
      </c>
      <c r="AS40" s="333" t="s">
        <v>2720</v>
      </c>
      <c r="AT40" s="331" t="s">
        <v>2720</v>
      </c>
      <c r="AU40" s="333" t="s">
        <v>2720</v>
      </c>
      <c r="AV40" s="331" t="s">
        <v>2720</v>
      </c>
      <c r="AW40" s="333" t="s">
        <v>2720</v>
      </c>
      <c r="AX40" s="331">
        <v>6.3</v>
      </c>
      <c r="AY40" s="368"/>
      <c r="AZ40" s="331" t="s">
        <v>2720</v>
      </c>
      <c r="BA40" s="368"/>
      <c r="BB40" s="334">
        <v>5.53</v>
      </c>
      <c r="BC40" s="335">
        <v>5.82</v>
      </c>
      <c r="BD40" s="336">
        <v>61.5</v>
      </c>
      <c r="BE40" s="369" t="s">
        <v>2760</v>
      </c>
      <c r="BF40" s="336" t="s">
        <v>2760</v>
      </c>
      <c r="BG40" s="370"/>
      <c r="BH40" s="339" t="s">
        <v>2720</v>
      </c>
      <c r="BI40" s="340">
        <v>39</v>
      </c>
      <c r="BJ40" s="341">
        <v>32</v>
      </c>
      <c r="BK40" s="341">
        <v>7</v>
      </c>
      <c r="BL40" s="341">
        <v>39</v>
      </c>
      <c r="BM40" s="342">
        <v>0</v>
      </c>
      <c r="BN40" s="371">
        <v>5.76</v>
      </c>
      <c r="BO40" s="372" t="s">
        <v>2758</v>
      </c>
      <c r="BP40" s="371">
        <v>5.82</v>
      </c>
      <c r="BQ40" s="372" t="s">
        <v>2758</v>
      </c>
      <c r="BR40" s="345" t="s">
        <v>2759</v>
      </c>
      <c r="BS40" s="373"/>
      <c r="BT40" s="347">
        <v>5.2</v>
      </c>
      <c r="BU40" s="348">
        <v>4.4000000000000004</v>
      </c>
      <c r="BV40" s="348">
        <v>5.6</v>
      </c>
      <c r="BW40" s="348">
        <v>6</v>
      </c>
      <c r="BX40" s="349">
        <v>5.4</v>
      </c>
      <c r="BY40" s="349">
        <v>5</v>
      </c>
      <c r="BZ40" s="348">
        <v>6.2</v>
      </c>
      <c r="CA40" s="348" t="s">
        <v>2720</v>
      </c>
      <c r="CB40" s="348" t="s">
        <v>2720</v>
      </c>
      <c r="CC40" s="348">
        <v>4.7</v>
      </c>
      <c r="CD40" s="348">
        <v>5</v>
      </c>
      <c r="CE40" s="348" t="s">
        <v>2720</v>
      </c>
      <c r="CF40" s="348">
        <v>7.3</v>
      </c>
      <c r="CG40" s="348">
        <v>5.6</v>
      </c>
      <c r="CH40" s="348">
        <v>5.4</v>
      </c>
      <c r="CI40" s="348">
        <v>7.1</v>
      </c>
      <c r="CJ40" s="348">
        <v>4.5</v>
      </c>
      <c r="CK40" s="348">
        <v>6.7</v>
      </c>
      <c r="CL40" s="348" t="s">
        <v>2720</v>
      </c>
      <c r="CM40" s="349" t="s">
        <v>2720</v>
      </c>
      <c r="CN40" s="348" t="s">
        <v>2720</v>
      </c>
      <c r="CO40" s="348">
        <v>6.3</v>
      </c>
      <c r="CP40" s="348" t="s">
        <v>2720</v>
      </c>
      <c r="CQ40" s="350">
        <v>5.53</v>
      </c>
      <c r="CR40" s="348">
        <v>5.2</v>
      </c>
      <c r="CS40" s="348" t="s">
        <v>2720</v>
      </c>
      <c r="CT40" s="348">
        <v>5.6</v>
      </c>
      <c r="CU40" s="348">
        <v>6</v>
      </c>
      <c r="CV40" s="348">
        <v>5.4</v>
      </c>
      <c r="CW40" s="348">
        <v>5</v>
      </c>
      <c r="CX40" s="348">
        <v>6.2</v>
      </c>
      <c r="CY40" s="348" t="s">
        <v>2720</v>
      </c>
      <c r="CZ40" s="348" t="s">
        <v>2720</v>
      </c>
      <c r="DA40" s="348" t="s">
        <v>2720</v>
      </c>
      <c r="DB40" s="348">
        <v>5</v>
      </c>
      <c r="DC40" s="348" t="s">
        <v>2720</v>
      </c>
      <c r="DD40" s="348">
        <v>7.3</v>
      </c>
      <c r="DE40" s="348">
        <v>5.6</v>
      </c>
      <c r="DF40" s="348">
        <v>5.4</v>
      </c>
      <c r="DG40" s="348">
        <v>7.1</v>
      </c>
      <c r="DH40" s="348" t="s">
        <v>2720</v>
      </c>
      <c r="DI40" s="348">
        <v>6.7</v>
      </c>
      <c r="DJ40" s="348" t="s">
        <v>2720</v>
      </c>
      <c r="DK40" s="348" t="s">
        <v>2720</v>
      </c>
      <c r="DL40" s="348" t="s">
        <v>2720</v>
      </c>
      <c r="DM40" s="348">
        <v>6.3</v>
      </c>
      <c r="DN40" s="348" t="s">
        <v>2720</v>
      </c>
      <c r="DO40" s="351">
        <v>5.76</v>
      </c>
      <c r="DP40" s="374">
        <v>5.2</v>
      </c>
      <c r="DQ40" s="353">
        <v>6.5</v>
      </c>
      <c r="DR40" s="353">
        <v>5.6</v>
      </c>
      <c r="DS40" s="353">
        <v>6</v>
      </c>
      <c r="DT40" s="353">
        <v>5.4</v>
      </c>
      <c r="DU40" s="353">
        <v>5</v>
      </c>
      <c r="DV40" s="353">
        <v>6.2</v>
      </c>
      <c r="DW40" s="353" t="s">
        <v>2720</v>
      </c>
      <c r="DX40" s="353" t="s">
        <v>2720</v>
      </c>
      <c r="DY40" s="353">
        <v>6.1</v>
      </c>
      <c r="DZ40" s="353">
        <v>5</v>
      </c>
      <c r="EA40" s="353" t="s">
        <v>2720</v>
      </c>
      <c r="EB40" s="353">
        <v>7.3</v>
      </c>
      <c r="EC40" s="353">
        <v>5.6</v>
      </c>
      <c r="ED40" s="353">
        <v>5.4</v>
      </c>
      <c r="EE40" s="353">
        <v>7.1</v>
      </c>
      <c r="EF40" s="353">
        <v>5.6</v>
      </c>
      <c r="EG40" s="353">
        <v>6.7</v>
      </c>
      <c r="EH40" s="353" t="s">
        <v>2720</v>
      </c>
      <c r="EI40" s="353" t="s">
        <v>2720</v>
      </c>
      <c r="EJ40" s="353" t="s">
        <v>2720</v>
      </c>
      <c r="EK40" s="353">
        <v>6.3</v>
      </c>
      <c r="EL40" s="353" t="s">
        <v>2720</v>
      </c>
      <c r="EM40" s="354">
        <v>5.82</v>
      </c>
      <c r="EN40" s="353">
        <v>5.2</v>
      </c>
      <c r="EO40" s="353">
        <v>6.5</v>
      </c>
      <c r="EP40" s="353">
        <v>5.6</v>
      </c>
      <c r="EQ40" s="353">
        <v>6</v>
      </c>
      <c r="ER40" s="353">
        <v>5.4</v>
      </c>
      <c r="ES40" s="353">
        <v>5</v>
      </c>
      <c r="ET40" s="353">
        <v>6.2</v>
      </c>
      <c r="EU40" s="353" t="s">
        <v>2720</v>
      </c>
      <c r="EV40" s="353" t="s">
        <v>2720</v>
      </c>
      <c r="EW40" s="353">
        <v>6.1</v>
      </c>
      <c r="EX40" s="353">
        <v>5</v>
      </c>
      <c r="EY40" s="353" t="s">
        <v>2720</v>
      </c>
      <c r="EZ40" s="353">
        <v>7.3</v>
      </c>
      <c r="FA40" s="353">
        <v>5.6</v>
      </c>
      <c r="FB40" s="353">
        <v>5.4</v>
      </c>
      <c r="FC40" s="353">
        <v>7.1</v>
      </c>
      <c r="FD40" s="353">
        <v>5.6</v>
      </c>
      <c r="FE40" s="353">
        <v>6.7</v>
      </c>
      <c r="FF40" s="353" t="s">
        <v>2720</v>
      </c>
      <c r="FG40" s="353" t="s">
        <v>2720</v>
      </c>
      <c r="FH40" s="353" t="s">
        <v>2720</v>
      </c>
      <c r="FI40" s="353">
        <v>6.3</v>
      </c>
      <c r="FJ40" s="353" t="s">
        <v>2720</v>
      </c>
      <c r="FK40" s="355">
        <v>5.82</v>
      </c>
      <c r="FM40" s="357"/>
    </row>
    <row r="41" spans="1:169" s="356" customFormat="1" ht="27.95" customHeight="1">
      <c r="A41" s="358">
        <v>31</v>
      </c>
      <c r="B41" s="359" t="s">
        <v>2102</v>
      </c>
      <c r="C41" s="360" t="s">
        <v>2103</v>
      </c>
      <c r="D41" s="361" t="s">
        <v>1681</v>
      </c>
      <c r="E41" s="362"/>
      <c r="F41" s="363">
        <v>0</v>
      </c>
      <c r="G41" s="364">
        <v>0</v>
      </c>
      <c r="H41" s="365">
        <v>5.3</v>
      </c>
      <c r="I41" s="366" t="s">
        <v>2720</v>
      </c>
      <c r="J41" s="365">
        <v>7</v>
      </c>
      <c r="K41" s="366" t="s">
        <v>2720</v>
      </c>
      <c r="L41" s="365">
        <v>5</v>
      </c>
      <c r="M41" s="366" t="s">
        <v>2720</v>
      </c>
      <c r="N41" s="365">
        <v>5.6</v>
      </c>
      <c r="O41" s="366" t="s">
        <v>2720</v>
      </c>
      <c r="P41" s="365">
        <v>5.6</v>
      </c>
      <c r="Q41" s="366" t="s">
        <v>2720</v>
      </c>
      <c r="R41" s="365">
        <v>6</v>
      </c>
      <c r="S41" s="366" t="s">
        <v>2720</v>
      </c>
      <c r="T41" s="365">
        <v>6.6</v>
      </c>
      <c r="U41" s="366" t="s">
        <v>2720</v>
      </c>
      <c r="V41" s="365" t="s">
        <v>2720</v>
      </c>
      <c r="W41" s="366" t="s">
        <v>2720</v>
      </c>
      <c r="X41" s="367" t="s">
        <v>2720</v>
      </c>
      <c r="Y41" s="368"/>
      <c r="Z41" s="331">
        <v>4.4000000000000004</v>
      </c>
      <c r="AA41" s="332">
        <v>5.7</v>
      </c>
      <c r="AB41" s="331">
        <v>4.7</v>
      </c>
      <c r="AC41" s="332">
        <v>4.7</v>
      </c>
      <c r="AD41" s="331" t="s">
        <v>2720</v>
      </c>
      <c r="AE41" s="332" t="s">
        <v>2720</v>
      </c>
      <c r="AF41" s="331">
        <v>6.5</v>
      </c>
      <c r="AG41" s="332" t="s">
        <v>2720</v>
      </c>
      <c r="AH41" s="331">
        <v>3.5</v>
      </c>
      <c r="AI41" s="332">
        <v>5.8</v>
      </c>
      <c r="AJ41" s="331">
        <v>6.5</v>
      </c>
      <c r="AK41" s="332" t="s">
        <v>2720</v>
      </c>
      <c r="AL41" s="331">
        <v>5.7</v>
      </c>
      <c r="AM41" s="333" t="s">
        <v>2720</v>
      </c>
      <c r="AN41" s="331">
        <v>5.0999999999999996</v>
      </c>
      <c r="AO41" s="332" t="s">
        <v>2720</v>
      </c>
      <c r="AP41" s="331">
        <v>4.9000000000000004</v>
      </c>
      <c r="AQ41" s="333">
        <v>5.9</v>
      </c>
      <c r="AR41" s="331" t="s">
        <v>2720</v>
      </c>
      <c r="AS41" s="333" t="s">
        <v>2720</v>
      </c>
      <c r="AT41" s="331" t="s">
        <v>2720</v>
      </c>
      <c r="AU41" s="333" t="s">
        <v>2720</v>
      </c>
      <c r="AV41" s="331" t="s">
        <v>2720</v>
      </c>
      <c r="AW41" s="333" t="s">
        <v>2720</v>
      </c>
      <c r="AX41" s="331">
        <v>5.6</v>
      </c>
      <c r="AY41" s="368"/>
      <c r="AZ41" s="331" t="s">
        <v>2720</v>
      </c>
      <c r="BA41" s="368"/>
      <c r="BB41" s="334">
        <v>5.55</v>
      </c>
      <c r="BC41" s="335">
        <v>5.79</v>
      </c>
      <c r="BD41" s="336">
        <v>58.5</v>
      </c>
      <c r="BE41" s="369" t="s">
        <v>2760</v>
      </c>
      <c r="BF41" s="336" t="s">
        <v>2760</v>
      </c>
      <c r="BG41" s="370"/>
      <c r="BH41" s="339" t="s">
        <v>2720</v>
      </c>
      <c r="BI41" s="340">
        <v>39</v>
      </c>
      <c r="BJ41" s="341">
        <v>30</v>
      </c>
      <c r="BK41" s="341">
        <v>9</v>
      </c>
      <c r="BL41" s="341">
        <v>36</v>
      </c>
      <c r="BM41" s="342">
        <v>3</v>
      </c>
      <c r="BN41" s="371">
        <v>5.9</v>
      </c>
      <c r="BO41" s="372" t="s">
        <v>2758</v>
      </c>
      <c r="BP41" s="371">
        <v>5.88</v>
      </c>
      <c r="BQ41" s="372" t="s">
        <v>2758</v>
      </c>
      <c r="BR41" s="345" t="s">
        <v>2759</v>
      </c>
      <c r="BS41" s="373"/>
      <c r="BT41" s="347">
        <v>5.3</v>
      </c>
      <c r="BU41" s="348">
        <v>7</v>
      </c>
      <c r="BV41" s="348">
        <v>5</v>
      </c>
      <c r="BW41" s="348">
        <v>5.6</v>
      </c>
      <c r="BX41" s="349">
        <v>5.6</v>
      </c>
      <c r="BY41" s="349">
        <v>6</v>
      </c>
      <c r="BZ41" s="348">
        <v>6.6</v>
      </c>
      <c r="CA41" s="348" t="s">
        <v>2720</v>
      </c>
      <c r="CB41" s="348" t="s">
        <v>2720</v>
      </c>
      <c r="CC41" s="348">
        <v>4.4000000000000004</v>
      </c>
      <c r="CD41" s="348">
        <v>4.7</v>
      </c>
      <c r="CE41" s="348" t="s">
        <v>2720</v>
      </c>
      <c r="CF41" s="348">
        <v>6.5</v>
      </c>
      <c r="CG41" s="348">
        <v>3.5</v>
      </c>
      <c r="CH41" s="348">
        <v>6.5</v>
      </c>
      <c r="CI41" s="348">
        <v>5.7</v>
      </c>
      <c r="CJ41" s="348">
        <v>5.0999999999999996</v>
      </c>
      <c r="CK41" s="348">
        <v>4.9000000000000004</v>
      </c>
      <c r="CL41" s="348" t="s">
        <v>2720</v>
      </c>
      <c r="CM41" s="349" t="s">
        <v>2720</v>
      </c>
      <c r="CN41" s="348" t="s">
        <v>2720</v>
      </c>
      <c r="CO41" s="348">
        <v>5.6</v>
      </c>
      <c r="CP41" s="348" t="s">
        <v>2720</v>
      </c>
      <c r="CQ41" s="350">
        <v>5.55</v>
      </c>
      <c r="CR41" s="348">
        <v>5.3</v>
      </c>
      <c r="CS41" s="348">
        <v>7</v>
      </c>
      <c r="CT41" s="348">
        <v>5</v>
      </c>
      <c r="CU41" s="348">
        <v>5.6</v>
      </c>
      <c r="CV41" s="348">
        <v>5.6</v>
      </c>
      <c r="CW41" s="348">
        <v>6</v>
      </c>
      <c r="CX41" s="348">
        <v>6.6</v>
      </c>
      <c r="CY41" s="348" t="s">
        <v>2720</v>
      </c>
      <c r="CZ41" s="348" t="s">
        <v>2720</v>
      </c>
      <c r="DA41" s="348" t="s">
        <v>2720</v>
      </c>
      <c r="DB41" s="348" t="s">
        <v>2720</v>
      </c>
      <c r="DC41" s="348" t="s">
        <v>2720</v>
      </c>
      <c r="DD41" s="348">
        <v>6.5</v>
      </c>
      <c r="DE41" s="348" t="s">
        <v>2720</v>
      </c>
      <c r="DF41" s="348">
        <v>6.5</v>
      </c>
      <c r="DG41" s="348">
        <v>5.7</v>
      </c>
      <c r="DH41" s="348">
        <v>5.0999999999999996</v>
      </c>
      <c r="DI41" s="348" t="s">
        <v>2720</v>
      </c>
      <c r="DJ41" s="348" t="s">
        <v>2720</v>
      </c>
      <c r="DK41" s="348" t="s">
        <v>2720</v>
      </c>
      <c r="DL41" s="348" t="s">
        <v>2720</v>
      </c>
      <c r="DM41" s="348">
        <v>5.6</v>
      </c>
      <c r="DN41" s="348" t="s">
        <v>2720</v>
      </c>
      <c r="DO41" s="351">
        <v>5.9</v>
      </c>
      <c r="DP41" s="374">
        <v>5.3</v>
      </c>
      <c r="DQ41" s="353">
        <v>7</v>
      </c>
      <c r="DR41" s="353">
        <v>5</v>
      </c>
      <c r="DS41" s="353">
        <v>5.6</v>
      </c>
      <c r="DT41" s="353">
        <v>5.6</v>
      </c>
      <c r="DU41" s="353">
        <v>6</v>
      </c>
      <c r="DV41" s="353">
        <v>6.6</v>
      </c>
      <c r="DW41" s="353" t="s">
        <v>2720</v>
      </c>
      <c r="DX41" s="353" t="s">
        <v>2720</v>
      </c>
      <c r="DY41" s="353">
        <v>5.7</v>
      </c>
      <c r="DZ41" s="353">
        <v>4.7</v>
      </c>
      <c r="EA41" s="353" t="s">
        <v>2720</v>
      </c>
      <c r="EB41" s="353">
        <v>6.5</v>
      </c>
      <c r="EC41" s="353">
        <v>5.8</v>
      </c>
      <c r="ED41" s="353">
        <v>6.5</v>
      </c>
      <c r="EE41" s="353">
        <v>5.7</v>
      </c>
      <c r="EF41" s="353">
        <v>5.0999999999999996</v>
      </c>
      <c r="EG41" s="353">
        <v>5.9</v>
      </c>
      <c r="EH41" s="353" t="s">
        <v>2720</v>
      </c>
      <c r="EI41" s="353" t="s">
        <v>2720</v>
      </c>
      <c r="EJ41" s="353" t="s">
        <v>2720</v>
      </c>
      <c r="EK41" s="353">
        <v>5.6</v>
      </c>
      <c r="EL41" s="353" t="s">
        <v>2720</v>
      </c>
      <c r="EM41" s="354">
        <v>5.79</v>
      </c>
      <c r="EN41" s="353">
        <v>5.3</v>
      </c>
      <c r="EO41" s="353">
        <v>7</v>
      </c>
      <c r="EP41" s="353">
        <v>5</v>
      </c>
      <c r="EQ41" s="353">
        <v>5.6</v>
      </c>
      <c r="ER41" s="353">
        <v>5.6</v>
      </c>
      <c r="ES41" s="353">
        <v>6</v>
      </c>
      <c r="ET41" s="353">
        <v>6.6</v>
      </c>
      <c r="EU41" s="353" t="s">
        <v>2720</v>
      </c>
      <c r="EV41" s="353" t="s">
        <v>2720</v>
      </c>
      <c r="EW41" s="353">
        <v>5.7</v>
      </c>
      <c r="EX41" s="353" t="s">
        <v>2720</v>
      </c>
      <c r="EY41" s="353" t="s">
        <v>2720</v>
      </c>
      <c r="EZ41" s="353">
        <v>6.5</v>
      </c>
      <c r="FA41" s="353">
        <v>5.8</v>
      </c>
      <c r="FB41" s="353">
        <v>6.5</v>
      </c>
      <c r="FC41" s="353">
        <v>5.7</v>
      </c>
      <c r="FD41" s="353">
        <v>5.0999999999999996</v>
      </c>
      <c r="FE41" s="353">
        <v>5.9</v>
      </c>
      <c r="FF41" s="353" t="s">
        <v>2720</v>
      </c>
      <c r="FG41" s="353" t="s">
        <v>2720</v>
      </c>
      <c r="FH41" s="353" t="s">
        <v>2720</v>
      </c>
      <c r="FI41" s="353">
        <v>5.6</v>
      </c>
      <c r="FJ41" s="353" t="s">
        <v>2720</v>
      </c>
      <c r="FK41" s="355">
        <v>5.88</v>
      </c>
      <c r="FM41" s="357"/>
    </row>
    <row r="42" spans="1:169" s="356" customFormat="1" ht="27.95" customHeight="1">
      <c r="A42" s="358">
        <v>32</v>
      </c>
      <c r="B42" s="359" t="s">
        <v>2105</v>
      </c>
      <c r="C42" s="360" t="s">
        <v>1453</v>
      </c>
      <c r="D42" s="361" t="s">
        <v>1990</v>
      </c>
      <c r="E42" s="362"/>
      <c r="F42" s="363">
        <v>0</v>
      </c>
      <c r="G42" s="364">
        <v>0</v>
      </c>
      <c r="H42" s="365">
        <v>8.6999999999999993</v>
      </c>
      <c r="I42" s="366" t="s">
        <v>2720</v>
      </c>
      <c r="J42" s="365">
        <v>7.9</v>
      </c>
      <c r="K42" s="366" t="s">
        <v>2720</v>
      </c>
      <c r="L42" s="365">
        <v>7</v>
      </c>
      <c r="M42" s="366" t="s">
        <v>2720</v>
      </c>
      <c r="N42" s="365">
        <v>7.3</v>
      </c>
      <c r="O42" s="366" t="s">
        <v>2720</v>
      </c>
      <c r="P42" s="365">
        <v>6.6</v>
      </c>
      <c r="Q42" s="366" t="s">
        <v>2720</v>
      </c>
      <c r="R42" s="365">
        <v>7.4</v>
      </c>
      <c r="S42" s="366" t="s">
        <v>2720</v>
      </c>
      <c r="T42" s="365">
        <v>9.1</v>
      </c>
      <c r="U42" s="366" t="s">
        <v>2720</v>
      </c>
      <c r="V42" s="365" t="s">
        <v>2720</v>
      </c>
      <c r="W42" s="366" t="s">
        <v>2720</v>
      </c>
      <c r="X42" s="367" t="s">
        <v>2720</v>
      </c>
      <c r="Y42" s="368"/>
      <c r="Z42" s="331">
        <v>7.8</v>
      </c>
      <c r="AA42" s="332" t="s">
        <v>2720</v>
      </c>
      <c r="AB42" s="331">
        <v>4.7</v>
      </c>
      <c r="AC42" s="332" t="s">
        <v>2720</v>
      </c>
      <c r="AD42" s="331" t="s">
        <v>2720</v>
      </c>
      <c r="AE42" s="332" t="s">
        <v>2720</v>
      </c>
      <c r="AF42" s="331">
        <v>8.6999999999999993</v>
      </c>
      <c r="AG42" s="332" t="s">
        <v>2720</v>
      </c>
      <c r="AH42" s="331">
        <v>8.1</v>
      </c>
      <c r="AI42" s="332" t="s">
        <v>2720</v>
      </c>
      <c r="AJ42" s="331">
        <v>8.1</v>
      </c>
      <c r="AK42" s="332" t="s">
        <v>2720</v>
      </c>
      <c r="AL42" s="331">
        <v>8.5</v>
      </c>
      <c r="AM42" s="333" t="s">
        <v>2720</v>
      </c>
      <c r="AN42" s="331">
        <v>8.6</v>
      </c>
      <c r="AO42" s="332" t="s">
        <v>2720</v>
      </c>
      <c r="AP42" s="331">
        <v>7.2</v>
      </c>
      <c r="AQ42" s="333" t="s">
        <v>2720</v>
      </c>
      <c r="AR42" s="331" t="s">
        <v>2720</v>
      </c>
      <c r="AS42" s="333" t="s">
        <v>2720</v>
      </c>
      <c r="AT42" s="331" t="s">
        <v>2720</v>
      </c>
      <c r="AU42" s="333" t="s">
        <v>2720</v>
      </c>
      <c r="AV42" s="331" t="s">
        <v>2720</v>
      </c>
      <c r="AW42" s="333" t="s">
        <v>2720</v>
      </c>
      <c r="AX42" s="331">
        <v>8.3000000000000007</v>
      </c>
      <c r="AY42" s="368"/>
      <c r="AZ42" s="331" t="s">
        <v>2720</v>
      </c>
      <c r="BA42" s="368"/>
      <c r="BB42" s="334">
        <v>7.64</v>
      </c>
      <c r="BC42" s="335">
        <v>7.64</v>
      </c>
      <c r="BD42" s="336">
        <v>80.5</v>
      </c>
      <c r="BE42" s="369" t="s">
        <v>2757</v>
      </c>
      <c r="BF42" s="336" t="s">
        <v>2757</v>
      </c>
      <c r="BG42" s="370"/>
      <c r="BH42" s="339" t="s">
        <v>2720</v>
      </c>
      <c r="BI42" s="340">
        <v>39</v>
      </c>
      <c r="BJ42" s="341">
        <v>36</v>
      </c>
      <c r="BK42" s="341">
        <v>3</v>
      </c>
      <c r="BL42" s="341">
        <v>36</v>
      </c>
      <c r="BM42" s="342">
        <v>3</v>
      </c>
      <c r="BN42" s="371">
        <v>7.89</v>
      </c>
      <c r="BO42" s="372" t="s">
        <v>2758</v>
      </c>
      <c r="BP42" s="371">
        <v>7.89</v>
      </c>
      <c r="BQ42" s="372" t="s">
        <v>2758</v>
      </c>
      <c r="BR42" s="345" t="s">
        <v>2759</v>
      </c>
      <c r="BS42" s="373"/>
      <c r="BT42" s="347">
        <v>8.6999999999999993</v>
      </c>
      <c r="BU42" s="348">
        <v>7.9</v>
      </c>
      <c r="BV42" s="348">
        <v>7</v>
      </c>
      <c r="BW42" s="348">
        <v>7.3</v>
      </c>
      <c r="BX42" s="349">
        <v>6.6</v>
      </c>
      <c r="BY42" s="349">
        <v>7.4</v>
      </c>
      <c r="BZ42" s="348">
        <v>9.1</v>
      </c>
      <c r="CA42" s="348" t="s">
        <v>2720</v>
      </c>
      <c r="CB42" s="348" t="s">
        <v>2720</v>
      </c>
      <c r="CC42" s="348">
        <v>7.8</v>
      </c>
      <c r="CD42" s="348">
        <v>4.7</v>
      </c>
      <c r="CE42" s="348" t="s">
        <v>2720</v>
      </c>
      <c r="CF42" s="348">
        <v>8.6999999999999993</v>
      </c>
      <c r="CG42" s="348">
        <v>8.1</v>
      </c>
      <c r="CH42" s="348">
        <v>8.1</v>
      </c>
      <c r="CI42" s="348">
        <v>8.5</v>
      </c>
      <c r="CJ42" s="348">
        <v>8.6</v>
      </c>
      <c r="CK42" s="348">
        <v>7.2</v>
      </c>
      <c r="CL42" s="348" t="s">
        <v>2720</v>
      </c>
      <c r="CM42" s="349" t="s">
        <v>2720</v>
      </c>
      <c r="CN42" s="348" t="s">
        <v>2720</v>
      </c>
      <c r="CO42" s="348">
        <v>8.3000000000000007</v>
      </c>
      <c r="CP42" s="348" t="s">
        <v>2720</v>
      </c>
      <c r="CQ42" s="350">
        <v>7.64</v>
      </c>
      <c r="CR42" s="348">
        <v>8.6999999999999993</v>
      </c>
      <c r="CS42" s="348">
        <v>7.9</v>
      </c>
      <c r="CT42" s="348">
        <v>7</v>
      </c>
      <c r="CU42" s="348">
        <v>7.3</v>
      </c>
      <c r="CV42" s="348">
        <v>6.6</v>
      </c>
      <c r="CW42" s="348">
        <v>7.4</v>
      </c>
      <c r="CX42" s="348">
        <v>9.1</v>
      </c>
      <c r="CY42" s="348" t="s">
        <v>2720</v>
      </c>
      <c r="CZ42" s="348" t="s">
        <v>2720</v>
      </c>
      <c r="DA42" s="348">
        <v>7.8</v>
      </c>
      <c r="DB42" s="348" t="s">
        <v>2720</v>
      </c>
      <c r="DC42" s="348" t="s">
        <v>2720</v>
      </c>
      <c r="DD42" s="348">
        <v>8.6999999999999993</v>
      </c>
      <c r="DE42" s="348">
        <v>8.1</v>
      </c>
      <c r="DF42" s="348">
        <v>8.1</v>
      </c>
      <c r="DG42" s="348">
        <v>8.5</v>
      </c>
      <c r="DH42" s="348">
        <v>8.6</v>
      </c>
      <c r="DI42" s="348">
        <v>7.2</v>
      </c>
      <c r="DJ42" s="348" t="s">
        <v>2720</v>
      </c>
      <c r="DK42" s="348" t="s">
        <v>2720</v>
      </c>
      <c r="DL42" s="348" t="s">
        <v>2720</v>
      </c>
      <c r="DM42" s="348">
        <v>8.3000000000000007</v>
      </c>
      <c r="DN42" s="348" t="s">
        <v>2720</v>
      </c>
      <c r="DO42" s="351">
        <v>7.89</v>
      </c>
      <c r="DP42" s="374">
        <v>8.6999999999999993</v>
      </c>
      <c r="DQ42" s="353">
        <v>7.9</v>
      </c>
      <c r="DR42" s="353">
        <v>7</v>
      </c>
      <c r="DS42" s="353">
        <v>7.3</v>
      </c>
      <c r="DT42" s="353">
        <v>6.6</v>
      </c>
      <c r="DU42" s="353">
        <v>7.4</v>
      </c>
      <c r="DV42" s="353">
        <v>9.1</v>
      </c>
      <c r="DW42" s="353" t="s">
        <v>2720</v>
      </c>
      <c r="DX42" s="353" t="s">
        <v>2720</v>
      </c>
      <c r="DY42" s="353">
        <v>7.8</v>
      </c>
      <c r="DZ42" s="353">
        <v>4.7</v>
      </c>
      <c r="EA42" s="353" t="s">
        <v>2720</v>
      </c>
      <c r="EB42" s="353">
        <v>8.6999999999999993</v>
      </c>
      <c r="EC42" s="353">
        <v>8.1</v>
      </c>
      <c r="ED42" s="353">
        <v>8.1</v>
      </c>
      <c r="EE42" s="353">
        <v>8.5</v>
      </c>
      <c r="EF42" s="353">
        <v>8.6</v>
      </c>
      <c r="EG42" s="353">
        <v>7.2</v>
      </c>
      <c r="EH42" s="353" t="s">
        <v>2720</v>
      </c>
      <c r="EI42" s="353" t="s">
        <v>2720</v>
      </c>
      <c r="EJ42" s="353" t="s">
        <v>2720</v>
      </c>
      <c r="EK42" s="353">
        <v>8.3000000000000007</v>
      </c>
      <c r="EL42" s="353" t="s">
        <v>2720</v>
      </c>
      <c r="EM42" s="354">
        <v>7.64</v>
      </c>
      <c r="EN42" s="353">
        <v>8.6999999999999993</v>
      </c>
      <c r="EO42" s="353">
        <v>7.9</v>
      </c>
      <c r="EP42" s="353">
        <v>7</v>
      </c>
      <c r="EQ42" s="353">
        <v>7.3</v>
      </c>
      <c r="ER42" s="353">
        <v>6.6</v>
      </c>
      <c r="ES42" s="353">
        <v>7.4</v>
      </c>
      <c r="ET42" s="353">
        <v>9.1</v>
      </c>
      <c r="EU42" s="353" t="s">
        <v>2720</v>
      </c>
      <c r="EV42" s="353" t="s">
        <v>2720</v>
      </c>
      <c r="EW42" s="353">
        <v>7.8</v>
      </c>
      <c r="EX42" s="353" t="s">
        <v>2720</v>
      </c>
      <c r="EY42" s="353" t="s">
        <v>2720</v>
      </c>
      <c r="EZ42" s="353">
        <v>8.6999999999999993</v>
      </c>
      <c r="FA42" s="353">
        <v>8.1</v>
      </c>
      <c r="FB42" s="353">
        <v>8.1</v>
      </c>
      <c r="FC42" s="353">
        <v>8.5</v>
      </c>
      <c r="FD42" s="353">
        <v>8.6</v>
      </c>
      <c r="FE42" s="353">
        <v>7.2</v>
      </c>
      <c r="FF42" s="353" t="s">
        <v>2720</v>
      </c>
      <c r="FG42" s="353" t="s">
        <v>2720</v>
      </c>
      <c r="FH42" s="353" t="s">
        <v>2720</v>
      </c>
      <c r="FI42" s="353">
        <v>8.3000000000000007</v>
      </c>
      <c r="FJ42" s="353" t="s">
        <v>2720</v>
      </c>
      <c r="FK42" s="355">
        <v>7.89</v>
      </c>
      <c r="FM42" s="357"/>
    </row>
    <row r="43" spans="1:169" s="356" customFormat="1" ht="27.95" customHeight="1">
      <c r="A43" s="358">
        <v>33</v>
      </c>
      <c r="B43" s="359" t="s">
        <v>2106</v>
      </c>
      <c r="C43" s="360" t="s">
        <v>1435</v>
      </c>
      <c r="D43" s="361" t="s">
        <v>1896</v>
      </c>
      <c r="E43" s="362"/>
      <c r="F43" s="363">
        <v>0</v>
      </c>
      <c r="G43" s="364">
        <v>22</v>
      </c>
      <c r="H43" s="365">
        <v>5.5</v>
      </c>
      <c r="I43" s="366" t="s">
        <v>2720</v>
      </c>
      <c r="J43" s="365">
        <v>4.5</v>
      </c>
      <c r="K43" s="366">
        <v>4.7</v>
      </c>
      <c r="L43" s="365">
        <v>4.2</v>
      </c>
      <c r="M43" s="366">
        <v>6.5</v>
      </c>
      <c r="N43" s="365">
        <v>4.4000000000000004</v>
      </c>
      <c r="O43" s="366">
        <v>4.5</v>
      </c>
      <c r="P43" s="365">
        <v>4.7</v>
      </c>
      <c r="Q43" s="366">
        <v>4.7</v>
      </c>
      <c r="R43" s="365">
        <v>4.5</v>
      </c>
      <c r="S43" s="366">
        <v>4.5</v>
      </c>
      <c r="T43" s="365">
        <v>6.4</v>
      </c>
      <c r="U43" s="366" t="s">
        <v>2720</v>
      </c>
      <c r="V43" s="365" t="s">
        <v>2720</v>
      </c>
      <c r="W43" s="366" t="s">
        <v>2720</v>
      </c>
      <c r="X43" s="367" t="s">
        <v>2720</v>
      </c>
      <c r="Y43" s="368"/>
      <c r="Z43" s="331">
        <v>3.7</v>
      </c>
      <c r="AA43" s="332">
        <v>3.7</v>
      </c>
      <c r="AB43" s="331">
        <v>5.0999999999999996</v>
      </c>
      <c r="AC43" s="332" t="s">
        <v>2720</v>
      </c>
      <c r="AD43" s="331" t="s">
        <v>2720</v>
      </c>
      <c r="AE43" s="332" t="s">
        <v>2720</v>
      </c>
      <c r="AF43" s="331">
        <v>4.5999999999999996</v>
      </c>
      <c r="AG43" s="332">
        <v>6.6</v>
      </c>
      <c r="AH43" s="331">
        <v>3.7</v>
      </c>
      <c r="AI43" s="332">
        <v>5.2</v>
      </c>
      <c r="AJ43" s="331">
        <v>6.3</v>
      </c>
      <c r="AK43" s="332" t="s">
        <v>2720</v>
      </c>
      <c r="AL43" s="331">
        <v>7.6</v>
      </c>
      <c r="AM43" s="333" t="s">
        <v>2720</v>
      </c>
      <c r="AN43" s="331">
        <v>2.8</v>
      </c>
      <c r="AO43" s="332" t="s">
        <v>2720</v>
      </c>
      <c r="AP43" s="331">
        <v>7</v>
      </c>
      <c r="AQ43" s="333" t="s">
        <v>2720</v>
      </c>
      <c r="AR43" s="331" t="s">
        <v>2720</v>
      </c>
      <c r="AS43" s="333" t="s">
        <v>2720</v>
      </c>
      <c r="AT43" s="331" t="s">
        <v>2720</v>
      </c>
      <c r="AU43" s="333" t="s">
        <v>2720</v>
      </c>
      <c r="AV43" s="331" t="s">
        <v>2720</v>
      </c>
      <c r="AW43" s="333" t="s">
        <v>2720</v>
      </c>
      <c r="AX43" s="331">
        <v>6.6</v>
      </c>
      <c r="AY43" s="368"/>
      <c r="AZ43" s="331" t="s">
        <v>2720</v>
      </c>
      <c r="BA43" s="368"/>
      <c r="BB43" s="334">
        <v>5.04</v>
      </c>
      <c r="BC43" s="335">
        <v>5.36</v>
      </c>
      <c r="BD43" s="336">
        <v>51</v>
      </c>
      <c r="BE43" s="369" t="s">
        <v>2760</v>
      </c>
      <c r="BF43" s="336" t="s">
        <v>2760</v>
      </c>
      <c r="BG43" s="370"/>
      <c r="BH43" s="339" t="s">
        <v>2720</v>
      </c>
      <c r="BI43" s="340">
        <v>39</v>
      </c>
      <c r="BJ43" s="341">
        <v>16</v>
      </c>
      <c r="BK43" s="341">
        <v>23</v>
      </c>
      <c r="BL43" s="341">
        <v>22</v>
      </c>
      <c r="BM43" s="342">
        <v>17</v>
      </c>
      <c r="BN43" s="371">
        <v>6.23</v>
      </c>
      <c r="BO43" s="372" t="s">
        <v>2758</v>
      </c>
      <c r="BP43" s="371">
        <v>6.19</v>
      </c>
      <c r="BQ43" s="372" t="s">
        <v>2758</v>
      </c>
      <c r="BR43" s="345" t="s">
        <v>2761</v>
      </c>
      <c r="BS43" s="373"/>
      <c r="BT43" s="347">
        <v>5.5</v>
      </c>
      <c r="BU43" s="348">
        <v>4.5</v>
      </c>
      <c r="BV43" s="348">
        <v>4.2</v>
      </c>
      <c r="BW43" s="348">
        <v>4.4000000000000004</v>
      </c>
      <c r="BX43" s="349">
        <v>4.7</v>
      </c>
      <c r="BY43" s="349">
        <v>4.5</v>
      </c>
      <c r="BZ43" s="348">
        <v>6.4</v>
      </c>
      <c r="CA43" s="348" t="s">
        <v>2720</v>
      </c>
      <c r="CB43" s="348" t="s">
        <v>2720</v>
      </c>
      <c r="CC43" s="348">
        <v>3.7</v>
      </c>
      <c r="CD43" s="348">
        <v>5.0999999999999996</v>
      </c>
      <c r="CE43" s="348" t="s">
        <v>2720</v>
      </c>
      <c r="CF43" s="348">
        <v>4.5999999999999996</v>
      </c>
      <c r="CG43" s="348">
        <v>3.7</v>
      </c>
      <c r="CH43" s="348">
        <v>6.3</v>
      </c>
      <c r="CI43" s="348">
        <v>7.6</v>
      </c>
      <c r="CJ43" s="348">
        <v>2.8</v>
      </c>
      <c r="CK43" s="348">
        <v>7</v>
      </c>
      <c r="CL43" s="348" t="s">
        <v>2720</v>
      </c>
      <c r="CM43" s="349" t="s">
        <v>2720</v>
      </c>
      <c r="CN43" s="348" t="s">
        <v>2720</v>
      </c>
      <c r="CO43" s="348">
        <v>6.6</v>
      </c>
      <c r="CP43" s="348" t="s">
        <v>2720</v>
      </c>
      <c r="CQ43" s="350">
        <v>5.04</v>
      </c>
      <c r="CR43" s="348">
        <v>5.5</v>
      </c>
      <c r="CS43" s="348" t="s">
        <v>2720</v>
      </c>
      <c r="CT43" s="348" t="s">
        <v>2720</v>
      </c>
      <c r="CU43" s="348" t="s">
        <v>2720</v>
      </c>
      <c r="CV43" s="348" t="s">
        <v>2720</v>
      </c>
      <c r="CW43" s="348" t="s">
        <v>2720</v>
      </c>
      <c r="CX43" s="348">
        <v>6.4</v>
      </c>
      <c r="CY43" s="348" t="s">
        <v>2720</v>
      </c>
      <c r="CZ43" s="348" t="s">
        <v>2720</v>
      </c>
      <c r="DA43" s="348" t="s">
        <v>2720</v>
      </c>
      <c r="DB43" s="348">
        <v>5.0999999999999996</v>
      </c>
      <c r="DC43" s="348" t="s">
        <v>2720</v>
      </c>
      <c r="DD43" s="348" t="s">
        <v>2720</v>
      </c>
      <c r="DE43" s="348" t="s">
        <v>2720</v>
      </c>
      <c r="DF43" s="348">
        <v>6.3</v>
      </c>
      <c r="DG43" s="348">
        <v>7.6</v>
      </c>
      <c r="DH43" s="348" t="s">
        <v>2720</v>
      </c>
      <c r="DI43" s="348">
        <v>7</v>
      </c>
      <c r="DJ43" s="348" t="s">
        <v>2720</v>
      </c>
      <c r="DK43" s="348" t="s">
        <v>2720</v>
      </c>
      <c r="DL43" s="348" t="s">
        <v>2720</v>
      </c>
      <c r="DM43" s="348">
        <v>6.6</v>
      </c>
      <c r="DN43" s="348" t="s">
        <v>2720</v>
      </c>
      <c r="DO43" s="351">
        <v>6.23</v>
      </c>
      <c r="DP43" s="374">
        <v>5.5</v>
      </c>
      <c r="DQ43" s="353">
        <v>4.7</v>
      </c>
      <c r="DR43" s="353">
        <v>6.5</v>
      </c>
      <c r="DS43" s="353">
        <v>4.5</v>
      </c>
      <c r="DT43" s="353">
        <v>4.7</v>
      </c>
      <c r="DU43" s="353">
        <v>4.5</v>
      </c>
      <c r="DV43" s="353">
        <v>6.4</v>
      </c>
      <c r="DW43" s="353" t="s">
        <v>2720</v>
      </c>
      <c r="DX43" s="353" t="s">
        <v>2720</v>
      </c>
      <c r="DY43" s="353">
        <v>3.7</v>
      </c>
      <c r="DZ43" s="353">
        <v>5.0999999999999996</v>
      </c>
      <c r="EA43" s="353" t="s">
        <v>2720</v>
      </c>
      <c r="EB43" s="353">
        <v>6.6</v>
      </c>
      <c r="EC43" s="353">
        <v>5.2</v>
      </c>
      <c r="ED43" s="353">
        <v>6.3</v>
      </c>
      <c r="EE43" s="353">
        <v>7.6</v>
      </c>
      <c r="EF43" s="353">
        <v>2.8</v>
      </c>
      <c r="EG43" s="353">
        <v>7</v>
      </c>
      <c r="EH43" s="353" t="s">
        <v>2720</v>
      </c>
      <c r="EI43" s="353" t="s">
        <v>2720</v>
      </c>
      <c r="EJ43" s="353" t="s">
        <v>2720</v>
      </c>
      <c r="EK43" s="353">
        <v>6.6</v>
      </c>
      <c r="EL43" s="353" t="s">
        <v>2720</v>
      </c>
      <c r="EM43" s="354">
        <v>5.36</v>
      </c>
      <c r="EN43" s="353">
        <v>5.5</v>
      </c>
      <c r="EO43" s="353" t="s">
        <v>2720</v>
      </c>
      <c r="EP43" s="353">
        <v>6.5</v>
      </c>
      <c r="EQ43" s="353" t="s">
        <v>2720</v>
      </c>
      <c r="ER43" s="353" t="s">
        <v>2720</v>
      </c>
      <c r="ES43" s="353" t="s">
        <v>2720</v>
      </c>
      <c r="ET43" s="353">
        <v>6.4</v>
      </c>
      <c r="EU43" s="353" t="s">
        <v>2720</v>
      </c>
      <c r="EV43" s="353" t="s">
        <v>2720</v>
      </c>
      <c r="EW43" s="353" t="s">
        <v>2720</v>
      </c>
      <c r="EX43" s="353">
        <v>5.0999999999999996</v>
      </c>
      <c r="EY43" s="353" t="s">
        <v>2720</v>
      </c>
      <c r="EZ43" s="353">
        <v>6.6</v>
      </c>
      <c r="FA43" s="353">
        <v>5.2</v>
      </c>
      <c r="FB43" s="353">
        <v>6.3</v>
      </c>
      <c r="FC43" s="353">
        <v>7.6</v>
      </c>
      <c r="FD43" s="353" t="s">
        <v>2720</v>
      </c>
      <c r="FE43" s="353">
        <v>7</v>
      </c>
      <c r="FF43" s="353" t="s">
        <v>2720</v>
      </c>
      <c r="FG43" s="353" t="s">
        <v>2720</v>
      </c>
      <c r="FH43" s="353" t="s">
        <v>2720</v>
      </c>
      <c r="FI43" s="353">
        <v>6.6</v>
      </c>
      <c r="FJ43" s="353" t="s">
        <v>2720</v>
      </c>
      <c r="FK43" s="355">
        <v>6.19</v>
      </c>
      <c r="FM43" s="357"/>
    </row>
    <row r="44" spans="1:169" s="356" customFormat="1" ht="27.95" customHeight="1">
      <c r="A44" s="358">
        <v>34</v>
      </c>
      <c r="B44" s="359" t="s">
        <v>2770</v>
      </c>
      <c r="C44" s="360" t="s">
        <v>2110</v>
      </c>
      <c r="D44" s="361" t="s">
        <v>1802</v>
      </c>
      <c r="E44" s="362"/>
      <c r="F44" s="363">
        <v>1</v>
      </c>
      <c r="G44" s="364">
        <v>39</v>
      </c>
      <c r="H44" s="365">
        <v>4.3</v>
      </c>
      <c r="I44" s="366">
        <v>5.5</v>
      </c>
      <c r="J44" s="365">
        <v>5.5</v>
      </c>
      <c r="K44" s="366" t="s">
        <v>2720</v>
      </c>
      <c r="L44" s="365">
        <v>5.0999999999999996</v>
      </c>
      <c r="M44" s="366" t="s">
        <v>2720</v>
      </c>
      <c r="N44" s="365">
        <v>4.9000000000000004</v>
      </c>
      <c r="O44" s="366">
        <v>6.3</v>
      </c>
      <c r="P44" s="365">
        <v>6</v>
      </c>
      <c r="Q44" s="366" t="s">
        <v>2720</v>
      </c>
      <c r="R44" s="365">
        <v>5.9</v>
      </c>
      <c r="S44" s="366" t="s">
        <v>2720</v>
      </c>
      <c r="T44" s="365">
        <v>6.9</v>
      </c>
      <c r="U44" s="366" t="s">
        <v>2720</v>
      </c>
      <c r="V44" s="365" t="s">
        <v>2720</v>
      </c>
      <c r="W44" s="366" t="s">
        <v>2720</v>
      </c>
      <c r="X44" s="367" t="s">
        <v>2720</v>
      </c>
      <c r="Y44" s="368"/>
      <c r="Z44" s="331">
        <v>7.4</v>
      </c>
      <c r="AA44" s="332" t="s">
        <v>2720</v>
      </c>
      <c r="AB44" s="331">
        <v>5.0999999999999996</v>
      </c>
      <c r="AC44" s="332" t="s">
        <v>2720</v>
      </c>
      <c r="AD44" s="331">
        <v>6.6</v>
      </c>
      <c r="AE44" s="332" t="s">
        <v>2720</v>
      </c>
      <c r="AF44" s="331" t="s">
        <v>2720</v>
      </c>
      <c r="AG44" s="332" t="s">
        <v>2720</v>
      </c>
      <c r="AH44" s="331">
        <v>6.4</v>
      </c>
      <c r="AI44" s="332" t="s">
        <v>2720</v>
      </c>
      <c r="AJ44" s="331">
        <v>5.4</v>
      </c>
      <c r="AK44" s="332" t="s">
        <v>2720</v>
      </c>
      <c r="AL44" s="331">
        <v>6.9</v>
      </c>
      <c r="AM44" s="333" t="s">
        <v>2720</v>
      </c>
      <c r="AN44" s="331">
        <v>5.8</v>
      </c>
      <c r="AO44" s="332" t="s">
        <v>2720</v>
      </c>
      <c r="AP44" s="331">
        <v>7.4</v>
      </c>
      <c r="AQ44" s="333" t="s">
        <v>2720</v>
      </c>
      <c r="AR44" s="331" t="s">
        <v>2720</v>
      </c>
      <c r="AS44" s="333" t="s">
        <v>2720</v>
      </c>
      <c r="AT44" s="331" t="s">
        <v>2720</v>
      </c>
      <c r="AU44" s="333" t="s">
        <v>2720</v>
      </c>
      <c r="AV44" s="331" t="s">
        <v>2720</v>
      </c>
      <c r="AW44" s="333" t="s">
        <v>2720</v>
      </c>
      <c r="AX44" s="331">
        <v>5.8</v>
      </c>
      <c r="AY44" s="368"/>
      <c r="AZ44" s="331" t="s">
        <v>2720</v>
      </c>
      <c r="BA44" s="368"/>
      <c r="BB44" s="334">
        <v>5.88</v>
      </c>
      <c r="BC44" s="335">
        <v>6.05</v>
      </c>
      <c r="BD44" s="336">
        <v>59</v>
      </c>
      <c r="BE44" s="369" t="s">
        <v>2760</v>
      </c>
      <c r="BF44" s="336" t="s">
        <v>2764</v>
      </c>
      <c r="BG44" s="370"/>
      <c r="BH44" s="339" t="s">
        <v>2720</v>
      </c>
      <c r="BI44" s="340">
        <v>39</v>
      </c>
      <c r="BJ44" s="341">
        <v>34</v>
      </c>
      <c r="BK44" s="341">
        <v>5</v>
      </c>
      <c r="BL44" s="341">
        <v>39</v>
      </c>
      <c r="BM44" s="342">
        <v>0</v>
      </c>
      <c r="BN44" s="371">
        <v>6.08</v>
      </c>
      <c r="BO44" s="372" t="s">
        <v>2758</v>
      </c>
      <c r="BP44" s="371">
        <v>6.05</v>
      </c>
      <c r="BQ44" s="372" t="s">
        <v>2758</v>
      </c>
      <c r="BR44" s="345" t="s">
        <v>2759</v>
      </c>
      <c r="BS44" s="373"/>
      <c r="BT44" s="347">
        <v>4.3</v>
      </c>
      <c r="BU44" s="348">
        <v>5.5</v>
      </c>
      <c r="BV44" s="348">
        <v>5.0999999999999996</v>
      </c>
      <c r="BW44" s="348">
        <v>4.9000000000000004</v>
      </c>
      <c r="BX44" s="349">
        <v>6</v>
      </c>
      <c r="BY44" s="349">
        <v>5.9</v>
      </c>
      <c r="BZ44" s="348">
        <v>6.9</v>
      </c>
      <c r="CA44" s="348" t="s">
        <v>2720</v>
      </c>
      <c r="CB44" s="348" t="s">
        <v>2720</v>
      </c>
      <c r="CC44" s="348">
        <v>7.4</v>
      </c>
      <c r="CD44" s="348">
        <v>5.0999999999999996</v>
      </c>
      <c r="CE44" s="348">
        <v>6.6</v>
      </c>
      <c r="CF44" s="348" t="s">
        <v>2720</v>
      </c>
      <c r="CG44" s="348">
        <v>6.4</v>
      </c>
      <c r="CH44" s="348">
        <v>5.4</v>
      </c>
      <c r="CI44" s="348">
        <v>6.9</v>
      </c>
      <c r="CJ44" s="348">
        <v>5.8</v>
      </c>
      <c r="CK44" s="348">
        <v>7.4</v>
      </c>
      <c r="CL44" s="348" t="s">
        <v>2720</v>
      </c>
      <c r="CM44" s="349" t="s">
        <v>2720</v>
      </c>
      <c r="CN44" s="348" t="s">
        <v>2720</v>
      </c>
      <c r="CO44" s="348">
        <v>5.8</v>
      </c>
      <c r="CP44" s="348" t="s">
        <v>2720</v>
      </c>
      <c r="CQ44" s="350">
        <v>5.88</v>
      </c>
      <c r="CR44" s="348" t="s">
        <v>2720</v>
      </c>
      <c r="CS44" s="348">
        <v>5.5</v>
      </c>
      <c r="CT44" s="348">
        <v>5.0999999999999996</v>
      </c>
      <c r="CU44" s="348" t="s">
        <v>2720</v>
      </c>
      <c r="CV44" s="348">
        <v>6</v>
      </c>
      <c r="CW44" s="348">
        <v>5.9</v>
      </c>
      <c r="CX44" s="348">
        <v>6.9</v>
      </c>
      <c r="CY44" s="348" t="s">
        <v>2720</v>
      </c>
      <c r="CZ44" s="348" t="s">
        <v>2720</v>
      </c>
      <c r="DA44" s="348">
        <v>7.4</v>
      </c>
      <c r="DB44" s="348">
        <v>5.0999999999999996</v>
      </c>
      <c r="DC44" s="348">
        <v>6.6</v>
      </c>
      <c r="DD44" s="348" t="s">
        <v>2720</v>
      </c>
      <c r="DE44" s="348">
        <v>6.4</v>
      </c>
      <c r="DF44" s="348">
        <v>5.4</v>
      </c>
      <c r="DG44" s="348">
        <v>6.9</v>
      </c>
      <c r="DH44" s="348">
        <v>5.8</v>
      </c>
      <c r="DI44" s="348">
        <v>7.4</v>
      </c>
      <c r="DJ44" s="348" t="s">
        <v>2720</v>
      </c>
      <c r="DK44" s="348" t="s">
        <v>2720</v>
      </c>
      <c r="DL44" s="348" t="s">
        <v>2720</v>
      </c>
      <c r="DM44" s="348">
        <v>5.8</v>
      </c>
      <c r="DN44" s="348" t="s">
        <v>2720</v>
      </c>
      <c r="DO44" s="351">
        <v>6.08</v>
      </c>
      <c r="DP44" s="374">
        <v>5.5</v>
      </c>
      <c r="DQ44" s="353">
        <v>5.5</v>
      </c>
      <c r="DR44" s="353">
        <v>5.0999999999999996</v>
      </c>
      <c r="DS44" s="353">
        <v>6.3</v>
      </c>
      <c r="DT44" s="353">
        <v>6</v>
      </c>
      <c r="DU44" s="353">
        <v>5.9</v>
      </c>
      <c r="DV44" s="353">
        <v>6.9</v>
      </c>
      <c r="DW44" s="353" t="s">
        <v>2720</v>
      </c>
      <c r="DX44" s="353" t="s">
        <v>2720</v>
      </c>
      <c r="DY44" s="353">
        <v>7.4</v>
      </c>
      <c r="DZ44" s="353">
        <v>5.0999999999999996</v>
      </c>
      <c r="EA44" s="353">
        <v>6.6</v>
      </c>
      <c r="EB44" s="353" t="s">
        <v>2720</v>
      </c>
      <c r="EC44" s="353">
        <v>6.4</v>
      </c>
      <c r="ED44" s="353">
        <v>5.4</v>
      </c>
      <c r="EE44" s="353">
        <v>6.9</v>
      </c>
      <c r="EF44" s="353">
        <v>5.8</v>
      </c>
      <c r="EG44" s="353">
        <v>7.4</v>
      </c>
      <c r="EH44" s="353" t="s">
        <v>2720</v>
      </c>
      <c r="EI44" s="353" t="s">
        <v>2720</v>
      </c>
      <c r="EJ44" s="353" t="s">
        <v>2720</v>
      </c>
      <c r="EK44" s="353">
        <v>5.8</v>
      </c>
      <c r="EL44" s="353" t="s">
        <v>2720</v>
      </c>
      <c r="EM44" s="354">
        <v>6.05</v>
      </c>
      <c r="EN44" s="353">
        <v>5.5</v>
      </c>
      <c r="EO44" s="353">
        <v>5.5</v>
      </c>
      <c r="EP44" s="353">
        <v>5.0999999999999996</v>
      </c>
      <c r="EQ44" s="353">
        <v>6.3</v>
      </c>
      <c r="ER44" s="353">
        <v>6</v>
      </c>
      <c r="ES44" s="353">
        <v>5.9</v>
      </c>
      <c r="ET44" s="353">
        <v>6.9</v>
      </c>
      <c r="EU44" s="353" t="s">
        <v>2720</v>
      </c>
      <c r="EV44" s="353" t="s">
        <v>2720</v>
      </c>
      <c r="EW44" s="353">
        <v>7.4</v>
      </c>
      <c r="EX44" s="353">
        <v>5.0999999999999996</v>
      </c>
      <c r="EY44" s="353">
        <v>6.6</v>
      </c>
      <c r="EZ44" s="353" t="s">
        <v>2720</v>
      </c>
      <c r="FA44" s="353">
        <v>6.4</v>
      </c>
      <c r="FB44" s="353">
        <v>5.4</v>
      </c>
      <c r="FC44" s="353">
        <v>6.9</v>
      </c>
      <c r="FD44" s="353">
        <v>5.8</v>
      </c>
      <c r="FE44" s="353">
        <v>7.4</v>
      </c>
      <c r="FF44" s="353" t="s">
        <v>2720</v>
      </c>
      <c r="FG44" s="353" t="s">
        <v>2720</v>
      </c>
      <c r="FH44" s="353" t="s">
        <v>2720</v>
      </c>
      <c r="FI44" s="353">
        <v>5.8</v>
      </c>
      <c r="FJ44" s="353" t="s">
        <v>2720</v>
      </c>
      <c r="FK44" s="355">
        <v>6.05</v>
      </c>
      <c r="FM44" s="357"/>
    </row>
    <row r="45" spans="1:169" s="356" customFormat="1" ht="27.95" customHeight="1">
      <c r="A45" s="358">
        <v>35</v>
      </c>
      <c r="B45" s="359" t="s">
        <v>2771</v>
      </c>
      <c r="C45" s="360" t="s">
        <v>2083</v>
      </c>
      <c r="D45" s="361" t="s">
        <v>1474</v>
      </c>
      <c r="E45" s="362"/>
      <c r="F45" s="363">
        <v>0</v>
      </c>
      <c r="G45" s="364">
        <v>44</v>
      </c>
      <c r="H45" s="365">
        <v>2.2000000000000002</v>
      </c>
      <c r="I45" s="366">
        <v>5.0999999999999996</v>
      </c>
      <c r="J45" s="365">
        <v>5.2</v>
      </c>
      <c r="K45" s="366" t="s">
        <v>2720</v>
      </c>
      <c r="L45" s="365">
        <v>3.9</v>
      </c>
      <c r="M45" s="366">
        <v>5.4</v>
      </c>
      <c r="N45" s="365">
        <v>4.3</v>
      </c>
      <c r="O45" s="366" t="s">
        <v>2720</v>
      </c>
      <c r="P45" s="365">
        <v>5.7</v>
      </c>
      <c r="Q45" s="366" t="s">
        <v>2720</v>
      </c>
      <c r="R45" s="365">
        <v>6.9</v>
      </c>
      <c r="S45" s="366" t="s">
        <v>2720</v>
      </c>
      <c r="T45" s="365">
        <v>6.4</v>
      </c>
      <c r="U45" s="366" t="s">
        <v>2720</v>
      </c>
      <c r="V45" s="365" t="s">
        <v>2720</v>
      </c>
      <c r="W45" s="366" t="s">
        <v>2720</v>
      </c>
      <c r="X45" s="367" t="s">
        <v>2720</v>
      </c>
      <c r="Y45" s="368"/>
      <c r="Z45" s="331">
        <v>3.2</v>
      </c>
      <c r="AA45" s="332" t="s">
        <v>2720</v>
      </c>
      <c r="AB45" s="331">
        <v>3.5</v>
      </c>
      <c r="AC45" s="332" t="s">
        <v>2720</v>
      </c>
      <c r="AD45" s="331">
        <v>6.2</v>
      </c>
      <c r="AE45" s="332" t="s">
        <v>2720</v>
      </c>
      <c r="AF45" s="331">
        <v>5.7</v>
      </c>
      <c r="AG45" s="332" t="s">
        <v>2720</v>
      </c>
      <c r="AH45" s="331" t="s">
        <v>2720</v>
      </c>
      <c r="AI45" s="332" t="s">
        <v>2720</v>
      </c>
      <c r="AJ45" s="331">
        <v>6.4</v>
      </c>
      <c r="AK45" s="332" t="s">
        <v>2720</v>
      </c>
      <c r="AL45" s="331">
        <v>6.2</v>
      </c>
      <c r="AM45" s="333" t="s">
        <v>2720</v>
      </c>
      <c r="AN45" s="331">
        <v>0.8</v>
      </c>
      <c r="AO45" s="332" t="s">
        <v>2720</v>
      </c>
      <c r="AP45" s="331">
        <v>7.6</v>
      </c>
      <c r="AQ45" s="333" t="s">
        <v>2720</v>
      </c>
      <c r="AR45" s="331" t="s">
        <v>2720</v>
      </c>
      <c r="AS45" s="333" t="s">
        <v>2720</v>
      </c>
      <c r="AT45" s="331" t="s">
        <v>2720</v>
      </c>
      <c r="AU45" s="333" t="s">
        <v>2720</v>
      </c>
      <c r="AV45" s="331" t="s">
        <v>2720</v>
      </c>
      <c r="AW45" s="333" t="s">
        <v>2720</v>
      </c>
      <c r="AX45" s="331">
        <v>1.1000000000000001</v>
      </c>
      <c r="AY45" s="368"/>
      <c r="AZ45" s="331" t="s">
        <v>2720</v>
      </c>
      <c r="BA45" s="368"/>
      <c r="BB45" s="334">
        <v>4.82</v>
      </c>
      <c r="BC45" s="335">
        <v>5.12</v>
      </c>
      <c r="BD45" s="336">
        <v>53</v>
      </c>
      <c r="BE45" s="369" t="s">
        <v>2762</v>
      </c>
      <c r="BF45" s="336" t="s">
        <v>2760</v>
      </c>
      <c r="BG45" s="370"/>
      <c r="BH45" s="339" t="s">
        <v>2720</v>
      </c>
      <c r="BI45" s="340">
        <v>39</v>
      </c>
      <c r="BJ45" s="341">
        <v>23</v>
      </c>
      <c r="BK45" s="341">
        <v>16</v>
      </c>
      <c r="BL45" s="341">
        <v>28</v>
      </c>
      <c r="BM45" s="342">
        <v>11</v>
      </c>
      <c r="BN45" s="371">
        <v>6.27</v>
      </c>
      <c r="BO45" s="372" t="s">
        <v>2758</v>
      </c>
      <c r="BP45" s="371">
        <v>6.08</v>
      </c>
      <c r="BQ45" s="372" t="s">
        <v>2758</v>
      </c>
      <c r="BR45" s="345" t="s">
        <v>2761</v>
      </c>
      <c r="BS45" s="373"/>
      <c r="BT45" s="347">
        <v>2.2000000000000002</v>
      </c>
      <c r="BU45" s="348">
        <v>5.2</v>
      </c>
      <c r="BV45" s="348">
        <v>3.9</v>
      </c>
      <c r="BW45" s="348">
        <v>4.3</v>
      </c>
      <c r="BX45" s="349">
        <v>5.7</v>
      </c>
      <c r="BY45" s="349">
        <v>6.9</v>
      </c>
      <c r="BZ45" s="348">
        <v>6.4</v>
      </c>
      <c r="CA45" s="348" t="s">
        <v>2720</v>
      </c>
      <c r="CB45" s="348" t="s">
        <v>2720</v>
      </c>
      <c r="CC45" s="348">
        <v>3.2</v>
      </c>
      <c r="CD45" s="348">
        <v>3.5</v>
      </c>
      <c r="CE45" s="348">
        <v>6.2</v>
      </c>
      <c r="CF45" s="348">
        <v>5.7</v>
      </c>
      <c r="CG45" s="348" t="s">
        <v>2720</v>
      </c>
      <c r="CH45" s="348">
        <v>6.4</v>
      </c>
      <c r="CI45" s="348">
        <v>6.2</v>
      </c>
      <c r="CJ45" s="348">
        <v>0.8</v>
      </c>
      <c r="CK45" s="348">
        <v>7.6</v>
      </c>
      <c r="CL45" s="348" t="s">
        <v>2720</v>
      </c>
      <c r="CM45" s="349" t="s">
        <v>2720</v>
      </c>
      <c r="CN45" s="348" t="s">
        <v>2720</v>
      </c>
      <c r="CO45" s="348">
        <v>1.1000000000000001</v>
      </c>
      <c r="CP45" s="348" t="s">
        <v>2720</v>
      </c>
      <c r="CQ45" s="350">
        <v>4.82</v>
      </c>
      <c r="CR45" s="348" t="s">
        <v>2720</v>
      </c>
      <c r="CS45" s="348">
        <v>5.2</v>
      </c>
      <c r="CT45" s="348" t="s">
        <v>2720</v>
      </c>
      <c r="CU45" s="348" t="s">
        <v>2720</v>
      </c>
      <c r="CV45" s="348">
        <v>5.7</v>
      </c>
      <c r="CW45" s="348">
        <v>6.9</v>
      </c>
      <c r="CX45" s="348">
        <v>6.4</v>
      </c>
      <c r="CY45" s="348" t="s">
        <v>2720</v>
      </c>
      <c r="CZ45" s="348" t="s">
        <v>2720</v>
      </c>
      <c r="DA45" s="348" t="s">
        <v>2720</v>
      </c>
      <c r="DB45" s="348" t="s">
        <v>2720</v>
      </c>
      <c r="DC45" s="348">
        <v>6.2</v>
      </c>
      <c r="DD45" s="348">
        <v>5.7</v>
      </c>
      <c r="DE45" s="348" t="s">
        <v>2720</v>
      </c>
      <c r="DF45" s="348">
        <v>6.4</v>
      </c>
      <c r="DG45" s="348">
        <v>6.2</v>
      </c>
      <c r="DH45" s="348" t="s">
        <v>2720</v>
      </c>
      <c r="DI45" s="348">
        <v>7.6</v>
      </c>
      <c r="DJ45" s="348" t="s">
        <v>2720</v>
      </c>
      <c r="DK45" s="348" t="s">
        <v>2720</v>
      </c>
      <c r="DL45" s="348" t="s">
        <v>2720</v>
      </c>
      <c r="DM45" s="348" t="s">
        <v>2720</v>
      </c>
      <c r="DN45" s="348" t="s">
        <v>2720</v>
      </c>
      <c r="DO45" s="351">
        <v>6.27</v>
      </c>
      <c r="DP45" s="374">
        <v>5.0999999999999996</v>
      </c>
      <c r="DQ45" s="353">
        <v>5.2</v>
      </c>
      <c r="DR45" s="353">
        <v>5.4</v>
      </c>
      <c r="DS45" s="353">
        <v>4.3</v>
      </c>
      <c r="DT45" s="353">
        <v>5.7</v>
      </c>
      <c r="DU45" s="353">
        <v>6.9</v>
      </c>
      <c r="DV45" s="353">
        <v>6.4</v>
      </c>
      <c r="DW45" s="353" t="s">
        <v>2720</v>
      </c>
      <c r="DX45" s="353" t="s">
        <v>2720</v>
      </c>
      <c r="DY45" s="353">
        <v>3.2</v>
      </c>
      <c r="DZ45" s="353">
        <v>3.5</v>
      </c>
      <c r="EA45" s="353">
        <v>6.2</v>
      </c>
      <c r="EB45" s="353">
        <v>5.7</v>
      </c>
      <c r="EC45" s="353" t="s">
        <v>2720</v>
      </c>
      <c r="ED45" s="353">
        <v>6.4</v>
      </c>
      <c r="EE45" s="353">
        <v>6.2</v>
      </c>
      <c r="EF45" s="353">
        <v>0.8</v>
      </c>
      <c r="EG45" s="353">
        <v>7.6</v>
      </c>
      <c r="EH45" s="353" t="s">
        <v>2720</v>
      </c>
      <c r="EI45" s="353" t="s">
        <v>2720</v>
      </c>
      <c r="EJ45" s="353" t="s">
        <v>2720</v>
      </c>
      <c r="EK45" s="353">
        <v>1.1000000000000001</v>
      </c>
      <c r="EL45" s="353" t="s">
        <v>2720</v>
      </c>
      <c r="EM45" s="354">
        <v>5.12</v>
      </c>
      <c r="EN45" s="353">
        <v>5.0999999999999996</v>
      </c>
      <c r="EO45" s="353">
        <v>5.2</v>
      </c>
      <c r="EP45" s="353">
        <v>5.4</v>
      </c>
      <c r="EQ45" s="353" t="s">
        <v>2720</v>
      </c>
      <c r="ER45" s="353">
        <v>5.7</v>
      </c>
      <c r="ES45" s="353">
        <v>6.9</v>
      </c>
      <c r="ET45" s="353">
        <v>6.4</v>
      </c>
      <c r="EU45" s="353" t="s">
        <v>2720</v>
      </c>
      <c r="EV45" s="353" t="s">
        <v>2720</v>
      </c>
      <c r="EW45" s="353" t="s">
        <v>2720</v>
      </c>
      <c r="EX45" s="353" t="s">
        <v>2720</v>
      </c>
      <c r="EY45" s="353">
        <v>6.2</v>
      </c>
      <c r="EZ45" s="353">
        <v>5.7</v>
      </c>
      <c r="FA45" s="353" t="s">
        <v>2720</v>
      </c>
      <c r="FB45" s="353">
        <v>6.4</v>
      </c>
      <c r="FC45" s="353">
        <v>6.2</v>
      </c>
      <c r="FD45" s="353" t="s">
        <v>2720</v>
      </c>
      <c r="FE45" s="353">
        <v>7.6</v>
      </c>
      <c r="FF45" s="353" t="s">
        <v>2720</v>
      </c>
      <c r="FG45" s="353" t="s">
        <v>2720</v>
      </c>
      <c r="FH45" s="353" t="s">
        <v>2720</v>
      </c>
      <c r="FI45" s="353" t="s">
        <v>2720</v>
      </c>
      <c r="FJ45" s="353" t="s">
        <v>2720</v>
      </c>
      <c r="FK45" s="355">
        <v>6.08</v>
      </c>
      <c r="FM45" s="357"/>
    </row>
    <row r="46" spans="1:169" s="356" customFormat="1" ht="27.95" customHeight="1">
      <c r="A46" s="358">
        <v>36</v>
      </c>
      <c r="B46" s="359" t="s">
        <v>2113</v>
      </c>
      <c r="C46" s="360" t="s">
        <v>2114</v>
      </c>
      <c r="D46" s="361" t="s">
        <v>1478</v>
      </c>
      <c r="E46" s="362"/>
      <c r="F46" s="363">
        <v>0</v>
      </c>
      <c r="G46" s="364">
        <v>18</v>
      </c>
      <c r="H46" s="365">
        <v>3.8</v>
      </c>
      <c r="I46" s="366">
        <v>4.4000000000000004</v>
      </c>
      <c r="J46" s="365">
        <v>5.6</v>
      </c>
      <c r="K46" s="366" t="s">
        <v>2720</v>
      </c>
      <c r="L46" s="365">
        <v>5.2</v>
      </c>
      <c r="M46" s="366" t="s">
        <v>2720</v>
      </c>
      <c r="N46" s="365">
        <v>3.7</v>
      </c>
      <c r="O46" s="366">
        <v>4.0999999999999996</v>
      </c>
      <c r="P46" s="365">
        <v>5.6</v>
      </c>
      <c r="Q46" s="366" t="s">
        <v>2720</v>
      </c>
      <c r="R46" s="365">
        <v>5.7</v>
      </c>
      <c r="S46" s="366" t="s">
        <v>2720</v>
      </c>
      <c r="T46" s="365">
        <v>4.5</v>
      </c>
      <c r="U46" s="366">
        <v>5.8</v>
      </c>
      <c r="V46" s="365" t="s">
        <v>2720</v>
      </c>
      <c r="W46" s="366" t="s">
        <v>2720</v>
      </c>
      <c r="X46" s="367" t="s">
        <v>2720</v>
      </c>
      <c r="Y46" s="368"/>
      <c r="Z46" s="331">
        <v>3.5</v>
      </c>
      <c r="AA46" s="332">
        <v>3.5</v>
      </c>
      <c r="AB46" s="331">
        <v>4.4000000000000004</v>
      </c>
      <c r="AC46" s="332">
        <v>4.4000000000000004</v>
      </c>
      <c r="AD46" s="331">
        <v>4.3</v>
      </c>
      <c r="AE46" s="332">
        <v>4.5</v>
      </c>
      <c r="AF46" s="331">
        <v>6.7</v>
      </c>
      <c r="AG46" s="332" t="s">
        <v>2720</v>
      </c>
      <c r="AH46" s="331" t="s">
        <v>2720</v>
      </c>
      <c r="AI46" s="332" t="s">
        <v>2720</v>
      </c>
      <c r="AJ46" s="331">
        <v>6</v>
      </c>
      <c r="AK46" s="332" t="s">
        <v>2720</v>
      </c>
      <c r="AL46" s="331">
        <v>5.8</v>
      </c>
      <c r="AM46" s="333" t="s">
        <v>2720</v>
      </c>
      <c r="AN46" s="331">
        <v>3.6</v>
      </c>
      <c r="AO46" s="332">
        <v>3.7</v>
      </c>
      <c r="AP46" s="331">
        <v>5.9</v>
      </c>
      <c r="AQ46" s="333" t="s">
        <v>2720</v>
      </c>
      <c r="AR46" s="331" t="s">
        <v>2720</v>
      </c>
      <c r="AS46" s="333" t="s">
        <v>2720</v>
      </c>
      <c r="AT46" s="331" t="s">
        <v>2720</v>
      </c>
      <c r="AU46" s="333" t="s">
        <v>2720</v>
      </c>
      <c r="AV46" s="331" t="s">
        <v>2720</v>
      </c>
      <c r="AW46" s="333" t="s">
        <v>2720</v>
      </c>
      <c r="AX46" s="331">
        <v>6.9</v>
      </c>
      <c r="AY46" s="368"/>
      <c r="AZ46" s="331" t="s">
        <v>2720</v>
      </c>
      <c r="BA46" s="368"/>
      <c r="BB46" s="334">
        <v>5.0999999999999996</v>
      </c>
      <c r="BC46" s="335">
        <v>5.25</v>
      </c>
      <c r="BD46" s="336">
        <v>62.5</v>
      </c>
      <c r="BE46" s="369" t="s">
        <v>2760</v>
      </c>
      <c r="BF46" s="336" t="s">
        <v>2760</v>
      </c>
      <c r="BG46" s="370"/>
      <c r="BH46" s="339" t="s">
        <v>2720</v>
      </c>
      <c r="BI46" s="340">
        <v>39</v>
      </c>
      <c r="BJ46" s="341">
        <v>23</v>
      </c>
      <c r="BK46" s="341">
        <v>16</v>
      </c>
      <c r="BL46" s="341">
        <v>25</v>
      </c>
      <c r="BM46" s="342">
        <v>14</v>
      </c>
      <c r="BN46" s="371">
        <v>5.87</v>
      </c>
      <c r="BO46" s="372" t="s">
        <v>2758</v>
      </c>
      <c r="BP46" s="371">
        <v>5.87</v>
      </c>
      <c r="BQ46" s="372" t="s">
        <v>2758</v>
      </c>
      <c r="BR46" s="345" t="s">
        <v>2761</v>
      </c>
      <c r="BS46" s="373"/>
      <c r="BT46" s="347">
        <v>3.8</v>
      </c>
      <c r="BU46" s="348">
        <v>5.6</v>
      </c>
      <c r="BV46" s="348">
        <v>5.2</v>
      </c>
      <c r="BW46" s="348">
        <v>3.7</v>
      </c>
      <c r="BX46" s="349">
        <v>5.6</v>
      </c>
      <c r="BY46" s="349">
        <v>5.7</v>
      </c>
      <c r="BZ46" s="348">
        <v>4.5</v>
      </c>
      <c r="CA46" s="348" t="s">
        <v>2720</v>
      </c>
      <c r="CB46" s="348" t="s">
        <v>2720</v>
      </c>
      <c r="CC46" s="348">
        <v>3.5</v>
      </c>
      <c r="CD46" s="348">
        <v>4.4000000000000004</v>
      </c>
      <c r="CE46" s="348">
        <v>4.3</v>
      </c>
      <c r="CF46" s="348">
        <v>6.7</v>
      </c>
      <c r="CG46" s="348" t="s">
        <v>2720</v>
      </c>
      <c r="CH46" s="348">
        <v>6</v>
      </c>
      <c r="CI46" s="348">
        <v>5.8</v>
      </c>
      <c r="CJ46" s="348">
        <v>3.6</v>
      </c>
      <c r="CK46" s="348">
        <v>5.9</v>
      </c>
      <c r="CL46" s="348" t="s">
        <v>2720</v>
      </c>
      <c r="CM46" s="349" t="s">
        <v>2720</v>
      </c>
      <c r="CN46" s="348" t="s">
        <v>2720</v>
      </c>
      <c r="CO46" s="348">
        <v>6.9</v>
      </c>
      <c r="CP46" s="348" t="s">
        <v>2720</v>
      </c>
      <c r="CQ46" s="350">
        <v>5.0999999999999996</v>
      </c>
      <c r="CR46" s="348" t="s">
        <v>2720</v>
      </c>
      <c r="CS46" s="348">
        <v>5.6</v>
      </c>
      <c r="CT46" s="348">
        <v>5.2</v>
      </c>
      <c r="CU46" s="348" t="s">
        <v>2720</v>
      </c>
      <c r="CV46" s="348">
        <v>5.6</v>
      </c>
      <c r="CW46" s="348">
        <v>5.7</v>
      </c>
      <c r="CX46" s="348" t="s">
        <v>2720</v>
      </c>
      <c r="CY46" s="348" t="s">
        <v>2720</v>
      </c>
      <c r="CZ46" s="348" t="s">
        <v>2720</v>
      </c>
      <c r="DA46" s="348" t="s">
        <v>2720</v>
      </c>
      <c r="DB46" s="348" t="s">
        <v>2720</v>
      </c>
      <c r="DC46" s="348" t="s">
        <v>2720</v>
      </c>
      <c r="DD46" s="348">
        <v>6.7</v>
      </c>
      <c r="DE46" s="348" t="s">
        <v>2720</v>
      </c>
      <c r="DF46" s="348">
        <v>6</v>
      </c>
      <c r="DG46" s="348">
        <v>5.8</v>
      </c>
      <c r="DH46" s="348" t="s">
        <v>2720</v>
      </c>
      <c r="DI46" s="348">
        <v>5.9</v>
      </c>
      <c r="DJ46" s="348" t="s">
        <v>2720</v>
      </c>
      <c r="DK46" s="348" t="s">
        <v>2720</v>
      </c>
      <c r="DL46" s="348" t="s">
        <v>2720</v>
      </c>
      <c r="DM46" s="348">
        <v>6.9</v>
      </c>
      <c r="DN46" s="348" t="s">
        <v>2720</v>
      </c>
      <c r="DO46" s="351">
        <v>5.87</v>
      </c>
      <c r="DP46" s="374">
        <v>4.4000000000000004</v>
      </c>
      <c r="DQ46" s="353">
        <v>5.6</v>
      </c>
      <c r="DR46" s="353">
        <v>5.2</v>
      </c>
      <c r="DS46" s="353">
        <v>4.0999999999999996</v>
      </c>
      <c r="DT46" s="353">
        <v>5.6</v>
      </c>
      <c r="DU46" s="353">
        <v>5.7</v>
      </c>
      <c r="DV46" s="353">
        <v>5.8</v>
      </c>
      <c r="DW46" s="353" t="s">
        <v>2720</v>
      </c>
      <c r="DX46" s="353" t="s">
        <v>2720</v>
      </c>
      <c r="DY46" s="353">
        <v>3.5</v>
      </c>
      <c r="DZ46" s="353">
        <v>4.4000000000000004</v>
      </c>
      <c r="EA46" s="353">
        <v>4.5</v>
      </c>
      <c r="EB46" s="353">
        <v>6.7</v>
      </c>
      <c r="EC46" s="353" t="s">
        <v>2720</v>
      </c>
      <c r="ED46" s="353">
        <v>6</v>
      </c>
      <c r="EE46" s="353">
        <v>5.8</v>
      </c>
      <c r="EF46" s="353">
        <v>3.7</v>
      </c>
      <c r="EG46" s="353">
        <v>5.9</v>
      </c>
      <c r="EH46" s="353" t="s">
        <v>2720</v>
      </c>
      <c r="EI46" s="353" t="s">
        <v>2720</v>
      </c>
      <c r="EJ46" s="353" t="s">
        <v>2720</v>
      </c>
      <c r="EK46" s="353">
        <v>6.9</v>
      </c>
      <c r="EL46" s="353" t="s">
        <v>2720</v>
      </c>
      <c r="EM46" s="354">
        <v>5.25</v>
      </c>
      <c r="EN46" s="353" t="s">
        <v>2720</v>
      </c>
      <c r="EO46" s="353">
        <v>5.6</v>
      </c>
      <c r="EP46" s="353">
        <v>5.2</v>
      </c>
      <c r="EQ46" s="353" t="s">
        <v>2720</v>
      </c>
      <c r="ER46" s="353">
        <v>5.6</v>
      </c>
      <c r="ES46" s="353">
        <v>5.7</v>
      </c>
      <c r="ET46" s="353">
        <v>5.8</v>
      </c>
      <c r="EU46" s="353" t="s">
        <v>2720</v>
      </c>
      <c r="EV46" s="353" t="s">
        <v>2720</v>
      </c>
      <c r="EW46" s="353" t="s">
        <v>2720</v>
      </c>
      <c r="EX46" s="353" t="s">
        <v>2720</v>
      </c>
      <c r="EY46" s="353" t="s">
        <v>2720</v>
      </c>
      <c r="EZ46" s="353">
        <v>6.7</v>
      </c>
      <c r="FA46" s="353" t="s">
        <v>2720</v>
      </c>
      <c r="FB46" s="353">
        <v>6</v>
      </c>
      <c r="FC46" s="353">
        <v>5.8</v>
      </c>
      <c r="FD46" s="353" t="s">
        <v>2720</v>
      </c>
      <c r="FE46" s="353">
        <v>5.9</v>
      </c>
      <c r="FF46" s="353" t="s">
        <v>2720</v>
      </c>
      <c r="FG46" s="353" t="s">
        <v>2720</v>
      </c>
      <c r="FH46" s="353" t="s">
        <v>2720</v>
      </c>
      <c r="FI46" s="353">
        <v>6.9</v>
      </c>
      <c r="FJ46" s="353" t="s">
        <v>2720</v>
      </c>
      <c r="FK46" s="355">
        <v>5.87</v>
      </c>
      <c r="FM46" s="357"/>
    </row>
    <row r="47" spans="1:169" s="356" customFormat="1" ht="27.95" customHeight="1">
      <c r="A47" s="358">
        <v>37</v>
      </c>
      <c r="B47" s="359" t="s">
        <v>2772</v>
      </c>
      <c r="C47" s="360" t="s">
        <v>2116</v>
      </c>
      <c r="D47" s="361" t="s">
        <v>2117</v>
      </c>
      <c r="E47" s="362"/>
      <c r="F47" s="363">
        <v>0</v>
      </c>
      <c r="G47" s="364">
        <v>59</v>
      </c>
      <c r="H47" s="365">
        <v>2.2000000000000002</v>
      </c>
      <c r="I47" s="366" t="s">
        <v>2720</v>
      </c>
      <c r="J47" s="365">
        <v>4.5</v>
      </c>
      <c r="K47" s="366" t="s">
        <v>2720</v>
      </c>
      <c r="L47" s="365">
        <v>2.2999999999999998</v>
      </c>
      <c r="M47" s="366" t="s">
        <v>2720</v>
      </c>
      <c r="N47" s="365">
        <v>4.2</v>
      </c>
      <c r="O47" s="366" t="s">
        <v>2720</v>
      </c>
      <c r="P47" s="365">
        <v>2.7</v>
      </c>
      <c r="Q47" s="366" t="s">
        <v>2720</v>
      </c>
      <c r="R47" s="365">
        <v>1.8</v>
      </c>
      <c r="S47" s="366" t="s">
        <v>2720</v>
      </c>
      <c r="T47" s="365">
        <v>3.4</v>
      </c>
      <c r="U47" s="366" t="s">
        <v>2720</v>
      </c>
      <c r="V47" s="365" t="s">
        <v>2720</v>
      </c>
      <c r="W47" s="366" t="s">
        <v>2720</v>
      </c>
      <c r="X47" s="367" t="s">
        <v>2720</v>
      </c>
      <c r="Y47" s="368"/>
      <c r="Z47" s="331">
        <v>0</v>
      </c>
      <c r="AA47" s="332" t="s">
        <v>2720</v>
      </c>
      <c r="AB47" s="331">
        <v>0</v>
      </c>
      <c r="AC47" s="332" t="s">
        <v>2720</v>
      </c>
      <c r="AD47" s="331" t="s">
        <v>2720</v>
      </c>
      <c r="AE47" s="332" t="s">
        <v>2720</v>
      </c>
      <c r="AF47" s="331" t="s">
        <v>2720</v>
      </c>
      <c r="AG47" s="332" t="s">
        <v>2720</v>
      </c>
      <c r="AH47" s="331">
        <v>0</v>
      </c>
      <c r="AI47" s="332" t="s">
        <v>2720</v>
      </c>
      <c r="AJ47" s="331">
        <v>0</v>
      </c>
      <c r="AK47" s="332" t="s">
        <v>2720</v>
      </c>
      <c r="AL47" s="331">
        <v>0</v>
      </c>
      <c r="AM47" s="333" t="s">
        <v>2720</v>
      </c>
      <c r="AN47" s="331">
        <v>0</v>
      </c>
      <c r="AO47" s="332" t="s">
        <v>2720</v>
      </c>
      <c r="AP47" s="331">
        <v>0</v>
      </c>
      <c r="AQ47" s="333" t="s">
        <v>2720</v>
      </c>
      <c r="AR47" s="331" t="s">
        <v>2720</v>
      </c>
      <c r="AS47" s="333" t="s">
        <v>2720</v>
      </c>
      <c r="AT47" s="331" t="s">
        <v>2720</v>
      </c>
      <c r="AU47" s="333" t="s">
        <v>2720</v>
      </c>
      <c r="AV47" s="331" t="s">
        <v>2720</v>
      </c>
      <c r="AW47" s="333" t="s">
        <v>2720</v>
      </c>
      <c r="AX47" s="331">
        <v>0</v>
      </c>
      <c r="AY47" s="368"/>
      <c r="AZ47" s="331" t="s">
        <v>2720</v>
      </c>
      <c r="BA47" s="368"/>
      <c r="BB47" s="334">
        <v>1.54</v>
      </c>
      <c r="BC47" s="335">
        <v>1.54</v>
      </c>
      <c r="BD47" s="336">
        <v>44.5</v>
      </c>
      <c r="BE47" s="369" t="s">
        <v>2768</v>
      </c>
      <c r="BF47" s="336" t="s">
        <v>2768</v>
      </c>
      <c r="BG47" s="370"/>
      <c r="BH47" s="339" t="s">
        <v>2769</v>
      </c>
      <c r="BI47" s="340">
        <v>37</v>
      </c>
      <c r="BJ47" s="341">
        <v>0</v>
      </c>
      <c r="BK47" s="341">
        <v>37</v>
      </c>
      <c r="BL47" s="341">
        <v>0</v>
      </c>
      <c r="BM47" s="342">
        <v>37</v>
      </c>
      <c r="BN47" s="371">
        <v>0</v>
      </c>
      <c r="BO47" s="372" t="s">
        <v>2765</v>
      </c>
      <c r="BP47" s="371">
        <v>0</v>
      </c>
      <c r="BQ47" s="372" t="s">
        <v>2765</v>
      </c>
      <c r="BR47" s="345" t="s">
        <v>2761</v>
      </c>
      <c r="BS47" s="373"/>
      <c r="BT47" s="347">
        <v>2.2000000000000002</v>
      </c>
      <c r="BU47" s="348">
        <v>4.5</v>
      </c>
      <c r="BV47" s="348">
        <v>2.2999999999999998</v>
      </c>
      <c r="BW47" s="348">
        <v>4.2</v>
      </c>
      <c r="BX47" s="349">
        <v>2.7</v>
      </c>
      <c r="BY47" s="349">
        <v>1.8</v>
      </c>
      <c r="BZ47" s="348">
        <v>3.4</v>
      </c>
      <c r="CA47" s="348" t="s">
        <v>2720</v>
      </c>
      <c r="CB47" s="348" t="s">
        <v>2720</v>
      </c>
      <c r="CC47" s="348">
        <v>0</v>
      </c>
      <c r="CD47" s="348">
        <v>0</v>
      </c>
      <c r="CE47" s="348" t="s">
        <v>2720</v>
      </c>
      <c r="CF47" s="348" t="s">
        <v>2720</v>
      </c>
      <c r="CG47" s="348">
        <v>0</v>
      </c>
      <c r="CH47" s="348">
        <v>0</v>
      </c>
      <c r="CI47" s="348">
        <v>0</v>
      </c>
      <c r="CJ47" s="348">
        <v>0</v>
      </c>
      <c r="CK47" s="348">
        <v>0</v>
      </c>
      <c r="CL47" s="348" t="s">
        <v>2720</v>
      </c>
      <c r="CM47" s="349" t="s">
        <v>2720</v>
      </c>
      <c r="CN47" s="348" t="s">
        <v>2720</v>
      </c>
      <c r="CO47" s="348">
        <v>0</v>
      </c>
      <c r="CP47" s="348" t="s">
        <v>2720</v>
      </c>
      <c r="CQ47" s="350">
        <v>1.54</v>
      </c>
      <c r="CR47" s="348" t="s">
        <v>2720</v>
      </c>
      <c r="CS47" s="348" t="s">
        <v>2720</v>
      </c>
      <c r="CT47" s="348" t="s">
        <v>2720</v>
      </c>
      <c r="CU47" s="348" t="s">
        <v>2720</v>
      </c>
      <c r="CV47" s="348" t="s">
        <v>2720</v>
      </c>
      <c r="CW47" s="348" t="s">
        <v>2720</v>
      </c>
      <c r="CX47" s="348" t="s">
        <v>2720</v>
      </c>
      <c r="CY47" s="348" t="s">
        <v>2720</v>
      </c>
      <c r="CZ47" s="348" t="s">
        <v>2720</v>
      </c>
      <c r="DA47" s="348" t="s">
        <v>2720</v>
      </c>
      <c r="DB47" s="348" t="s">
        <v>2720</v>
      </c>
      <c r="DC47" s="348" t="s">
        <v>2720</v>
      </c>
      <c r="DD47" s="348" t="s">
        <v>2720</v>
      </c>
      <c r="DE47" s="348" t="s">
        <v>2720</v>
      </c>
      <c r="DF47" s="348" t="s">
        <v>2720</v>
      </c>
      <c r="DG47" s="348" t="s">
        <v>2720</v>
      </c>
      <c r="DH47" s="348" t="s">
        <v>2720</v>
      </c>
      <c r="DI47" s="348" t="s">
        <v>2720</v>
      </c>
      <c r="DJ47" s="348" t="s">
        <v>2720</v>
      </c>
      <c r="DK47" s="348" t="s">
        <v>2720</v>
      </c>
      <c r="DL47" s="348" t="s">
        <v>2720</v>
      </c>
      <c r="DM47" s="348" t="s">
        <v>2720</v>
      </c>
      <c r="DN47" s="348" t="s">
        <v>2720</v>
      </c>
      <c r="DO47" s="351">
        <v>0</v>
      </c>
      <c r="DP47" s="374">
        <v>2.2000000000000002</v>
      </c>
      <c r="DQ47" s="353">
        <v>4.5</v>
      </c>
      <c r="DR47" s="353">
        <v>2.2999999999999998</v>
      </c>
      <c r="DS47" s="353">
        <v>4.2</v>
      </c>
      <c r="DT47" s="353">
        <v>2.7</v>
      </c>
      <c r="DU47" s="353">
        <v>1.8</v>
      </c>
      <c r="DV47" s="353">
        <v>3.4</v>
      </c>
      <c r="DW47" s="353" t="s">
        <v>2720</v>
      </c>
      <c r="DX47" s="353" t="s">
        <v>2720</v>
      </c>
      <c r="DY47" s="353">
        <v>0</v>
      </c>
      <c r="DZ47" s="353">
        <v>0</v>
      </c>
      <c r="EA47" s="353" t="s">
        <v>2720</v>
      </c>
      <c r="EB47" s="353" t="s">
        <v>2720</v>
      </c>
      <c r="EC47" s="353">
        <v>0</v>
      </c>
      <c r="ED47" s="353">
        <v>0</v>
      </c>
      <c r="EE47" s="353">
        <v>0</v>
      </c>
      <c r="EF47" s="353">
        <v>0</v>
      </c>
      <c r="EG47" s="353">
        <v>0</v>
      </c>
      <c r="EH47" s="353" t="s">
        <v>2720</v>
      </c>
      <c r="EI47" s="353" t="s">
        <v>2720</v>
      </c>
      <c r="EJ47" s="353" t="s">
        <v>2720</v>
      </c>
      <c r="EK47" s="353">
        <v>0</v>
      </c>
      <c r="EL47" s="353" t="s">
        <v>2720</v>
      </c>
      <c r="EM47" s="354">
        <v>1.54</v>
      </c>
      <c r="EN47" s="353" t="s">
        <v>2720</v>
      </c>
      <c r="EO47" s="353" t="s">
        <v>2720</v>
      </c>
      <c r="EP47" s="353" t="s">
        <v>2720</v>
      </c>
      <c r="EQ47" s="353" t="s">
        <v>2720</v>
      </c>
      <c r="ER47" s="353" t="s">
        <v>2720</v>
      </c>
      <c r="ES47" s="353" t="s">
        <v>2720</v>
      </c>
      <c r="ET47" s="353" t="s">
        <v>2720</v>
      </c>
      <c r="EU47" s="353" t="s">
        <v>2720</v>
      </c>
      <c r="EV47" s="353" t="s">
        <v>2720</v>
      </c>
      <c r="EW47" s="353" t="s">
        <v>2720</v>
      </c>
      <c r="EX47" s="353" t="s">
        <v>2720</v>
      </c>
      <c r="EY47" s="353" t="s">
        <v>2720</v>
      </c>
      <c r="EZ47" s="353" t="s">
        <v>2720</v>
      </c>
      <c r="FA47" s="353" t="s">
        <v>2720</v>
      </c>
      <c r="FB47" s="353" t="s">
        <v>2720</v>
      </c>
      <c r="FC47" s="353" t="s">
        <v>2720</v>
      </c>
      <c r="FD47" s="353" t="s">
        <v>2720</v>
      </c>
      <c r="FE47" s="353" t="s">
        <v>2720</v>
      </c>
      <c r="FF47" s="353" t="s">
        <v>2720</v>
      </c>
      <c r="FG47" s="353" t="s">
        <v>2720</v>
      </c>
      <c r="FH47" s="353" t="s">
        <v>2720</v>
      </c>
      <c r="FI47" s="353" t="s">
        <v>2720</v>
      </c>
      <c r="FJ47" s="353" t="s">
        <v>2720</v>
      </c>
      <c r="FK47" s="355">
        <v>0</v>
      </c>
      <c r="FM47" s="357"/>
    </row>
    <row r="48" spans="1:169" s="356" customFormat="1" ht="27.95" customHeight="1">
      <c r="A48" s="358">
        <v>38</v>
      </c>
      <c r="B48" s="359" t="s">
        <v>2119</v>
      </c>
      <c r="C48" s="360" t="s">
        <v>2120</v>
      </c>
      <c r="D48" s="361" t="s">
        <v>1912</v>
      </c>
      <c r="E48" s="362"/>
      <c r="F48" s="363">
        <v>0</v>
      </c>
      <c r="G48" s="364">
        <v>12</v>
      </c>
      <c r="H48" s="365">
        <v>5</v>
      </c>
      <c r="I48" s="366" t="s">
        <v>2720</v>
      </c>
      <c r="J48" s="365">
        <v>6.4</v>
      </c>
      <c r="K48" s="366" t="s">
        <v>2720</v>
      </c>
      <c r="L48" s="365">
        <v>5.6</v>
      </c>
      <c r="M48" s="366" t="s">
        <v>2720</v>
      </c>
      <c r="N48" s="365">
        <v>5.6</v>
      </c>
      <c r="O48" s="366" t="s">
        <v>2720</v>
      </c>
      <c r="P48" s="365">
        <v>4.0999999999999996</v>
      </c>
      <c r="Q48" s="366">
        <v>5.9</v>
      </c>
      <c r="R48" s="365">
        <v>6.5</v>
      </c>
      <c r="S48" s="366" t="s">
        <v>2720</v>
      </c>
      <c r="T48" s="365">
        <v>4.4000000000000004</v>
      </c>
      <c r="U48" s="366">
        <v>5.2</v>
      </c>
      <c r="V48" s="365" t="s">
        <v>2720</v>
      </c>
      <c r="W48" s="366" t="s">
        <v>2720</v>
      </c>
      <c r="X48" s="367" t="s">
        <v>2720</v>
      </c>
      <c r="Y48" s="368"/>
      <c r="Z48" s="331">
        <v>5.8</v>
      </c>
      <c r="AA48" s="332" t="s">
        <v>2720</v>
      </c>
      <c r="AB48" s="331">
        <v>5.2</v>
      </c>
      <c r="AC48" s="332" t="s">
        <v>2720</v>
      </c>
      <c r="AD48" s="331" t="s">
        <v>2720</v>
      </c>
      <c r="AE48" s="332" t="s">
        <v>2720</v>
      </c>
      <c r="AF48" s="331">
        <v>8.3000000000000007</v>
      </c>
      <c r="AG48" s="332" t="s">
        <v>2720</v>
      </c>
      <c r="AH48" s="331">
        <v>4.7</v>
      </c>
      <c r="AI48" s="332">
        <v>6.4</v>
      </c>
      <c r="AJ48" s="331">
        <v>6.4</v>
      </c>
      <c r="AK48" s="332" t="s">
        <v>2720</v>
      </c>
      <c r="AL48" s="331">
        <v>6.1</v>
      </c>
      <c r="AM48" s="333" t="s">
        <v>2720</v>
      </c>
      <c r="AN48" s="331">
        <v>3.8</v>
      </c>
      <c r="AO48" s="332" t="s">
        <v>2720</v>
      </c>
      <c r="AP48" s="331">
        <v>8</v>
      </c>
      <c r="AQ48" s="333" t="s">
        <v>2720</v>
      </c>
      <c r="AR48" s="331" t="s">
        <v>2720</v>
      </c>
      <c r="AS48" s="333" t="s">
        <v>2720</v>
      </c>
      <c r="AT48" s="331" t="s">
        <v>2720</v>
      </c>
      <c r="AU48" s="333" t="s">
        <v>2720</v>
      </c>
      <c r="AV48" s="331" t="s">
        <v>2720</v>
      </c>
      <c r="AW48" s="333" t="s">
        <v>2720</v>
      </c>
      <c r="AX48" s="331">
        <v>6.9</v>
      </c>
      <c r="AY48" s="368"/>
      <c r="AZ48" s="331" t="s">
        <v>2720</v>
      </c>
      <c r="BA48" s="368"/>
      <c r="BB48" s="334">
        <v>5.79</v>
      </c>
      <c r="BC48" s="335">
        <v>6.06</v>
      </c>
      <c r="BD48" s="336">
        <v>60.5</v>
      </c>
      <c r="BE48" s="369" t="s">
        <v>2760</v>
      </c>
      <c r="BF48" s="336" t="s">
        <v>2764</v>
      </c>
      <c r="BG48" s="370"/>
      <c r="BH48" s="339" t="s">
        <v>2720</v>
      </c>
      <c r="BI48" s="340">
        <v>39</v>
      </c>
      <c r="BJ48" s="341">
        <v>30</v>
      </c>
      <c r="BK48" s="341">
        <v>9</v>
      </c>
      <c r="BL48" s="341">
        <v>37</v>
      </c>
      <c r="BM48" s="342">
        <v>2</v>
      </c>
      <c r="BN48" s="371">
        <v>6.26</v>
      </c>
      <c r="BO48" s="372" t="s">
        <v>2758</v>
      </c>
      <c r="BP48" s="371">
        <v>6.18</v>
      </c>
      <c r="BQ48" s="372" t="s">
        <v>2758</v>
      </c>
      <c r="BR48" s="345" t="s">
        <v>2759</v>
      </c>
      <c r="BS48" s="373"/>
      <c r="BT48" s="347">
        <v>5</v>
      </c>
      <c r="BU48" s="348">
        <v>6.4</v>
      </c>
      <c r="BV48" s="348">
        <v>5.6</v>
      </c>
      <c r="BW48" s="348">
        <v>5.6</v>
      </c>
      <c r="BX48" s="349">
        <v>4.0999999999999996</v>
      </c>
      <c r="BY48" s="349">
        <v>6.5</v>
      </c>
      <c r="BZ48" s="348">
        <v>4.4000000000000004</v>
      </c>
      <c r="CA48" s="348" t="s">
        <v>2720</v>
      </c>
      <c r="CB48" s="348" t="s">
        <v>2720</v>
      </c>
      <c r="CC48" s="348">
        <v>5.8</v>
      </c>
      <c r="CD48" s="348">
        <v>5.2</v>
      </c>
      <c r="CE48" s="348" t="s">
        <v>2720</v>
      </c>
      <c r="CF48" s="348">
        <v>8.3000000000000007</v>
      </c>
      <c r="CG48" s="348">
        <v>4.7</v>
      </c>
      <c r="CH48" s="348">
        <v>6.4</v>
      </c>
      <c r="CI48" s="348">
        <v>6.1</v>
      </c>
      <c r="CJ48" s="348">
        <v>3.8</v>
      </c>
      <c r="CK48" s="348">
        <v>8</v>
      </c>
      <c r="CL48" s="348" t="s">
        <v>2720</v>
      </c>
      <c r="CM48" s="349" t="s">
        <v>2720</v>
      </c>
      <c r="CN48" s="348" t="s">
        <v>2720</v>
      </c>
      <c r="CO48" s="348">
        <v>6.9</v>
      </c>
      <c r="CP48" s="348" t="s">
        <v>2720</v>
      </c>
      <c r="CQ48" s="350">
        <v>5.79</v>
      </c>
      <c r="CR48" s="348">
        <v>5</v>
      </c>
      <c r="CS48" s="348">
        <v>6.4</v>
      </c>
      <c r="CT48" s="348">
        <v>5.6</v>
      </c>
      <c r="CU48" s="348">
        <v>5.6</v>
      </c>
      <c r="CV48" s="348" t="s">
        <v>2720</v>
      </c>
      <c r="CW48" s="348">
        <v>6.5</v>
      </c>
      <c r="CX48" s="348" t="s">
        <v>2720</v>
      </c>
      <c r="CY48" s="348" t="s">
        <v>2720</v>
      </c>
      <c r="CZ48" s="348" t="s">
        <v>2720</v>
      </c>
      <c r="DA48" s="348">
        <v>5.8</v>
      </c>
      <c r="DB48" s="348">
        <v>5.2</v>
      </c>
      <c r="DC48" s="348" t="s">
        <v>2720</v>
      </c>
      <c r="DD48" s="348">
        <v>8.3000000000000007</v>
      </c>
      <c r="DE48" s="348" t="s">
        <v>2720</v>
      </c>
      <c r="DF48" s="348">
        <v>6.4</v>
      </c>
      <c r="DG48" s="348">
        <v>6.1</v>
      </c>
      <c r="DH48" s="348" t="s">
        <v>2720</v>
      </c>
      <c r="DI48" s="348">
        <v>8</v>
      </c>
      <c r="DJ48" s="348" t="s">
        <v>2720</v>
      </c>
      <c r="DK48" s="348" t="s">
        <v>2720</v>
      </c>
      <c r="DL48" s="348" t="s">
        <v>2720</v>
      </c>
      <c r="DM48" s="348">
        <v>6.9</v>
      </c>
      <c r="DN48" s="348" t="s">
        <v>2720</v>
      </c>
      <c r="DO48" s="351">
        <v>6.26</v>
      </c>
      <c r="DP48" s="374">
        <v>5</v>
      </c>
      <c r="DQ48" s="353">
        <v>6.4</v>
      </c>
      <c r="DR48" s="353">
        <v>5.6</v>
      </c>
      <c r="DS48" s="353">
        <v>5.6</v>
      </c>
      <c r="DT48" s="353">
        <v>5.9</v>
      </c>
      <c r="DU48" s="353">
        <v>6.5</v>
      </c>
      <c r="DV48" s="353">
        <v>5.2</v>
      </c>
      <c r="DW48" s="353" t="s">
        <v>2720</v>
      </c>
      <c r="DX48" s="353" t="s">
        <v>2720</v>
      </c>
      <c r="DY48" s="353">
        <v>5.8</v>
      </c>
      <c r="DZ48" s="353">
        <v>5.2</v>
      </c>
      <c r="EA48" s="353" t="s">
        <v>2720</v>
      </c>
      <c r="EB48" s="353">
        <v>8.3000000000000007</v>
      </c>
      <c r="EC48" s="353">
        <v>6.4</v>
      </c>
      <c r="ED48" s="353">
        <v>6.4</v>
      </c>
      <c r="EE48" s="353">
        <v>6.1</v>
      </c>
      <c r="EF48" s="353">
        <v>3.8</v>
      </c>
      <c r="EG48" s="353">
        <v>8</v>
      </c>
      <c r="EH48" s="353" t="s">
        <v>2720</v>
      </c>
      <c r="EI48" s="353" t="s">
        <v>2720</v>
      </c>
      <c r="EJ48" s="353" t="s">
        <v>2720</v>
      </c>
      <c r="EK48" s="353">
        <v>6.9</v>
      </c>
      <c r="EL48" s="353" t="s">
        <v>2720</v>
      </c>
      <c r="EM48" s="354">
        <v>6.06</v>
      </c>
      <c r="EN48" s="353">
        <v>5</v>
      </c>
      <c r="EO48" s="353">
        <v>6.4</v>
      </c>
      <c r="EP48" s="353">
        <v>5.6</v>
      </c>
      <c r="EQ48" s="353">
        <v>5.6</v>
      </c>
      <c r="ER48" s="353">
        <v>5.9</v>
      </c>
      <c r="ES48" s="353">
        <v>6.5</v>
      </c>
      <c r="ET48" s="353">
        <v>5.2</v>
      </c>
      <c r="EU48" s="353" t="s">
        <v>2720</v>
      </c>
      <c r="EV48" s="353" t="s">
        <v>2720</v>
      </c>
      <c r="EW48" s="353">
        <v>5.8</v>
      </c>
      <c r="EX48" s="353">
        <v>5.2</v>
      </c>
      <c r="EY48" s="353" t="s">
        <v>2720</v>
      </c>
      <c r="EZ48" s="353">
        <v>8.3000000000000007</v>
      </c>
      <c r="FA48" s="353">
        <v>6.4</v>
      </c>
      <c r="FB48" s="353">
        <v>6.4</v>
      </c>
      <c r="FC48" s="353">
        <v>6.1</v>
      </c>
      <c r="FD48" s="353" t="s">
        <v>2720</v>
      </c>
      <c r="FE48" s="353">
        <v>8</v>
      </c>
      <c r="FF48" s="353" t="s">
        <v>2720</v>
      </c>
      <c r="FG48" s="353" t="s">
        <v>2720</v>
      </c>
      <c r="FH48" s="353" t="s">
        <v>2720</v>
      </c>
      <c r="FI48" s="353">
        <v>6.9</v>
      </c>
      <c r="FJ48" s="353" t="s">
        <v>2720</v>
      </c>
      <c r="FK48" s="355">
        <v>6.18</v>
      </c>
      <c r="FM48" s="357"/>
    </row>
    <row r="49" spans="1:169" s="356" customFormat="1" ht="27.95" customHeight="1">
      <c r="A49" s="358">
        <v>39</v>
      </c>
      <c r="B49" s="359" t="s">
        <v>2121</v>
      </c>
      <c r="C49" s="360" t="s">
        <v>1736</v>
      </c>
      <c r="D49" s="361" t="s">
        <v>2122</v>
      </c>
      <c r="E49" s="362"/>
      <c r="F49" s="363">
        <v>0</v>
      </c>
      <c r="G49" s="364">
        <v>5</v>
      </c>
      <c r="H49" s="365">
        <v>5</v>
      </c>
      <c r="I49" s="366" t="s">
        <v>2720</v>
      </c>
      <c r="J49" s="365">
        <v>6.7</v>
      </c>
      <c r="K49" s="366" t="s">
        <v>2720</v>
      </c>
      <c r="L49" s="365">
        <v>6.6</v>
      </c>
      <c r="M49" s="366" t="s">
        <v>2720</v>
      </c>
      <c r="N49" s="365">
        <v>6.5</v>
      </c>
      <c r="O49" s="366" t="s">
        <v>2720</v>
      </c>
      <c r="P49" s="365">
        <v>6.4</v>
      </c>
      <c r="Q49" s="366" t="s">
        <v>2720</v>
      </c>
      <c r="R49" s="365">
        <v>8.1</v>
      </c>
      <c r="S49" s="366" t="s">
        <v>2720</v>
      </c>
      <c r="T49" s="365">
        <v>6.5</v>
      </c>
      <c r="U49" s="366" t="s">
        <v>2720</v>
      </c>
      <c r="V49" s="365" t="s">
        <v>2720</v>
      </c>
      <c r="W49" s="366" t="s">
        <v>2720</v>
      </c>
      <c r="X49" s="367" t="s">
        <v>2720</v>
      </c>
      <c r="Y49" s="368"/>
      <c r="Z49" s="331">
        <v>5.2</v>
      </c>
      <c r="AA49" s="332" t="s">
        <v>2720</v>
      </c>
      <c r="AB49" s="331">
        <v>5.3</v>
      </c>
      <c r="AC49" s="332" t="s">
        <v>2720</v>
      </c>
      <c r="AD49" s="331">
        <v>6.7</v>
      </c>
      <c r="AE49" s="332" t="s">
        <v>2720</v>
      </c>
      <c r="AF49" s="331">
        <v>7.7</v>
      </c>
      <c r="AG49" s="332" t="s">
        <v>2720</v>
      </c>
      <c r="AH49" s="331" t="s">
        <v>2720</v>
      </c>
      <c r="AI49" s="332" t="s">
        <v>2720</v>
      </c>
      <c r="AJ49" s="331">
        <v>6.4</v>
      </c>
      <c r="AK49" s="332" t="s">
        <v>2720</v>
      </c>
      <c r="AL49" s="331">
        <v>7</v>
      </c>
      <c r="AM49" s="333" t="s">
        <v>2720</v>
      </c>
      <c r="AN49" s="331">
        <v>6.2</v>
      </c>
      <c r="AO49" s="332" t="s">
        <v>2720</v>
      </c>
      <c r="AP49" s="331">
        <v>7.3</v>
      </c>
      <c r="AQ49" s="333" t="s">
        <v>2720</v>
      </c>
      <c r="AR49" s="331" t="s">
        <v>2720</v>
      </c>
      <c r="AS49" s="333" t="s">
        <v>2720</v>
      </c>
      <c r="AT49" s="331" t="s">
        <v>2720</v>
      </c>
      <c r="AU49" s="333" t="s">
        <v>2720</v>
      </c>
      <c r="AV49" s="331" t="s">
        <v>2720</v>
      </c>
      <c r="AW49" s="333" t="s">
        <v>2720</v>
      </c>
      <c r="AX49" s="331">
        <v>7.1</v>
      </c>
      <c r="AY49" s="368"/>
      <c r="AZ49" s="331" t="s">
        <v>2720</v>
      </c>
      <c r="BA49" s="368"/>
      <c r="BB49" s="334">
        <v>6.59</v>
      </c>
      <c r="BC49" s="335">
        <v>6.59</v>
      </c>
      <c r="BD49" s="336">
        <v>64.5</v>
      </c>
      <c r="BE49" s="369" t="s">
        <v>2764</v>
      </c>
      <c r="BF49" s="336" t="s">
        <v>2764</v>
      </c>
      <c r="BG49" s="370"/>
      <c r="BH49" s="339" t="s">
        <v>2720</v>
      </c>
      <c r="BI49" s="340">
        <v>39</v>
      </c>
      <c r="BJ49" s="341">
        <v>39</v>
      </c>
      <c r="BK49" s="341">
        <v>0</v>
      </c>
      <c r="BL49" s="341">
        <v>39</v>
      </c>
      <c r="BM49" s="342">
        <v>0</v>
      </c>
      <c r="BN49" s="371">
        <v>6.59</v>
      </c>
      <c r="BO49" s="372" t="s">
        <v>2758</v>
      </c>
      <c r="BP49" s="371">
        <v>6.59</v>
      </c>
      <c r="BQ49" s="372" t="s">
        <v>2758</v>
      </c>
      <c r="BR49" s="345" t="s">
        <v>2759</v>
      </c>
      <c r="BS49" s="373"/>
      <c r="BT49" s="347">
        <v>5</v>
      </c>
      <c r="BU49" s="348">
        <v>6.7</v>
      </c>
      <c r="BV49" s="348">
        <v>6.6</v>
      </c>
      <c r="BW49" s="348">
        <v>6.5</v>
      </c>
      <c r="BX49" s="349">
        <v>6.4</v>
      </c>
      <c r="BY49" s="349">
        <v>8.1</v>
      </c>
      <c r="BZ49" s="348">
        <v>6.5</v>
      </c>
      <c r="CA49" s="348" t="s">
        <v>2720</v>
      </c>
      <c r="CB49" s="348" t="s">
        <v>2720</v>
      </c>
      <c r="CC49" s="348">
        <v>5.2</v>
      </c>
      <c r="CD49" s="348">
        <v>5.3</v>
      </c>
      <c r="CE49" s="348">
        <v>6.7</v>
      </c>
      <c r="CF49" s="348">
        <v>7.7</v>
      </c>
      <c r="CG49" s="348" t="s">
        <v>2720</v>
      </c>
      <c r="CH49" s="348">
        <v>6.4</v>
      </c>
      <c r="CI49" s="348">
        <v>7</v>
      </c>
      <c r="CJ49" s="348">
        <v>6.2</v>
      </c>
      <c r="CK49" s="348">
        <v>7.3</v>
      </c>
      <c r="CL49" s="348" t="s">
        <v>2720</v>
      </c>
      <c r="CM49" s="349" t="s">
        <v>2720</v>
      </c>
      <c r="CN49" s="348" t="s">
        <v>2720</v>
      </c>
      <c r="CO49" s="348">
        <v>7.1</v>
      </c>
      <c r="CP49" s="348" t="s">
        <v>2720</v>
      </c>
      <c r="CQ49" s="350">
        <v>6.59</v>
      </c>
      <c r="CR49" s="348">
        <v>5</v>
      </c>
      <c r="CS49" s="348">
        <v>6.7</v>
      </c>
      <c r="CT49" s="348">
        <v>6.6</v>
      </c>
      <c r="CU49" s="348">
        <v>6.5</v>
      </c>
      <c r="CV49" s="348">
        <v>6.4</v>
      </c>
      <c r="CW49" s="348">
        <v>8.1</v>
      </c>
      <c r="CX49" s="348">
        <v>6.5</v>
      </c>
      <c r="CY49" s="348" t="s">
        <v>2720</v>
      </c>
      <c r="CZ49" s="348" t="s">
        <v>2720</v>
      </c>
      <c r="DA49" s="348">
        <v>5.2</v>
      </c>
      <c r="DB49" s="348">
        <v>5.3</v>
      </c>
      <c r="DC49" s="348">
        <v>6.7</v>
      </c>
      <c r="DD49" s="348">
        <v>7.7</v>
      </c>
      <c r="DE49" s="348" t="s">
        <v>2720</v>
      </c>
      <c r="DF49" s="348">
        <v>6.4</v>
      </c>
      <c r="DG49" s="348">
        <v>7</v>
      </c>
      <c r="DH49" s="348">
        <v>6.2</v>
      </c>
      <c r="DI49" s="348">
        <v>7.3</v>
      </c>
      <c r="DJ49" s="348" t="s">
        <v>2720</v>
      </c>
      <c r="DK49" s="348" t="s">
        <v>2720</v>
      </c>
      <c r="DL49" s="348" t="s">
        <v>2720</v>
      </c>
      <c r="DM49" s="348">
        <v>7.1</v>
      </c>
      <c r="DN49" s="348" t="s">
        <v>2720</v>
      </c>
      <c r="DO49" s="351">
        <v>6.59</v>
      </c>
      <c r="DP49" s="374">
        <v>5</v>
      </c>
      <c r="DQ49" s="353">
        <v>6.7</v>
      </c>
      <c r="DR49" s="353">
        <v>6.6</v>
      </c>
      <c r="DS49" s="353">
        <v>6.5</v>
      </c>
      <c r="DT49" s="353">
        <v>6.4</v>
      </c>
      <c r="DU49" s="353">
        <v>8.1</v>
      </c>
      <c r="DV49" s="353">
        <v>6.5</v>
      </c>
      <c r="DW49" s="353" t="s">
        <v>2720</v>
      </c>
      <c r="DX49" s="353" t="s">
        <v>2720</v>
      </c>
      <c r="DY49" s="353">
        <v>5.2</v>
      </c>
      <c r="DZ49" s="353">
        <v>5.3</v>
      </c>
      <c r="EA49" s="353">
        <v>6.7</v>
      </c>
      <c r="EB49" s="353">
        <v>7.7</v>
      </c>
      <c r="EC49" s="353" t="s">
        <v>2720</v>
      </c>
      <c r="ED49" s="353">
        <v>6.4</v>
      </c>
      <c r="EE49" s="353">
        <v>7</v>
      </c>
      <c r="EF49" s="353">
        <v>6.2</v>
      </c>
      <c r="EG49" s="353">
        <v>7.3</v>
      </c>
      <c r="EH49" s="353" t="s">
        <v>2720</v>
      </c>
      <c r="EI49" s="353" t="s">
        <v>2720</v>
      </c>
      <c r="EJ49" s="353" t="s">
        <v>2720</v>
      </c>
      <c r="EK49" s="353">
        <v>7.1</v>
      </c>
      <c r="EL49" s="353" t="s">
        <v>2720</v>
      </c>
      <c r="EM49" s="354">
        <v>6.59</v>
      </c>
      <c r="EN49" s="353">
        <v>5</v>
      </c>
      <c r="EO49" s="353">
        <v>6.7</v>
      </c>
      <c r="EP49" s="353">
        <v>6.6</v>
      </c>
      <c r="EQ49" s="353">
        <v>6.5</v>
      </c>
      <c r="ER49" s="353">
        <v>6.4</v>
      </c>
      <c r="ES49" s="353">
        <v>8.1</v>
      </c>
      <c r="ET49" s="353">
        <v>6.5</v>
      </c>
      <c r="EU49" s="353" t="s">
        <v>2720</v>
      </c>
      <c r="EV49" s="353" t="s">
        <v>2720</v>
      </c>
      <c r="EW49" s="353">
        <v>5.2</v>
      </c>
      <c r="EX49" s="353">
        <v>5.3</v>
      </c>
      <c r="EY49" s="353">
        <v>6.7</v>
      </c>
      <c r="EZ49" s="353">
        <v>7.7</v>
      </c>
      <c r="FA49" s="353" t="s">
        <v>2720</v>
      </c>
      <c r="FB49" s="353">
        <v>6.4</v>
      </c>
      <c r="FC49" s="353">
        <v>7</v>
      </c>
      <c r="FD49" s="353">
        <v>6.2</v>
      </c>
      <c r="FE49" s="353">
        <v>7.3</v>
      </c>
      <c r="FF49" s="353" t="s">
        <v>2720</v>
      </c>
      <c r="FG49" s="353" t="s">
        <v>2720</v>
      </c>
      <c r="FH49" s="353" t="s">
        <v>2720</v>
      </c>
      <c r="FI49" s="353">
        <v>7.1</v>
      </c>
      <c r="FJ49" s="353" t="s">
        <v>2720</v>
      </c>
      <c r="FK49" s="355">
        <v>6.59</v>
      </c>
      <c r="FM49" s="357"/>
    </row>
    <row r="50" spans="1:169" s="356" customFormat="1" ht="27.95" customHeight="1">
      <c r="A50" s="358">
        <v>40</v>
      </c>
      <c r="B50" s="359" t="s">
        <v>2124</v>
      </c>
      <c r="C50" s="360" t="s">
        <v>1439</v>
      </c>
      <c r="D50" s="361" t="s">
        <v>2125</v>
      </c>
      <c r="E50" s="362"/>
      <c r="F50" s="363">
        <v>0</v>
      </c>
      <c r="G50" s="364">
        <v>65</v>
      </c>
      <c r="H50" s="365">
        <v>5.2</v>
      </c>
      <c r="I50" s="366" t="s">
        <v>2720</v>
      </c>
      <c r="J50" s="365">
        <v>5.5</v>
      </c>
      <c r="K50" s="366" t="s">
        <v>2720</v>
      </c>
      <c r="L50" s="365">
        <v>5.8</v>
      </c>
      <c r="M50" s="366" t="s">
        <v>2720</v>
      </c>
      <c r="N50" s="365">
        <v>3.2</v>
      </c>
      <c r="O50" s="366">
        <v>3.2</v>
      </c>
      <c r="P50" s="365">
        <v>2.9</v>
      </c>
      <c r="Q50" s="366">
        <v>2.9</v>
      </c>
      <c r="R50" s="365">
        <v>7.5</v>
      </c>
      <c r="S50" s="366" t="s">
        <v>2720</v>
      </c>
      <c r="T50" s="365">
        <v>6.2</v>
      </c>
      <c r="U50" s="366" t="s">
        <v>2720</v>
      </c>
      <c r="V50" s="365" t="s">
        <v>2720</v>
      </c>
      <c r="W50" s="366" t="s">
        <v>2720</v>
      </c>
      <c r="X50" s="367" t="s">
        <v>2720</v>
      </c>
      <c r="Y50" s="368"/>
      <c r="Z50" s="331">
        <v>4.4000000000000004</v>
      </c>
      <c r="AA50" s="332">
        <v>5.9</v>
      </c>
      <c r="AB50" s="331">
        <v>3.4</v>
      </c>
      <c r="AC50" s="332" t="s">
        <v>2720</v>
      </c>
      <c r="AD50" s="331">
        <v>5.8</v>
      </c>
      <c r="AE50" s="332" t="s">
        <v>2720</v>
      </c>
      <c r="AF50" s="331">
        <v>7.7</v>
      </c>
      <c r="AG50" s="332" t="s">
        <v>2720</v>
      </c>
      <c r="AH50" s="331" t="s">
        <v>2720</v>
      </c>
      <c r="AI50" s="332" t="s">
        <v>2720</v>
      </c>
      <c r="AJ50" s="331">
        <v>6.1</v>
      </c>
      <c r="AK50" s="332" t="s">
        <v>2720</v>
      </c>
      <c r="AL50" s="331">
        <v>5.8</v>
      </c>
      <c r="AM50" s="333" t="s">
        <v>2720</v>
      </c>
      <c r="AN50" s="331">
        <v>5</v>
      </c>
      <c r="AO50" s="332" t="s">
        <v>2720</v>
      </c>
      <c r="AP50" s="331">
        <v>7.5</v>
      </c>
      <c r="AQ50" s="333" t="s">
        <v>2720</v>
      </c>
      <c r="AR50" s="331" t="s">
        <v>2720</v>
      </c>
      <c r="AS50" s="333" t="s">
        <v>2720</v>
      </c>
      <c r="AT50" s="331" t="s">
        <v>2720</v>
      </c>
      <c r="AU50" s="333" t="s">
        <v>2720</v>
      </c>
      <c r="AV50" s="331" t="s">
        <v>2720</v>
      </c>
      <c r="AW50" s="333" t="s">
        <v>2720</v>
      </c>
      <c r="AX50" s="331">
        <v>7.1</v>
      </c>
      <c r="AY50" s="368"/>
      <c r="AZ50" s="331" t="s">
        <v>2720</v>
      </c>
      <c r="BA50" s="368"/>
      <c r="BB50" s="334">
        <v>5.58</v>
      </c>
      <c r="BC50" s="335">
        <v>5.66</v>
      </c>
      <c r="BD50" s="336">
        <v>43.5</v>
      </c>
      <c r="BE50" s="369" t="s">
        <v>2760</v>
      </c>
      <c r="BF50" s="336" t="s">
        <v>2760</v>
      </c>
      <c r="BG50" s="370"/>
      <c r="BH50" s="339" t="s">
        <v>2720</v>
      </c>
      <c r="BI50" s="340">
        <v>39</v>
      </c>
      <c r="BJ50" s="341">
        <v>29</v>
      </c>
      <c r="BK50" s="341">
        <v>10</v>
      </c>
      <c r="BL50" s="341">
        <v>31</v>
      </c>
      <c r="BM50" s="342">
        <v>8</v>
      </c>
      <c r="BN50" s="371">
        <v>6.33</v>
      </c>
      <c r="BO50" s="372" t="s">
        <v>2758</v>
      </c>
      <c r="BP50" s="371">
        <v>6.3</v>
      </c>
      <c r="BQ50" s="372" t="s">
        <v>2758</v>
      </c>
      <c r="BR50" s="345" t="s">
        <v>2761</v>
      </c>
      <c r="BS50" s="373"/>
      <c r="BT50" s="347">
        <v>5.2</v>
      </c>
      <c r="BU50" s="348">
        <v>5.5</v>
      </c>
      <c r="BV50" s="348">
        <v>5.8</v>
      </c>
      <c r="BW50" s="348">
        <v>3.2</v>
      </c>
      <c r="BX50" s="349">
        <v>2.9</v>
      </c>
      <c r="BY50" s="349">
        <v>7.5</v>
      </c>
      <c r="BZ50" s="348">
        <v>6.2</v>
      </c>
      <c r="CA50" s="348" t="s">
        <v>2720</v>
      </c>
      <c r="CB50" s="348" t="s">
        <v>2720</v>
      </c>
      <c r="CC50" s="348">
        <v>4.4000000000000004</v>
      </c>
      <c r="CD50" s="348">
        <v>3.4</v>
      </c>
      <c r="CE50" s="348">
        <v>5.8</v>
      </c>
      <c r="CF50" s="348">
        <v>7.7</v>
      </c>
      <c r="CG50" s="348" t="s">
        <v>2720</v>
      </c>
      <c r="CH50" s="348">
        <v>6.1</v>
      </c>
      <c r="CI50" s="348">
        <v>5.8</v>
      </c>
      <c r="CJ50" s="348">
        <v>5</v>
      </c>
      <c r="CK50" s="348">
        <v>7.5</v>
      </c>
      <c r="CL50" s="348" t="s">
        <v>2720</v>
      </c>
      <c r="CM50" s="349" t="s">
        <v>2720</v>
      </c>
      <c r="CN50" s="348" t="s">
        <v>2720</v>
      </c>
      <c r="CO50" s="348">
        <v>7.1</v>
      </c>
      <c r="CP50" s="348" t="s">
        <v>2720</v>
      </c>
      <c r="CQ50" s="350">
        <v>5.58</v>
      </c>
      <c r="CR50" s="348">
        <v>5.2</v>
      </c>
      <c r="CS50" s="348">
        <v>5.5</v>
      </c>
      <c r="CT50" s="348">
        <v>5.8</v>
      </c>
      <c r="CU50" s="348" t="s">
        <v>2720</v>
      </c>
      <c r="CV50" s="348" t="s">
        <v>2720</v>
      </c>
      <c r="CW50" s="348">
        <v>7.5</v>
      </c>
      <c r="CX50" s="348">
        <v>6.2</v>
      </c>
      <c r="CY50" s="348" t="s">
        <v>2720</v>
      </c>
      <c r="CZ50" s="348" t="s">
        <v>2720</v>
      </c>
      <c r="DA50" s="348" t="s">
        <v>2720</v>
      </c>
      <c r="DB50" s="348" t="s">
        <v>2720</v>
      </c>
      <c r="DC50" s="348">
        <v>5.8</v>
      </c>
      <c r="DD50" s="348">
        <v>7.7</v>
      </c>
      <c r="DE50" s="348" t="s">
        <v>2720</v>
      </c>
      <c r="DF50" s="348">
        <v>6.1</v>
      </c>
      <c r="DG50" s="348">
        <v>5.8</v>
      </c>
      <c r="DH50" s="348">
        <v>5</v>
      </c>
      <c r="DI50" s="348">
        <v>7.5</v>
      </c>
      <c r="DJ50" s="348" t="s">
        <v>2720</v>
      </c>
      <c r="DK50" s="348" t="s">
        <v>2720</v>
      </c>
      <c r="DL50" s="348" t="s">
        <v>2720</v>
      </c>
      <c r="DM50" s="348">
        <v>7.1</v>
      </c>
      <c r="DN50" s="348" t="s">
        <v>2720</v>
      </c>
      <c r="DO50" s="351">
        <v>6.33</v>
      </c>
      <c r="DP50" s="374">
        <v>5.2</v>
      </c>
      <c r="DQ50" s="353">
        <v>5.5</v>
      </c>
      <c r="DR50" s="353">
        <v>5.8</v>
      </c>
      <c r="DS50" s="353">
        <v>3.2</v>
      </c>
      <c r="DT50" s="353">
        <v>2.9</v>
      </c>
      <c r="DU50" s="353">
        <v>7.5</v>
      </c>
      <c r="DV50" s="353">
        <v>6.2</v>
      </c>
      <c r="DW50" s="353" t="s">
        <v>2720</v>
      </c>
      <c r="DX50" s="353" t="s">
        <v>2720</v>
      </c>
      <c r="DY50" s="353">
        <v>5.9</v>
      </c>
      <c r="DZ50" s="353">
        <v>3.4</v>
      </c>
      <c r="EA50" s="353">
        <v>5.8</v>
      </c>
      <c r="EB50" s="353">
        <v>7.7</v>
      </c>
      <c r="EC50" s="353" t="s">
        <v>2720</v>
      </c>
      <c r="ED50" s="353">
        <v>6.1</v>
      </c>
      <c r="EE50" s="353">
        <v>5.8</v>
      </c>
      <c r="EF50" s="353">
        <v>5</v>
      </c>
      <c r="EG50" s="353">
        <v>7.5</v>
      </c>
      <c r="EH50" s="353" t="s">
        <v>2720</v>
      </c>
      <c r="EI50" s="353" t="s">
        <v>2720</v>
      </c>
      <c r="EJ50" s="353" t="s">
        <v>2720</v>
      </c>
      <c r="EK50" s="353">
        <v>7.1</v>
      </c>
      <c r="EL50" s="353" t="s">
        <v>2720</v>
      </c>
      <c r="EM50" s="354">
        <v>5.66</v>
      </c>
      <c r="EN50" s="353">
        <v>5.2</v>
      </c>
      <c r="EO50" s="353">
        <v>5.5</v>
      </c>
      <c r="EP50" s="353">
        <v>5.8</v>
      </c>
      <c r="EQ50" s="353" t="s">
        <v>2720</v>
      </c>
      <c r="ER50" s="353" t="s">
        <v>2720</v>
      </c>
      <c r="ES50" s="353">
        <v>7.5</v>
      </c>
      <c r="ET50" s="353">
        <v>6.2</v>
      </c>
      <c r="EU50" s="353" t="s">
        <v>2720</v>
      </c>
      <c r="EV50" s="353" t="s">
        <v>2720</v>
      </c>
      <c r="EW50" s="353">
        <v>5.9</v>
      </c>
      <c r="EX50" s="353" t="s">
        <v>2720</v>
      </c>
      <c r="EY50" s="353">
        <v>5.8</v>
      </c>
      <c r="EZ50" s="353">
        <v>7.7</v>
      </c>
      <c r="FA50" s="353" t="s">
        <v>2720</v>
      </c>
      <c r="FB50" s="353">
        <v>6.1</v>
      </c>
      <c r="FC50" s="353">
        <v>5.8</v>
      </c>
      <c r="FD50" s="353">
        <v>5</v>
      </c>
      <c r="FE50" s="353">
        <v>7.5</v>
      </c>
      <c r="FF50" s="353" t="s">
        <v>2720</v>
      </c>
      <c r="FG50" s="353" t="s">
        <v>2720</v>
      </c>
      <c r="FH50" s="353" t="s">
        <v>2720</v>
      </c>
      <c r="FI50" s="353">
        <v>7.1</v>
      </c>
      <c r="FJ50" s="353" t="s">
        <v>2720</v>
      </c>
      <c r="FK50" s="355">
        <v>6.3</v>
      </c>
      <c r="FM50" s="357"/>
    </row>
    <row r="51" spans="1:169" s="356" customFormat="1" ht="27.95" customHeight="1">
      <c r="A51" s="358">
        <v>41</v>
      </c>
      <c r="B51" s="359" t="s">
        <v>2773</v>
      </c>
      <c r="C51" s="360" t="s">
        <v>2774</v>
      </c>
      <c r="D51" s="361" t="s">
        <v>2126</v>
      </c>
      <c r="E51" s="362"/>
      <c r="F51" s="363">
        <v>1</v>
      </c>
      <c r="G51" s="364">
        <v>63</v>
      </c>
      <c r="H51" s="365">
        <v>1.3</v>
      </c>
      <c r="I51" s="366" t="s">
        <v>2720</v>
      </c>
      <c r="J51" s="365">
        <v>3.7</v>
      </c>
      <c r="K51" s="366" t="s">
        <v>2720</v>
      </c>
      <c r="L51" s="365">
        <v>3.4</v>
      </c>
      <c r="M51" s="366" t="s">
        <v>2720</v>
      </c>
      <c r="N51" s="365">
        <v>2.2000000000000002</v>
      </c>
      <c r="O51" s="366" t="s">
        <v>2720</v>
      </c>
      <c r="P51" s="365">
        <v>5.4</v>
      </c>
      <c r="Q51" s="366" t="s">
        <v>2720</v>
      </c>
      <c r="R51" s="365">
        <v>3.9</v>
      </c>
      <c r="S51" s="366" t="s">
        <v>2720</v>
      </c>
      <c r="T51" s="365">
        <v>3.5</v>
      </c>
      <c r="U51" s="366" t="s">
        <v>2720</v>
      </c>
      <c r="V51" s="365" t="s">
        <v>2720</v>
      </c>
      <c r="W51" s="366" t="s">
        <v>2720</v>
      </c>
      <c r="X51" s="367" t="s">
        <v>2720</v>
      </c>
      <c r="Y51" s="368"/>
      <c r="Z51" s="331">
        <v>0</v>
      </c>
      <c r="AA51" s="332" t="s">
        <v>2720</v>
      </c>
      <c r="AB51" s="331">
        <v>0</v>
      </c>
      <c r="AC51" s="332" t="s">
        <v>2720</v>
      </c>
      <c r="AD51" s="331" t="s">
        <v>2720</v>
      </c>
      <c r="AE51" s="332" t="s">
        <v>2720</v>
      </c>
      <c r="AF51" s="331" t="s">
        <v>2720</v>
      </c>
      <c r="AG51" s="332" t="s">
        <v>2720</v>
      </c>
      <c r="AH51" s="331" t="s">
        <v>2720</v>
      </c>
      <c r="AI51" s="332" t="s">
        <v>2720</v>
      </c>
      <c r="AJ51" s="331">
        <v>0</v>
      </c>
      <c r="AK51" s="332" t="s">
        <v>2720</v>
      </c>
      <c r="AL51" s="331">
        <v>0</v>
      </c>
      <c r="AM51" s="333" t="s">
        <v>2720</v>
      </c>
      <c r="AN51" s="331">
        <v>0</v>
      </c>
      <c r="AO51" s="332" t="s">
        <v>2720</v>
      </c>
      <c r="AP51" s="331">
        <v>0</v>
      </c>
      <c r="AQ51" s="333" t="s">
        <v>2720</v>
      </c>
      <c r="AR51" s="331" t="s">
        <v>2720</v>
      </c>
      <c r="AS51" s="333" t="s">
        <v>2720</v>
      </c>
      <c r="AT51" s="331" t="s">
        <v>2720</v>
      </c>
      <c r="AU51" s="333" t="s">
        <v>2720</v>
      </c>
      <c r="AV51" s="331" t="s">
        <v>2720</v>
      </c>
      <c r="AW51" s="333" t="s">
        <v>2720</v>
      </c>
      <c r="AX51" s="331">
        <v>0</v>
      </c>
      <c r="AY51" s="368"/>
      <c r="AZ51" s="331" t="s">
        <v>2720</v>
      </c>
      <c r="BA51" s="368"/>
      <c r="BB51" s="334">
        <v>1.97</v>
      </c>
      <c r="BC51" s="335">
        <v>1.97</v>
      </c>
      <c r="BD51" s="336">
        <v>37.5</v>
      </c>
      <c r="BE51" s="369" t="s">
        <v>2768</v>
      </c>
      <c r="BF51" s="336" t="s">
        <v>2768</v>
      </c>
      <c r="BG51" s="370"/>
      <c r="BH51" s="339" t="s">
        <v>2769</v>
      </c>
      <c r="BI51" s="340">
        <v>35</v>
      </c>
      <c r="BJ51" s="341">
        <v>3</v>
      </c>
      <c r="BK51" s="341">
        <v>32</v>
      </c>
      <c r="BL51" s="341">
        <v>3</v>
      </c>
      <c r="BM51" s="342">
        <v>32</v>
      </c>
      <c r="BN51" s="371">
        <v>5.4</v>
      </c>
      <c r="BO51" s="372" t="s">
        <v>2765</v>
      </c>
      <c r="BP51" s="371">
        <v>5.4</v>
      </c>
      <c r="BQ51" s="372" t="s">
        <v>2765</v>
      </c>
      <c r="BR51" s="345" t="s">
        <v>2761</v>
      </c>
      <c r="BS51" s="373"/>
      <c r="BT51" s="347">
        <v>1.3</v>
      </c>
      <c r="BU51" s="348">
        <v>3.7</v>
      </c>
      <c r="BV51" s="348">
        <v>3.4</v>
      </c>
      <c r="BW51" s="348">
        <v>2.2000000000000002</v>
      </c>
      <c r="BX51" s="349">
        <v>5.4</v>
      </c>
      <c r="BY51" s="349">
        <v>3.9</v>
      </c>
      <c r="BZ51" s="348">
        <v>3.5</v>
      </c>
      <c r="CA51" s="348" t="s">
        <v>2720</v>
      </c>
      <c r="CB51" s="348" t="s">
        <v>2720</v>
      </c>
      <c r="CC51" s="348">
        <v>0</v>
      </c>
      <c r="CD51" s="348">
        <v>0</v>
      </c>
      <c r="CE51" s="348" t="s">
        <v>2720</v>
      </c>
      <c r="CF51" s="348" t="s">
        <v>2720</v>
      </c>
      <c r="CG51" s="348" t="s">
        <v>2720</v>
      </c>
      <c r="CH51" s="348">
        <v>0</v>
      </c>
      <c r="CI51" s="348">
        <v>0</v>
      </c>
      <c r="CJ51" s="348">
        <v>0</v>
      </c>
      <c r="CK51" s="348">
        <v>0</v>
      </c>
      <c r="CL51" s="348" t="s">
        <v>2720</v>
      </c>
      <c r="CM51" s="349" t="s">
        <v>2720</v>
      </c>
      <c r="CN51" s="348" t="s">
        <v>2720</v>
      </c>
      <c r="CO51" s="348">
        <v>0</v>
      </c>
      <c r="CP51" s="348" t="s">
        <v>2720</v>
      </c>
      <c r="CQ51" s="350">
        <v>1.97</v>
      </c>
      <c r="CR51" s="348" t="s">
        <v>2720</v>
      </c>
      <c r="CS51" s="348" t="s">
        <v>2720</v>
      </c>
      <c r="CT51" s="348" t="s">
        <v>2720</v>
      </c>
      <c r="CU51" s="348" t="s">
        <v>2720</v>
      </c>
      <c r="CV51" s="348">
        <v>5.4</v>
      </c>
      <c r="CW51" s="348" t="s">
        <v>2720</v>
      </c>
      <c r="CX51" s="348" t="s">
        <v>2720</v>
      </c>
      <c r="CY51" s="348" t="s">
        <v>2720</v>
      </c>
      <c r="CZ51" s="348" t="s">
        <v>2720</v>
      </c>
      <c r="DA51" s="348" t="s">
        <v>2720</v>
      </c>
      <c r="DB51" s="348" t="s">
        <v>2720</v>
      </c>
      <c r="DC51" s="348" t="s">
        <v>2720</v>
      </c>
      <c r="DD51" s="348" t="s">
        <v>2720</v>
      </c>
      <c r="DE51" s="348" t="s">
        <v>2720</v>
      </c>
      <c r="DF51" s="348" t="s">
        <v>2720</v>
      </c>
      <c r="DG51" s="348" t="s">
        <v>2720</v>
      </c>
      <c r="DH51" s="348" t="s">
        <v>2720</v>
      </c>
      <c r="DI51" s="348" t="s">
        <v>2720</v>
      </c>
      <c r="DJ51" s="348" t="s">
        <v>2720</v>
      </c>
      <c r="DK51" s="348" t="s">
        <v>2720</v>
      </c>
      <c r="DL51" s="348" t="s">
        <v>2720</v>
      </c>
      <c r="DM51" s="348" t="s">
        <v>2720</v>
      </c>
      <c r="DN51" s="348" t="s">
        <v>2720</v>
      </c>
      <c r="DO51" s="351">
        <v>5.4</v>
      </c>
      <c r="DP51" s="374">
        <v>1.3</v>
      </c>
      <c r="DQ51" s="353">
        <v>3.7</v>
      </c>
      <c r="DR51" s="353">
        <v>3.4</v>
      </c>
      <c r="DS51" s="353">
        <v>2.2000000000000002</v>
      </c>
      <c r="DT51" s="353">
        <v>5.4</v>
      </c>
      <c r="DU51" s="353">
        <v>3.9</v>
      </c>
      <c r="DV51" s="353">
        <v>3.5</v>
      </c>
      <c r="DW51" s="353" t="s">
        <v>2720</v>
      </c>
      <c r="DX51" s="353" t="s">
        <v>2720</v>
      </c>
      <c r="DY51" s="353">
        <v>0</v>
      </c>
      <c r="DZ51" s="353">
        <v>0</v>
      </c>
      <c r="EA51" s="353" t="s">
        <v>2720</v>
      </c>
      <c r="EB51" s="353" t="s">
        <v>2720</v>
      </c>
      <c r="EC51" s="353" t="s">
        <v>2720</v>
      </c>
      <c r="ED51" s="353">
        <v>0</v>
      </c>
      <c r="EE51" s="353">
        <v>0</v>
      </c>
      <c r="EF51" s="353">
        <v>0</v>
      </c>
      <c r="EG51" s="353">
        <v>0</v>
      </c>
      <c r="EH51" s="353" t="s">
        <v>2720</v>
      </c>
      <c r="EI51" s="353" t="s">
        <v>2720</v>
      </c>
      <c r="EJ51" s="353" t="s">
        <v>2720</v>
      </c>
      <c r="EK51" s="353">
        <v>0</v>
      </c>
      <c r="EL51" s="353" t="s">
        <v>2720</v>
      </c>
      <c r="EM51" s="354">
        <v>1.97</v>
      </c>
      <c r="EN51" s="353" t="s">
        <v>2720</v>
      </c>
      <c r="EO51" s="353" t="s">
        <v>2720</v>
      </c>
      <c r="EP51" s="353" t="s">
        <v>2720</v>
      </c>
      <c r="EQ51" s="353" t="s">
        <v>2720</v>
      </c>
      <c r="ER51" s="353">
        <v>5.4</v>
      </c>
      <c r="ES51" s="353" t="s">
        <v>2720</v>
      </c>
      <c r="ET51" s="353" t="s">
        <v>2720</v>
      </c>
      <c r="EU51" s="353" t="s">
        <v>2720</v>
      </c>
      <c r="EV51" s="353" t="s">
        <v>2720</v>
      </c>
      <c r="EW51" s="353" t="s">
        <v>2720</v>
      </c>
      <c r="EX51" s="353" t="s">
        <v>2720</v>
      </c>
      <c r="EY51" s="353" t="s">
        <v>2720</v>
      </c>
      <c r="EZ51" s="353" t="s">
        <v>2720</v>
      </c>
      <c r="FA51" s="353" t="s">
        <v>2720</v>
      </c>
      <c r="FB51" s="353" t="s">
        <v>2720</v>
      </c>
      <c r="FC51" s="353" t="s">
        <v>2720</v>
      </c>
      <c r="FD51" s="353" t="s">
        <v>2720</v>
      </c>
      <c r="FE51" s="353" t="s">
        <v>2720</v>
      </c>
      <c r="FF51" s="353" t="s">
        <v>2720</v>
      </c>
      <c r="FG51" s="353" t="s">
        <v>2720</v>
      </c>
      <c r="FH51" s="353" t="s">
        <v>2720</v>
      </c>
      <c r="FI51" s="353" t="s">
        <v>2720</v>
      </c>
      <c r="FJ51" s="353" t="s">
        <v>2720</v>
      </c>
      <c r="FK51" s="355">
        <v>5.4</v>
      </c>
      <c r="FM51" s="357"/>
    </row>
    <row r="52" spans="1:169" s="356" customFormat="1" ht="27.95" customHeight="1">
      <c r="A52" s="358">
        <v>42</v>
      </c>
      <c r="B52" s="359" t="s">
        <v>2128</v>
      </c>
      <c r="C52" s="360" t="s">
        <v>2129</v>
      </c>
      <c r="D52" s="361" t="s">
        <v>1486</v>
      </c>
      <c r="E52" s="362"/>
      <c r="F52" s="363">
        <v>2</v>
      </c>
      <c r="G52" s="364">
        <v>47</v>
      </c>
      <c r="H52" s="365">
        <v>6.2</v>
      </c>
      <c r="I52" s="366" t="s">
        <v>2720</v>
      </c>
      <c r="J52" s="365">
        <v>5.9</v>
      </c>
      <c r="K52" s="366" t="s">
        <v>2720</v>
      </c>
      <c r="L52" s="365">
        <v>5.0999999999999996</v>
      </c>
      <c r="M52" s="366" t="s">
        <v>2720</v>
      </c>
      <c r="N52" s="365">
        <v>4.8</v>
      </c>
      <c r="O52" s="366">
        <v>4.8</v>
      </c>
      <c r="P52" s="365">
        <v>5.5</v>
      </c>
      <c r="Q52" s="366" t="s">
        <v>2720</v>
      </c>
      <c r="R52" s="365">
        <v>5.7</v>
      </c>
      <c r="S52" s="366" t="s">
        <v>2720</v>
      </c>
      <c r="T52" s="365">
        <v>6.2</v>
      </c>
      <c r="U52" s="366" t="s">
        <v>2720</v>
      </c>
      <c r="V52" s="365" t="s">
        <v>2720</v>
      </c>
      <c r="W52" s="366" t="s">
        <v>2720</v>
      </c>
      <c r="X52" s="367" t="s">
        <v>2720</v>
      </c>
      <c r="Y52" s="368"/>
      <c r="Z52" s="331">
        <v>7</v>
      </c>
      <c r="AA52" s="332" t="s">
        <v>2720</v>
      </c>
      <c r="AB52" s="331">
        <v>5.5</v>
      </c>
      <c r="AC52" s="332" t="s">
        <v>2720</v>
      </c>
      <c r="AD52" s="331">
        <v>6.9</v>
      </c>
      <c r="AE52" s="332" t="s">
        <v>2720</v>
      </c>
      <c r="AF52" s="331">
        <v>7.6</v>
      </c>
      <c r="AG52" s="332" t="s">
        <v>2720</v>
      </c>
      <c r="AH52" s="331" t="s">
        <v>2720</v>
      </c>
      <c r="AI52" s="332" t="s">
        <v>2720</v>
      </c>
      <c r="AJ52" s="331">
        <v>6.7</v>
      </c>
      <c r="AK52" s="332" t="s">
        <v>2720</v>
      </c>
      <c r="AL52" s="331">
        <v>7</v>
      </c>
      <c r="AM52" s="333" t="s">
        <v>2720</v>
      </c>
      <c r="AN52" s="331">
        <v>5</v>
      </c>
      <c r="AO52" s="332" t="s">
        <v>2720</v>
      </c>
      <c r="AP52" s="331">
        <v>7</v>
      </c>
      <c r="AQ52" s="333" t="s">
        <v>2720</v>
      </c>
      <c r="AR52" s="331" t="s">
        <v>2720</v>
      </c>
      <c r="AS52" s="333" t="s">
        <v>2720</v>
      </c>
      <c r="AT52" s="331" t="s">
        <v>2720</v>
      </c>
      <c r="AU52" s="333" t="s">
        <v>2720</v>
      </c>
      <c r="AV52" s="331" t="s">
        <v>2720</v>
      </c>
      <c r="AW52" s="333" t="s">
        <v>2720</v>
      </c>
      <c r="AX52" s="331">
        <v>5.7</v>
      </c>
      <c r="AY52" s="368"/>
      <c r="AZ52" s="331" t="s">
        <v>2720</v>
      </c>
      <c r="BA52" s="368"/>
      <c r="BB52" s="334">
        <v>6.05</v>
      </c>
      <c r="BC52" s="335">
        <v>6.05</v>
      </c>
      <c r="BD52" s="336">
        <v>53</v>
      </c>
      <c r="BE52" s="369" t="s">
        <v>2764</v>
      </c>
      <c r="BF52" s="336" t="s">
        <v>2764</v>
      </c>
      <c r="BG52" s="370"/>
      <c r="BH52" s="339" t="s">
        <v>2720</v>
      </c>
      <c r="BI52" s="340">
        <v>39</v>
      </c>
      <c r="BJ52" s="341">
        <v>37</v>
      </c>
      <c r="BK52" s="341">
        <v>2</v>
      </c>
      <c r="BL52" s="341">
        <v>37</v>
      </c>
      <c r="BM52" s="342">
        <v>2</v>
      </c>
      <c r="BN52" s="371">
        <v>6.11</v>
      </c>
      <c r="BO52" s="372" t="s">
        <v>2758</v>
      </c>
      <c r="BP52" s="371">
        <v>6.11</v>
      </c>
      <c r="BQ52" s="372" t="s">
        <v>2758</v>
      </c>
      <c r="BR52" s="345" t="s">
        <v>2759</v>
      </c>
      <c r="BS52" s="373"/>
      <c r="BT52" s="347">
        <v>6.2</v>
      </c>
      <c r="BU52" s="348">
        <v>5.9</v>
      </c>
      <c r="BV52" s="348">
        <v>5.0999999999999996</v>
      </c>
      <c r="BW52" s="348">
        <v>4.8</v>
      </c>
      <c r="BX52" s="349">
        <v>5.5</v>
      </c>
      <c r="BY52" s="349">
        <v>5.7</v>
      </c>
      <c r="BZ52" s="348">
        <v>6.2</v>
      </c>
      <c r="CA52" s="348" t="s">
        <v>2720</v>
      </c>
      <c r="CB52" s="348" t="s">
        <v>2720</v>
      </c>
      <c r="CC52" s="348">
        <v>7</v>
      </c>
      <c r="CD52" s="348">
        <v>5.5</v>
      </c>
      <c r="CE52" s="348">
        <v>6.9</v>
      </c>
      <c r="CF52" s="348">
        <v>7.6</v>
      </c>
      <c r="CG52" s="348" t="s">
        <v>2720</v>
      </c>
      <c r="CH52" s="348">
        <v>6.7</v>
      </c>
      <c r="CI52" s="348">
        <v>7</v>
      </c>
      <c r="CJ52" s="348">
        <v>5</v>
      </c>
      <c r="CK52" s="348">
        <v>7</v>
      </c>
      <c r="CL52" s="348" t="s">
        <v>2720</v>
      </c>
      <c r="CM52" s="349" t="s">
        <v>2720</v>
      </c>
      <c r="CN52" s="348" t="s">
        <v>2720</v>
      </c>
      <c r="CO52" s="348">
        <v>5.7</v>
      </c>
      <c r="CP52" s="348" t="s">
        <v>2720</v>
      </c>
      <c r="CQ52" s="350">
        <v>6.05</v>
      </c>
      <c r="CR52" s="348">
        <v>6.2</v>
      </c>
      <c r="CS52" s="348">
        <v>5.9</v>
      </c>
      <c r="CT52" s="348">
        <v>5.0999999999999996</v>
      </c>
      <c r="CU52" s="348" t="s">
        <v>2720</v>
      </c>
      <c r="CV52" s="348">
        <v>5.5</v>
      </c>
      <c r="CW52" s="348">
        <v>5.7</v>
      </c>
      <c r="CX52" s="348">
        <v>6.2</v>
      </c>
      <c r="CY52" s="348" t="s">
        <v>2720</v>
      </c>
      <c r="CZ52" s="348" t="s">
        <v>2720</v>
      </c>
      <c r="DA52" s="348">
        <v>7</v>
      </c>
      <c r="DB52" s="348">
        <v>5.5</v>
      </c>
      <c r="DC52" s="348">
        <v>6.9</v>
      </c>
      <c r="DD52" s="348">
        <v>7.6</v>
      </c>
      <c r="DE52" s="348" t="s">
        <v>2720</v>
      </c>
      <c r="DF52" s="348">
        <v>6.7</v>
      </c>
      <c r="DG52" s="348">
        <v>7</v>
      </c>
      <c r="DH52" s="348">
        <v>5</v>
      </c>
      <c r="DI52" s="348">
        <v>7</v>
      </c>
      <c r="DJ52" s="348" t="s">
        <v>2720</v>
      </c>
      <c r="DK52" s="348" t="s">
        <v>2720</v>
      </c>
      <c r="DL52" s="348" t="s">
        <v>2720</v>
      </c>
      <c r="DM52" s="348">
        <v>5.7</v>
      </c>
      <c r="DN52" s="348" t="s">
        <v>2720</v>
      </c>
      <c r="DO52" s="351">
        <v>6.11</v>
      </c>
      <c r="DP52" s="374">
        <v>6.2</v>
      </c>
      <c r="DQ52" s="353">
        <v>5.9</v>
      </c>
      <c r="DR52" s="353">
        <v>5.0999999999999996</v>
      </c>
      <c r="DS52" s="353">
        <v>4.8</v>
      </c>
      <c r="DT52" s="353">
        <v>5.5</v>
      </c>
      <c r="DU52" s="353">
        <v>5.7</v>
      </c>
      <c r="DV52" s="353">
        <v>6.2</v>
      </c>
      <c r="DW52" s="353" t="s">
        <v>2720</v>
      </c>
      <c r="DX52" s="353" t="s">
        <v>2720</v>
      </c>
      <c r="DY52" s="353">
        <v>7</v>
      </c>
      <c r="DZ52" s="353">
        <v>5.5</v>
      </c>
      <c r="EA52" s="353">
        <v>6.9</v>
      </c>
      <c r="EB52" s="353">
        <v>7.6</v>
      </c>
      <c r="EC52" s="353" t="s">
        <v>2720</v>
      </c>
      <c r="ED52" s="353">
        <v>6.7</v>
      </c>
      <c r="EE52" s="353">
        <v>7</v>
      </c>
      <c r="EF52" s="353">
        <v>5</v>
      </c>
      <c r="EG52" s="353">
        <v>7</v>
      </c>
      <c r="EH52" s="353" t="s">
        <v>2720</v>
      </c>
      <c r="EI52" s="353" t="s">
        <v>2720</v>
      </c>
      <c r="EJ52" s="353" t="s">
        <v>2720</v>
      </c>
      <c r="EK52" s="353">
        <v>5.7</v>
      </c>
      <c r="EL52" s="353" t="s">
        <v>2720</v>
      </c>
      <c r="EM52" s="354">
        <v>6.05</v>
      </c>
      <c r="EN52" s="353">
        <v>6.2</v>
      </c>
      <c r="EO52" s="353">
        <v>5.9</v>
      </c>
      <c r="EP52" s="353">
        <v>5.0999999999999996</v>
      </c>
      <c r="EQ52" s="353" t="s">
        <v>2720</v>
      </c>
      <c r="ER52" s="353">
        <v>5.5</v>
      </c>
      <c r="ES52" s="353">
        <v>5.7</v>
      </c>
      <c r="ET52" s="353">
        <v>6.2</v>
      </c>
      <c r="EU52" s="353" t="s">
        <v>2720</v>
      </c>
      <c r="EV52" s="353" t="s">
        <v>2720</v>
      </c>
      <c r="EW52" s="353">
        <v>7</v>
      </c>
      <c r="EX52" s="353">
        <v>5.5</v>
      </c>
      <c r="EY52" s="353">
        <v>6.9</v>
      </c>
      <c r="EZ52" s="353">
        <v>7.6</v>
      </c>
      <c r="FA52" s="353" t="s">
        <v>2720</v>
      </c>
      <c r="FB52" s="353">
        <v>6.7</v>
      </c>
      <c r="FC52" s="353">
        <v>7</v>
      </c>
      <c r="FD52" s="353">
        <v>5</v>
      </c>
      <c r="FE52" s="353">
        <v>7</v>
      </c>
      <c r="FF52" s="353" t="s">
        <v>2720</v>
      </c>
      <c r="FG52" s="353" t="s">
        <v>2720</v>
      </c>
      <c r="FH52" s="353" t="s">
        <v>2720</v>
      </c>
      <c r="FI52" s="353">
        <v>5.7</v>
      </c>
      <c r="FJ52" s="353" t="s">
        <v>2720</v>
      </c>
      <c r="FK52" s="355">
        <v>6.11</v>
      </c>
      <c r="FM52" s="357"/>
    </row>
    <row r="53" spans="1:169" hidden="1">
      <c r="A53" s="150" t="s">
        <v>2720</v>
      </c>
      <c r="B53" s="375" t="s">
        <v>2720</v>
      </c>
      <c r="C53" s="376" t="s">
        <v>2720</v>
      </c>
      <c r="D53" s="377" t="s">
        <v>2720</v>
      </c>
      <c r="E53" s="378"/>
      <c r="F53" s="379" t="s">
        <v>2720</v>
      </c>
      <c r="G53" s="380" t="s">
        <v>2720</v>
      </c>
      <c r="H53" s="381" t="s">
        <v>2720</v>
      </c>
      <c r="I53" s="382" t="s">
        <v>2720</v>
      </c>
      <c r="J53" s="381" t="s">
        <v>2720</v>
      </c>
      <c r="K53" s="382" t="s">
        <v>2720</v>
      </c>
      <c r="L53" s="381" t="s">
        <v>2720</v>
      </c>
      <c r="M53" s="382" t="s">
        <v>2720</v>
      </c>
      <c r="N53" s="381" t="s">
        <v>2720</v>
      </c>
      <c r="O53" s="382" t="s">
        <v>2720</v>
      </c>
      <c r="P53" s="381" t="s">
        <v>2720</v>
      </c>
      <c r="Q53" s="382" t="s">
        <v>2720</v>
      </c>
      <c r="R53" s="381" t="s">
        <v>2720</v>
      </c>
      <c r="S53" s="382" t="s">
        <v>2720</v>
      </c>
      <c r="T53" s="381" t="s">
        <v>2720</v>
      </c>
      <c r="U53" s="382" t="s">
        <v>2720</v>
      </c>
      <c r="V53" s="381" t="s">
        <v>2720</v>
      </c>
      <c r="W53" s="382" t="s">
        <v>2720</v>
      </c>
      <c r="X53" s="383" t="s">
        <v>2720</v>
      </c>
      <c r="Y53" s="384"/>
      <c r="Z53" s="385" t="s">
        <v>2720</v>
      </c>
      <c r="AA53" s="386" t="s">
        <v>2720</v>
      </c>
      <c r="AB53" s="385" t="s">
        <v>2720</v>
      </c>
      <c r="AC53" s="386" t="s">
        <v>2720</v>
      </c>
      <c r="AD53" s="385" t="s">
        <v>2720</v>
      </c>
      <c r="AE53" s="386" t="s">
        <v>2720</v>
      </c>
      <c r="AF53" s="385" t="s">
        <v>2720</v>
      </c>
      <c r="AG53" s="386" t="s">
        <v>2720</v>
      </c>
      <c r="AH53" s="385" t="s">
        <v>2720</v>
      </c>
      <c r="AI53" s="386" t="s">
        <v>2720</v>
      </c>
      <c r="AJ53" s="385" t="s">
        <v>2720</v>
      </c>
      <c r="AK53" s="386" t="s">
        <v>2720</v>
      </c>
      <c r="AL53" s="385" t="s">
        <v>2720</v>
      </c>
      <c r="AM53" s="387" t="s">
        <v>2720</v>
      </c>
      <c r="AN53" s="385" t="s">
        <v>2720</v>
      </c>
      <c r="AO53" s="386" t="s">
        <v>2720</v>
      </c>
      <c r="AP53" s="385" t="s">
        <v>2720</v>
      </c>
      <c r="AQ53" s="387" t="s">
        <v>2720</v>
      </c>
      <c r="AR53" s="385" t="s">
        <v>2720</v>
      </c>
      <c r="AS53" s="387" t="s">
        <v>2720</v>
      </c>
      <c r="AT53" s="385" t="s">
        <v>2720</v>
      </c>
      <c r="AU53" s="387" t="s">
        <v>2720</v>
      </c>
      <c r="AV53" s="385" t="s">
        <v>2720</v>
      </c>
      <c r="AW53" s="387" t="s">
        <v>2720</v>
      </c>
      <c r="AX53" s="385" t="s">
        <v>2720</v>
      </c>
      <c r="AY53" s="384"/>
      <c r="AZ53" s="385" t="s">
        <v>2720</v>
      </c>
      <c r="BA53" s="384"/>
      <c r="BB53" s="388" t="s">
        <v>2720</v>
      </c>
      <c r="BC53" s="389" t="s">
        <v>2720</v>
      </c>
      <c r="BD53" s="390" t="s">
        <v>2720</v>
      </c>
      <c r="BE53" s="391" t="s">
        <v>2720</v>
      </c>
      <c r="BF53" s="390" t="s">
        <v>2720</v>
      </c>
      <c r="BG53" s="392"/>
      <c r="BH53" s="393" t="s">
        <v>2720</v>
      </c>
      <c r="BI53" s="394" t="s">
        <v>2720</v>
      </c>
      <c r="BJ53" s="395" t="s">
        <v>2720</v>
      </c>
      <c r="BK53" s="395" t="s">
        <v>2720</v>
      </c>
      <c r="BL53" s="395" t="s">
        <v>2720</v>
      </c>
      <c r="BM53" s="396" t="s">
        <v>2720</v>
      </c>
      <c r="BN53" s="397" t="s">
        <v>2720</v>
      </c>
      <c r="BO53" s="54" t="s">
        <v>2720</v>
      </c>
      <c r="BP53" s="397" t="s">
        <v>2720</v>
      </c>
      <c r="BQ53" s="54" t="s">
        <v>2720</v>
      </c>
      <c r="BR53" s="398" t="s">
        <v>2720</v>
      </c>
      <c r="BS53" s="399"/>
      <c r="BT53" s="400" t="s">
        <v>2720</v>
      </c>
      <c r="BU53" s="401" t="s">
        <v>2720</v>
      </c>
      <c r="BV53" s="401" t="s">
        <v>2720</v>
      </c>
      <c r="BW53" s="401" t="s">
        <v>2720</v>
      </c>
      <c r="BX53" s="402" t="s">
        <v>2720</v>
      </c>
      <c r="BY53" s="402" t="s">
        <v>2720</v>
      </c>
      <c r="BZ53" s="401" t="s">
        <v>2720</v>
      </c>
      <c r="CA53" s="401" t="s">
        <v>2720</v>
      </c>
      <c r="CB53" s="401" t="s">
        <v>2720</v>
      </c>
      <c r="CC53" s="401" t="s">
        <v>2720</v>
      </c>
      <c r="CD53" s="401" t="s">
        <v>2720</v>
      </c>
      <c r="CE53" s="401" t="s">
        <v>2720</v>
      </c>
      <c r="CF53" s="401" t="s">
        <v>2720</v>
      </c>
      <c r="CG53" s="401" t="s">
        <v>2720</v>
      </c>
      <c r="CH53" s="401" t="s">
        <v>2720</v>
      </c>
      <c r="CI53" s="401" t="s">
        <v>2720</v>
      </c>
      <c r="CJ53" s="401" t="s">
        <v>2720</v>
      </c>
      <c r="CK53" s="401" t="s">
        <v>2720</v>
      </c>
      <c r="CL53" s="401" t="s">
        <v>2720</v>
      </c>
      <c r="CM53" s="402" t="s">
        <v>2720</v>
      </c>
      <c r="CN53" s="401" t="s">
        <v>2720</v>
      </c>
      <c r="CO53" s="401" t="s">
        <v>2720</v>
      </c>
      <c r="CP53" s="401" t="s">
        <v>2720</v>
      </c>
      <c r="CQ53" s="290" t="s">
        <v>2720</v>
      </c>
      <c r="CR53" s="401" t="s">
        <v>2720</v>
      </c>
      <c r="CS53" s="401" t="s">
        <v>2720</v>
      </c>
      <c r="CT53" s="401" t="s">
        <v>2720</v>
      </c>
      <c r="CU53" s="401" t="s">
        <v>2720</v>
      </c>
      <c r="CV53" s="401" t="s">
        <v>2720</v>
      </c>
      <c r="CW53" s="401" t="s">
        <v>2720</v>
      </c>
      <c r="CX53" s="401" t="s">
        <v>2720</v>
      </c>
      <c r="CY53" s="401" t="s">
        <v>2720</v>
      </c>
      <c r="CZ53" s="401" t="s">
        <v>2720</v>
      </c>
      <c r="DA53" s="401" t="s">
        <v>2720</v>
      </c>
      <c r="DB53" s="401" t="s">
        <v>2720</v>
      </c>
      <c r="DC53" s="401" t="s">
        <v>2720</v>
      </c>
      <c r="DD53" s="401" t="s">
        <v>2720</v>
      </c>
      <c r="DE53" s="401" t="s">
        <v>2720</v>
      </c>
      <c r="DF53" s="401" t="s">
        <v>2720</v>
      </c>
      <c r="DG53" s="401" t="s">
        <v>2720</v>
      </c>
      <c r="DH53" s="401" t="s">
        <v>2720</v>
      </c>
      <c r="DI53" s="401" t="s">
        <v>2720</v>
      </c>
      <c r="DJ53" s="401" t="s">
        <v>2720</v>
      </c>
      <c r="DK53" s="401" t="s">
        <v>2720</v>
      </c>
      <c r="DL53" s="401" t="s">
        <v>2720</v>
      </c>
      <c r="DM53" s="401" t="s">
        <v>2720</v>
      </c>
      <c r="DN53" s="401" t="s">
        <v>2720</v>
      </c>
      <c r="DO53" s="403" t="s">
        <v>2720</v>
      </c>
      <c r="DP53" s="404" t="s">
        <v>2720</v>
      </c>
      <c r="DQ53" s="405" t="s">
        <v>2720</v>
      </c>
      <c r="DR53" s="405" t="s">
        <v>2720</v>
      </c>
      <c r="DS53" s="405" t="s">
        <v>2720</v>
      </c>
      <c r="DT53" s="405" t="s">
        <v>2720</v>
      </c>
      <c r="DU53" s="405" t="s">
        <v>2720</v>
      </c>
      <c r="DV53" s="405" t="s">
        <v>2720</v>
      </c>
      <c r="DW53" s="405" t="s">
        <v>2720</v>
      </c>
      <c r="DX53" s="405" t="s">
        <v>2720</v>
      </c>
      <c r="DY53" s="405" t="s">
        <v>2720</v>
      </c>
      <c r="DZ53" s="405" t="s">
        <v>2720</v>
      </c>
      <c r="EA53" s="405" t="s">
        <v>2720</v>
      </c>
      <c r="EB53" s="405" t="s">
        <v>2720</v>
      </c>
      <c r="EC53" s="405" t="s">
        <v>2720</v>
      </c>
      <c r="ED53" s="405" t="s">
        <v>2720</v>
      </c>
      <c r="EE53" s="405" t="s">
        <v>2720</v>
      </c>
      <c r="EF53" s="405" t="s">
        <v>2720</v>
      </c>
      <c r="EG53" s="405" t="s">
        <v>2720</v>
      </c>
      <c r="EH53" s="405" t="s">
        <v>2720</v>
      </c>
      <c r="EI53" s="405" t="s">
        <v>2720</v>
      </c>
      <c r="EJ53" s="405" t="s">
        <v>2720</v>
      </c>
      <c r="EK53" s="405" t="s">
        <v>2720</v>
      </c>
      <c r="EL53" s="405" t="s">
        <v>2720</v>
      </c>
      <c r="EM53" s="406" t="s">
        <v>2720</v>
      </c>
      <c r="EN53" s="405" t="s">
        <v>2720</v>
      </c>
      <c r="EO53" s="405" t="s">
        <v>2720</v>
      </c>
      <c r="EP53" s="405" t="s">
        <v>2720</v>
      </c>
      <c r="EQ53" s="405" t="s">
        <v>2720</v>
      </c>
      <c r="ER53" s="405" t="s">
        <v>2720</v>
      </c>
      <c r="ES53" s="405" t="s">
        <v>2720</v>
      </c>
      <c r="ET53" s="405" t="s">
        <v>2720</v>
      </c>
      <c r="EU53" s="405" t="s">
        <v>2720</v>
      </c>
      <c r="EV53" s="405" t="s">
        <v>2720</v>
      </c>
      <c r="EW53" s="405" t="s">
        <v>2720</v>
      </c>
      <c r="EX53" s="405" t="s">
        <v>2720</v>
      </c>
      <c r="EY53" s="405" t="s">
        <v>2720</v>
      </c>
      <c r="EZ53" s="405" t="s">
        <v>2720</v>
      </c>
      <c r="FA53" s="405" t="s">
        <v>2720</v>
      </c>
      <c r="FB53" s="405" t="s">
        <v>2720</v>
      </c>
      <c r="FC53" s="405" t="s">
        <v>2720</v>
      </c>
      <c r="FD53" s="405" t="s">
        <v>2720</v>
      </c>
      <c r="FE53" s="405" t="s">
        <v>2720</v>
      </c>
      <c r="FF53" s="405" t="s">
        <v>2720</v>
      </c>
      <c r="FG53" s="405" t="s">
        <v>2720</v>
      </c>
      <c r="FH53" s="405" t="s">
        <v>2720</v>
      </c>
      <c r="FI53" s="405" t="s">
        <v>2720</v>
      </c>
      <c r="FJ53" s="405" t="s">
        <v>2720</v>
      </c>
      <c r="FK53" s="407" t="s">
        <v>2720</v>
      </c>
      <c r="FM53" s="408"/>
    </row>
    <row r="54" spans="1:169" hidden="1">
      <c r="A54" s="150" t="s">
        <v>2720</v>
      </c>
      <c r="B54" s="375" t="s">
        <v>2720</v>
      </c>
      <c r="C54" s="376" t="s">
        <v>2720</v>
      </c>
      <c r="D54" s="377" t="s">
        <v>2720</v>
      </c>
      <c r="E54" s="378"/>
      <c r="F54" s="379" t="s">
        <v>2720</v>
      </c>
      <c r="G54" s="380" t="s">
        <v>2720</v>
      </c>
      <c r="H54" s="381" t="s">
        <v>2720</v>
      </c>
      <c r="I54" s="382" t="s">
        <v>2720</v>
      </c>
      <c r="J54" s="381" t="s">
        <v>2720</v>
      </c>
      <c r="K54" s="382" t="s">
        <v>2720</v>
      </c>
      <c r="L54" s="381" t="s">
        <v>2720</v>
      </c>
      <c r="M54" s="382" t="s">
        <v>2720</v>
      </c>
      <c r="N54" s="381" t="s">
        <v>2720</v>
      </c>
      <c r="O54" s="382" t="s">
        <v>2720</v>
      </c>
      <c r="P54" s="381" t="s">
        <v>2720</v>
      </c>
      <c r="Q54" s="382" t="s">
        <v>2720</v>
      </c>
      <c r="R54" s="381" t="s">
        <v>2720</v>
      </c>
      <c r="S54" s="382" t="s">
        <v>2720</v>
      </c>
      <c r="T54" s="381" t="s">
        <v>2720</v>
      </c>
      <c r="U54" s="382" t="s">
        <v>2720</v>
      </c>
      <c r="V54" s="381" t="s">
        <v>2720</v>
      </c>
      <c r="W54" s="382" t="s">
        <v>2720</v>
      </c>
      <c r="X54" s="383" t="s">
        <v>2720</v>
      </c>
      <c r="Y54" s="384"/>
      <c r="Z54" s="385" t="s">
        <v>2720</v>
      </c>
      <c r="AA54" s="386" t="s">
        <v>2720</v>
      </c>
      <c r="AB54" s="385" t="s">
        <v>2720</v>
      </c>
      <c r="AC54" s="386" t="s">
        <v>2720</v>
      </c>
      <c r="AD54" s="385" t="s">
        <v>2720</v>
      </c>
      <c r="AE54" s="386" t="s">
        <v>2720</v>
      </c>
      <c r="AF54" s="385" t="s">
        <v>2720</v>
      </c>
      <c r="AG54" s="386" t="s">
        <v>2720</v>
      </c>
      <c r="AH54" s="385" t="s">
        <v>2720</v>
      </c>
      <c r="AI54" s="386" t="s">
        <v>2720</v>
      </c>
      <c r="AJ54" s="385" t="s">
        <v>2720</v>
      </c>
      <c r="AK54" s="386" t="s">
        <v>2720</v>
      </c>
      <c r="AL54" s="385" t="s">
        <v>2720</v>
      </c>
      <c r="AM54" s="387" t="s">
        <v>2720</v>
      </c>
      <c r="AN54" s="385" t="s">
        <v>2720</v>
      </c>
      <c r="AO54" s="386" t="s">
        <v>2720</v>
      </c>
      <c r="AP54" s="385" t="s">
        <v>2720</v>
      </c>
      <c r="AQ54" s="387" t="s">
        <v>2720</v>
      </c>
      <c r="AR54" s="385" t="s">
        <v>2720</v>
      </c>
      <c r="AS54" s="387" t="s">
        <v>2720</v>
      </c>
      <c r="AT54" s="385" t="s">
        <v>2720</v>
      </c>
      <c r="AU54" s="387" t="s">
        <v>2720</v>
      </c>
      <c r="AV54" s="385" t="s">
        <v>2720</v>
      </c>
      <c r="AW54" s="387" t="s">
        <v>2720</v>
      </c>
      <c r="AX54" s="385" t="s">
        <v>2720</v>
      </c>
      <c r="AY54" s="384"/>
      <c r="AZ54" s="385" t="s">
        <v>2720</v>
      </c>
      <c r="BA54" s="384"/>
      <c r="BB54" s="388" t="s">
        <v>2720</v>
      </c>
      <c r="BC54" s="389" t="s">
        <v>2720</v>
      </c>
      <c r="BD54" s="390" t="s">
        <v>2720</v>
      </c>
      <c r="BE54" s="391" t="s">
        <v>2720</v>
      </c>
      <c r="BF54" s="390" t="s">
        <v>2720</v>
      </c>
      <c r="BG54" s="392"/>
      <c r="BH54" s="393" t="s">
        <v>2720</v>
      </c>
      <c r="BI54" s="394" t="s">
        <v>2720</v>
      </c>
      <c r="BJ54" s="395" t="s">
        <v>2720</v>
      </c>
      <c r="BK54" s="395" t="s">
        <v>2720</v>
      </c>
      <c r="BL54" s="395" t="s">
        <v>2720</v>
      </c>
      <c r="BM54" s="396" t="s">
        <v>2720</v>
      </c>
      <c r="BN54" s="397" t="s">
        <v>2720</v>
      </c>
      <c r="BO54" s="54" t="s">
        <v>2720</v>
      </c>
      <c r="BP54" s="397" t="s">
        <v>2720</v>
      </c>
      <c r="BQ54" s="54" t="s">
        <v>2720</v>
      </c>
      <c r="BR54" s="398" t="s">
        <v>2720</v>
      </c>
      <c r="BS54" s="399"/>
      <c r="BT54" s="400" t="s">
        <v>2720</v>
      </c>
      <c r="BU54" s="401" t="s">
        <v>2720</v>
      </c>
      <c r="BV54" s="401" t="s">
        <v>2720</v>
      </c>
      <c r="BW54" s="401" t="s">
        <v>2720</v>
      </c>
      <c r="BX54" s="402" t="s">
        <v>2720</v>
      </c>
      <c r="BY54" s="402" t="s">
        <v>2720</v>
      </c>
      <c r="BZ54" s="401" t="s">
        <v>2720</v>
      </c>
      <c r="CA54" s="401" t="s">
        <v>2720</v>
      </c>
      <c r="CB54" s="401" t="s">
        <v>2720</v>
      </c>
      <c r="CC54" s="401" t="s">
        <v>2720</v>
      </c>
      <c r="CD54" s="401" t="s">
        <v>2720</v>
      </c>
      <c r="CE54" s="401" t="s">
        <v>2720</v>
      </c>
      <c r="CF54" s="401" t="s">
        <v>2720</v>
      </c>
      <c r="CG54" s="401" t="s">
        <v>2720</v>
      </c>
      <c r="CH54" s="401" t="s">
        <v>2720</v>
      </c>
      <c r="CI54" s="401" t="s">
        <v>2720</v>
      </c>
      <c r="CJ54" s="401" t="s">
        <v>2720</v>
      </c>
      <c r="CK54" s="401" t="s">
        <v>2720</v>
      </c>
      <c r="CL54" s="401" t="s">
        <v>2720</v>
      </c>
      <c r="CM54" s="402" t="s">
        <v>2720</v>
      </c>
      <c r="CN54" s="401" t="s">
        <v>2720</v>
      </c>
      <c r="CO54" s="401" t="s">
        <v>2720</v>
      </c>
      <c r="CP54" s="401" t="s">
        <v>2720</v>
      </c>
      <c r="CQ54" s="290" t="s">
        <v>2720</v>
      </c>
      <c r="CR54" s="401" t="s">
        <v>2720</v>
      </c>
      <c r="CS54" s="401" t="s">
        <v>2720</v>
      </c>
      <c r="CT54" s="401" t="s">
        <v>2720</v>
      </c>
      <c r="CU54" s="401" t="s">
        <v>2720</v>
      </c>
      <c r="CV54" s="401" t="s">
        <v>2720</v>
      </c>
      <c r="CW54" s="401" t="s">
        <v>2720</v>
      </c>
      <c r="CX54" s="401" t="s">
        <v>2720</v>
      </c>
      <c r="CY54" s="401" t="s">
        <v>2720</v>
      </c>
      <c r="CZ54" s="401" t="s">
        <v>2720</v>
      </c>
      <c r="DA54" s="401" t="s">
        <v>2720</v>
      </c>
      <c r="DB54" s="401" t="s">
        <v>2720</v>
      </c>
      <c r="DC54" s="401" t="s">
        <v>2720</v>
      </c>
      <c r="DD54" s="401" t="s">
        <v>2720</v>
      </c>
      <c r="DE54" s="401" t="s">
        <v>2720</v>
      </c>
      <c r="DF54" s="401" t="s">
        <v>2720</v>
      </c>
      <c r="DG54" s="401" t="s">
        <v>2720</v>
      </c>
      <c r="DH54" s="401" t="s">
        <v>2720</v>
      </c>
      <c r="DI54" s="401" t="s">
        <v>2720</v>
      </c>
      <c r="DJ54" s="401" t="s">
        <v>2720</v>
      </c>
      <c r="DK54" s="401" t="s">
        <v>2720</v>
      </c>
      <c r="DL54" s="401" t="s">
        <v>2720</v>
      </c>
      <c r="DM54" s="401" t="s">
        <v>2720</v>
      </c>
      <c r="DN54" s="401" t="s">
        <v>2720</v>
      </c>
      <c r="DO54" s="403" t="s">
        <v>2720</v>
      </c>
      <c r="DP54" s="404" t="s">
        <v>2720</v>
      </c>
      <c r="DQ54" s="405" t="s">
        <v>2720</v>
      </c>
      <c r="DR54" s="405" t="s">
        <v>2720</v>
      </c>
      <c r="DS54" s="405" t="s">
        <v>2720</v>
      </c>
      <c r="DT54" s="405" t="s">
        <v>2720</v>
      </c>
      <c r="DU54" s="405" t="s">
        <v>2720</v>
      </c>
      <c r="DV54" s="405" t="s">
        <v>2720</v>
      </c>
      <c r="DW54" s="405" t="s">
        <v>2720</v>
      </c>
      <c r="DX54" s="405" t="s">
        <v>2720</v>
      </c>
      <c r="DY54" s="405" t="s">
        <v>2720</v>
      </c>
      <c r="DZ54" s="405" t="s">
        <v>2720</v>
      </c>
      <c r="EA54" s="405" t="s">
        <v>2720</v>
      </c>
      <c r="EB54" s="405" t="s">
        <v>2720</v>
      </c>
      <c r="EC54" s="405" t="s">
        <v>2720</v>
      </c>
      <c r="ED54" s="405" t="s">
        <v>2720</v>
      </c>
      <c r="EE54" s="405" t="s">
        <v>2720</v>
      </c>
      <c r="EF54" s="405" t="s">
        <v>2720</v>
      </c>
      <c r="EG54" s="405" t="s">
        <v>2720</v>
      </c>
      <c r="EH54" s="405" t="s">
        <v>2720</v>
      </c>
      <c r="EI54" s="405" t="s">
        <v>2720</v>
      </c>
      <c r="EJ54" s="405" t="s">
        <v>2720</v>
      </c>
      <c r="EK54" s="405" t="s">
        <v>2720</v>
      </c>
      <c r="EL54" s="405" t="s">
        <v>2720</v>
      </c>
      <c r="EM54" s="406" t="s">
        <v>2720</v>
      </c>
      <c r="EN54" s="405" t="s">
        <v>2720</v>
      </c>
      <c r="EO54" s="405" t="s">
        <v>2720</v>
      </c>
      <c r="EP54" s="405" t="s">
        <v>2720</v>
      </c>
      <c r="EQ54" s="405" t="s">
        <v>2720</v>
      </c>
      <c r="ER54" s="405" t="s">
        <v>2720</v>
      </c>
      <c r="ES54" s="405" t="s">
        <v>2720</v>
      </c>
      <c r="ET54" s="405" t="s">
        <v>2720</v>
      </c>
      <c r="EU54" s="405" t="s">
        <v>2720</v>
      </c>
      <c r="EV54" s="405" t="s">
        <v>2720</v>
      </c>
      <c r="EW54" s="405" t="s">
        <v>2720</v>
      </c>
      <c r="EX54" s="405" t="s">
        <v>2720</v>
      </c>
      <c r="EY54" s="405" t="s">
        <v>2720</v>
      </c>
      <c r="EZ54" s="405" t="s">
        <v>2720</v>
      </c>
      <c r="FA54" s="405" t="s">
        <v>2720</v>
      </c>
      <c r="FB54" s="405" t="s">
        <v>2720</v>
      </c>
      <c r="FC54" s="405" t="s">
        <v>2720</v>
      </c>
      <c r="FD54" s="405" t="s">
        <v>2720</v>
      </c>
      <c r="FE54" s="405" t="s">
        <v>2720</v>
      </c>
      <c r="FF54" s="405" t="s">
        <v>2720</v>
      </c>
      <c r="FG54" s="405" t="s">
        <v>2720</v>
      </c>
      <c r="FH54" s="405" t="s">
        <v>2720</v>
      </c>
      <c r="FI54" s="405" t="s">
        <v>2720</v>
      </c>
      <c r="FJ54" s="405" t="s">
        <v>2720</v>
      </c>
      <c r="FK54" s="407" t="s">
        <v>2720</v>
      </c>
      <c r="FM54" s="408"/>
    </row>
    <row r="55" spans="1:169" hidden="1">
      <c r="A55" s="150" t="s">
        <v>2720</v>
      </c>
      <c r="B55" s="375" t="s">
        <v>2720</v>
      </c>
      <c r="C55" s="376" t="s">
        <v>2720</v>
      </c>
      <c r="D55" s="377" t="s">
        <v>2720</v>
      </c>
      <c r="E55" s="378"/>
      <c r="F55" s="379" t="s">
        <v>2720</v>
      </c>
      <c r="G55" s="380" t="s">
        <v>2720</v>
      </c>
      <c r="H55" s="381" t="s">
        <v>2720</v>
      </c>
      <c r="I55" s="382" t="s">
        <v>2720</v>
      </c>
      <c r="J55" s="381" t="s">
        <v>2720</v>
      </c>
      <c r="K55" s="382" t="s">
        <v>2720</v>
      </c>
      <c r="L55" s="381" t="s">
        <v>2720</v>
      </c>
      <c r="M55" s="382" t="s">
        <v>2720</v>
      </c>
      <c r="N55" s="381" t="s">
        <v>2720</v>
      </c>
      <c r="O55" s="382" t="s">
        <v>2720</v>
      </c>
      <c r="P55" s="381" t="s">
        <v>2720</v>
      </c>
      <c r="Q55" s="382" t="s">
        <v>2720</v>
      </c>
      <c r="R55" s="381" t="s">
        <v>2720</v>
      </c>
      <c r="S55" s="382" t="s">
        <v>2720</v>
      </c>
      <c r="T55" s="381" t="s">
        <v>2720</v>
      </c>
      <c r="U55" s="382" t="s">
        <v>2720</v>
      </c>
      <c r="V55" s="381" t="s">
        <v>2720</v>
      </c>
      <c r="W55" s="382" t="s">
        <v>2720</v>
      </c>
      <c r="X55" s="383" t="s">
        <v>2720</v>
      </c>
      <c r="Y55" s="384"/>
      <c r="Z55" s="385" t="s">
        <v>2720</v>
      </c>
      <c r="AA55" s="386" t="s">
        <v>2720</v>
      </c>
      <c r="AB55" s="385" t="s">
        <v>2720</v>
      </c>
      <c r="AC55" s="386" t="s">
        <v>2720</v>
      </c>
      <c r="AD55" s="385" t="s">
        <v>2720</v>
      </c>
      <c r="AE55" s="386" t="s">
        <v>2720</v>
      </c>
      <c r="AF55" s="385" t="s">
        <v>2720</v>
      </c>
      <c r="AG55" s="386" t="s">
        <v>2720</v>
      </c>
      <c r="AH55" s="385" t="s">
        <v>2720</v>
      </c>
      <c r="AI55" s="386" t="s">
        <v>2720</v>
      </c>
      <c r="AJ55" s="385" t="s">
        <v>2720</v>
      </c>
      <c r="AK55" s="386" t="s">
        <v>2720</v>
      </c>
      <c r="AL55" s="385" t="s">
        <v>2720</v>
      </c>
      <c r="AM55" s="387" t="s">
        <v>2720</v>
      </c>
      <c r="AN55" s="385" t="s">
        <v>2720</v>
      </c>
      <c r="AO55" s="386" t="s">
        <v>2720</v>
      </c>
      <c r="AP55" s="385" t="s">
        <v>2720</v>
      </c>
      <c r="AQ55" s="387" t="s">
        <v>2720</v>
      </c>
      <c r="AR55" s="385" t="s">
        <v>2720</v>
      </c>
      <c r="AS55" s="387" t="s">
        <v>2720</v>
      </c>
      <c r="AT55" s="385" t="s">
        <v>2720</v>
      </c>
      <c r="AU55" s="387" t="s">
        <v>2720</v>
      </c>
      <c r="AV55" s="385" t="s">
        <v>2720</v>
      </c>
      <c r="AW55" s="387" t="s">
        <v>2720</v>
      </c>
      <c r="AX55" s="385" t="s">
        <v>2720</v>
      </c>
      <c r="AY55" s="384"/>
      <c r="AZ55" s="385" t="s">
        <v>2720</v>
      </c>
      <c r="BA55" s="384"/>
      <c r="BB55" s="388" t="s">
        <v>2720</v>
      </c>
      <c r="BC55" s="389" t="s">
        <v>2720</v>
      </c>
      <c r="BD55" s="390" t="s">
        <v>2720</v>
      </c>
      <c r="BE55" s="391" t="s">
        <v>2720</v>
      </c>
      <c r="BF55" s="390" t="s">
        <v>2720</v>
      </c>
      <c r="BG55" s="392"/>
      <c r="BH55" s="393" t="s">
        <v>2720</v>
      </c>
      <c r="BI55" s="394" t="s">
        <v>2720</v>
      </c>
      <c r="BJ55" s="395" t="s">
        <v>2720</v>
      </c>
      <c r="BK55" s="395" t="s">
        <v>2720</v>
      </c>
      <c r="BL55" s="395" t="s">
        <v>2720</v>
      </c>
      <c r="BM55" s="396" t="s">
        <v>2720</v>
      </c>
      <c r="BN55" s="397" t="s">
        <v>2720</v>
      </c>
      <c r="BO55" s="54" t="s">
        <v>2720</v>
      </c>
      <c r="BP55" s="397" t="s">
        <v>2720</v>
      </c>
      <c r="BQ55" s="54" t="s">
        <v>2720</v>
      </c>
      <c r="BR55" s="398" t="s">
        <v>2720</v>
      </c>
      <c r="BS55" s="399"/>
      <c r="BT55" s="400" t="s">
        <v>2720</v>
      </c>
      <c r="BU55" s="401" t="s">
        <v>2720</v>
      </c>
      <c r="BV55" s="401" t="s">
        <v>2720</v>
      </c>
      <c r="BW55" s="401" t="s">
        <v>2720</v>
      </c>
      <c r="BX55" s="402" t="s">
        <v>2720</v>
      </c>
      <c r="BY55" s="402" t="s">
        <v>2720</v>
      </c>
      <c r="BZ55" s="401" t="s">
        <v>2720</v>
      </c>
      <c r="CA55" s="401" t="s">
        <v>2720</v>
      </c>
      <c r="CB55" s="401" t="s">
        <v>2720</v>
      </c>
      <c r="CC55" s="401" t="s">
        <v>2720</v>
      </c>
      <c r="CD55" s="401" t="s">
        <v>2720</v>
      </c>
      <c r="CE55" s="401" t="s">
        <v>2720</v>
      </c>
      <c r="CF55" s="401" t="s">
        <v>2720</v>
      </c>
      <c r="CG55" s="401" t="s">
        <v>2720</v>
      </c>
      <c r="CH55" s="401" t="s">
        <v>2720</v>
      </c>
      <c r="CI55" s="401" t="s">
        <v>2720</v>
      </c>
      <c r="CJ55" s="401" t="s">
        <v>2720</v>
      </c>
      <c r="CK55" s="401" t="s">
        <v>2720</v>
      </c>
      <c r="CL55" s="401" t="s">
        <v>2720</v>
      </c>
      <c r="CM55" s="402" t="s">
        <v>2720</v>
      </c>
      <c r="CN55" s="401" t="s">
        <v>2720</v>
      </c>
      <c r="CO55" s="401" t="s">
        <v>2720</v>
      </c>
      <c r="CP55" s="401" t="s">
        <v>2720</v>
      </c>
      <c r="CQ55" s="290" t="s">
        <v>2720</v>
      </c>
      <c r="CR55" s="401" t="s">
        <v>2720</v>
      </c>
      <c r="CS55" s="401" t="s">
        <v>2720</v>
      </c>
      <c r="CT55" s="401" t="s">
        <v>2720</v>
      </c>
      <c r="CU55" s="401" t="s">
        <v>2720</v>
      </c>
      <c r="CV55" s="401" t="s">
        <v>2720</v>
      </c>
      <c r="CW55" s="401" t="s">
        <v>2720</v>
      </c>
      <c r="CX55" s="401" t="s">
        <v>2720</v>
      </c>
      <c r="CY55" s="401" t="s">
        <v>2720</v>
      </c>
      <c r="CZ55" s="401" t="s">
        <v>2720</v>
      </c>
      <c r="DA55" s="401" t="s">
        <v>2720</v>
      </c>
      <c r="DB55" s="401" t="s">
        <v>2720</v>
      </c>
      <c r="DC55" s="401" t="s">
        <v>2720</v>
      </c>
      <c r="DD55" s="401" t="s">
        <v>2720</v>
      </c>
      <c r="DE55" s="401" t="s">
        <v>2720</v>
      </c>
      <c r="DF55" s="401" t="s">
        <v>2720</v>
      </c>
      <c r="DG55" s="401" t="s">
        <v>2720</v>
      </c>
      <c r="DH55" s="401" t="s">
        <v>2720</v>
      </c>
      <c r="DI55" s="401" t="s">
        <v>2720</v>
      </c>
      <c r="DJ55" s="401" t="s">
        <v>2720</v>
      </c>
      <c r="DK55" s="401" t="s">
        <v>2720</v>
      </c>
      <c r="DL55" s="401" t="s">
        <v>2720</v>
      </c>
      <c r="DM55" s="401" t="s">
        <v>2720</v>
      </c>
      <c r="DN55" s="401" t="s">
        <v>2720</v>
      </c>
      <c r="DO55" s="403" t="s">
        <v>2720</v>
      </c>
      <c r="DP55" s="404" t="s">
        <v>2720</v>
      </c>
      <c r="DQ55" s="405" t="s">
        <v>2720</v>
      </c>
      <c r="DR55" s="405" t="s">
        <v>2720</v>
      </c>
      <c r="DS55" s="405" t="s">
        <v>2720</v>
      </c>
      <c r="DT55" s="405" t="s">
        <v>2720</v>
      </c>
      <c r="DU55" s="405" t="s">
        <v>2720</v>
      </c>
      <c r="DV55" s="405" t="s">
        <v>2720</v>
      </c>
      <c r="DW55" s="405" t="s">
        <v>2720</v>
      </c>
      <c r="DX55" s="405" t="s">
        <v>2720</v>
      </c>
      <c r="DY55" s="405" t="s">
        <v>2720</v>
      </c>
      <c r="DZ55" s="405" t="s">
        <v>2720</v>
      </c>
      <c r="EA55" s="405" t="s">
        <v>2720</v>
      </c>
      <c r="EB55" s="405" t="s">
        <v>2720</v>
      </c>
      <c r="EC55" s="405" t="s">
        <v>2720</v>
      </c>
      <c r="ED55" s="405" t="s">
        <v>2720</v>
      </c>
      <c r="EE55" s="405" t="s">
        <v>2720</v>
      </c>
      <c r="EF55" s="405" t="s">
        <v>2720</v>
      </c>
      <c r="EG55" s="405" t="s">
        <v>2720</v>
      </c>
      <c r="EH55" s="405" t="s">
        <v>2720</v>
      </c>
      <c r="EI55" s="405" t="s">
        <v>2720</v>
      </c>
      <c r="EJ55" s="405" t="s">
        <v>2720</v>
      </c>
      <c r="EK55" s="405" t="s">
        <v>2720</v>
      </c>
      <c r="EL55" s="405" t="s">
        <v>2720</v>
      </c>
      <c r="EM55" s="406" t="s">
        <v>2720</v>
      </c>
      <c r="EN55" s="405" t="s">
        <v>2720</v>
      </c>
      <c r="EO55" s="405" t="s">
        <v>2720</v>
      </c>
      <c r="EP55" s="405" t="s">
        <v>2720</v>
      </c>
      <c r="EQ55" s="405" t="s">
        <v>2720</v>
      </c>
      <c r="ER55" s="405" t="s">
        <v>2720</v>
      </c>
      <c r="ES55" s="405" t="s">
        <v>2720</v>
      </c>
      <c r="ET55" s="405" t="s">
        <v>2720</v>
      </c>
      <c r="EU55" s="405" t="s">
        <v>2720</v>
      </c>
      <c r="EV55" s="405" t="s">
        <v>2720</v>
      </c>
      <c r="EW55" s="405" t="s">
        <v>2720</v>
      </c>
      <c r="EX55" s="405" t="s">
        <v>2720</v>
      </c>
      <c r="EY55" s="405" t="s">
        <v>2720</v>
      </c>
      <c r="EZ55" s="405" t="s">
        <v>2720</v>
      </c>
      <c r="FA55" s="405" t="s">
        <v>2720</v>
      </c>
      <c r="FB55" s="405" t="s">
        <v>2720</v>
      </c>
      <c r="FC55" s="405" t="s">
        <v>2720</v>
      </c>
      <c r="FD55" s="405" t="s">
        <v>2720</v>
      </c>
      <c r="FE55" s="405" t="s">
        <v>2720</v>
      </c>
      <c r="FF55" s="405" t="s">
        <v>2720</v>
      </c>
      <c r="FG55" s="405" t="s">
        <v>2720</v>
      </c>
      <c r="FH55" s="405" t="s">
        <v>2720</v>
      </c>
      <c r="FI55" s="405" t="s">
        <v>2720</v>
      </c>
      <c r="FJ55" s="405" t="s">
        <v>2720</v>
      </c>
      <c r="FK55" s="407" t="s">
        <v>2720</v>
      </c>
      <c r="FM55" s="408"/>
    </row>
    <row r="56" spans="1:169" hidden="1">
      <c r="A56" s="150" t="s">
        <v>2720</v>
      </c>
      <c r="B56" s="375" t="s">
        <v>2720</v>
      </c>
      <c r="C56" s="376" t="s">
        <v>2720</v>
      </c>
      <c r="D56" s="377" t="s">
        <v>2720</v>
      </c>
      <c r="E56" s="378"/>
      <c r="F56" s="379" t="s">
        <v>2720</v>
      </c>
      <c r="G56" s="380" t="s">
        <v>2720</v>
      </c>
      <c r="H56" s="381" t="s">
        <v>2720</v>
      </c>
      <c r="I56" s="382" t="s">
        <v>2720</v>
      </c>
      <c r="J56" s="381" t="s">
        <v>2720</v>
      </c>
      <c r="K56" s="382" t="s">
        <v>2720</v>
      </c>
      <c r="L56" s="381" t="s">
        <v>2720</v>
      </c>
      <c r="M56" s="382" t="s">
        <v>2720</v>
      </c>
      <c r="N56" s="381" t="s">
        <v>2720</v>
      </c>
      <c r="O56" s="382" t="s">
        <v>2720</v>
      </c>
      <c r="P56" s="381" t="s">
        <v>2720</v>
      </c>
      <c r="Q56" s="382" t="s">
        <v>2720</v>
      </c>
      <c r="R56" s="381" t="s">
        <v>2720</v>
      </c>
      <c r="S56" s="382" t="s">
        <v>2720</v>
      </c>
      <c r="T56" s="381" t="s">
        <v>2720</v>
      </c>
      <c r="U56" s="382" t="s">
        <v>2720</v>
      </c>
      <c r="V56" s="381" t="s">
        <v>2720</v>
      </c>
      <c r="W56" s="382" t="s">
        <v>2720</v>
      </c>
      <c r="X56" s="383" t="s">
        <v>2720</v>
      </c>
      <c r="Y56" s="384"/>
      <c r="Z56" s="385" t="s">
        <v>2720</v>
      </c>
      <c r="AA56" s="386" t="s">
        <v>2720</v>
      </c>
      <c r="AB56" s="385" t="s">
        <v>2720</v>
      </c>
      <c r="AC56" s="386" t="s">
        <v>2720</v>
      </c>
      <c r="AD56" s="385" t="s">
        <v>2720</v>
      </c>
      <c r="AE56" s="386" t="s">
        <v>2720</v>
      </c>
      <c r="AF56" s="385" t="s">
        <v>2720</v>
      </c>
      <c r="AG56" s="386" t="s">
        <v>2720</v>
      </c>
      <c r="AH56" s="385" t="s">
        <v>2720</v>
      </c>
      <c r="AI56" s="386" t="s">
        <v>2720</v>
      </c>
      <c r="AJ56" s="385" t="s">
        <v>2720</v>
      </c>
      <c r="AK56" s="386" t="s">
        <v>2720</v>
      </c>
      <c r="AL56" s="385" t="s">
        <v>2720</v>
      </c>
      <c r="AM56" s="387" t="s">
        <v>2720</v>
      </c>
      <c r="AN56" s="385" t="s">
        <v>2720</v>
      </c>
      <c r="AO56" s="386" t="s">
        <v>2720</v>
      </c>
      <c r="AP56" s="385" t="s">
        <v>2720</v>
      </c>
      <c r="AQ56" s="387" t="s">
        <v>2720</v>
      </c>
      <c r="AR56" s="385" t="s">
        <v>2720</v>
      </c>
      <c r="AS56" s="387" t="s">
        <v>2720</v>
      </c>
      <c r="AT56" s="385" t="s">
        <v>2720</v>
      </c>
      <c r="AU56" s="387" t="s">
        <v>2720</v>
      </c>
      <c r="AV56" s="385" t="s">
        <v>2720</v>
      </c>
      <c r="AW56" s="387" t="s">
        <v>2720</v>
      </c>
      <c r="AX56" s="385" t="s">
        <v>2720</v>
      </c>
      <c r="AY56" s="384"/>
      <c r="AZ56" s="385" t="s">
        <v>2720</v>
      </c>
      <c r="BA56" s="384"/>
      <c r="BB56" s="388" t="s">
        <v>2720</v>
      </c>
      <c r="BC56" s="389" t="s">
        <v>2720</v>
      </c>
      <c r="BD56" s="390" t="s">
        <v>2720</v>
      </c>
      <c r="BE56" s="391" t="s">
        <v>2720</v>
      </c>
      <c r="BF56" s="390" t="s">
        <v>2720</v>
      </c>
      <c r="BG56" s="392"/>
      <c r="BH56" s="393" t="s">
        <v>2720</v>
      </c>
      <c r="BI56" s="394" t="s">
        <v>2720</v>
      </c>
      <c r="BJ56" s="395" t="s">
        <v>2720</v>
      </c>
      <c r="BK56" s="395" t="s">
        <v>2720</v>
      </c>
      <c r="BL56" s="395" t="s">
        <v>2720</v>
      </c>
      <c r="BM56" s="396" t="s">
        <v>2720</v>
      </c>
      <c r="BN56" s="397" t="s">
        <v>2720</v>
      </c>
      <c r="BO56" s="54" t="s">
        <v>2720</v>
      </c>
      <c r="BP56" s="397" t="s">
        <v>2720</v>
      </c>
      <c r="BQ56" s="54" t="s">
        <v>2720</v>
      </c>
      <c r="BR56" s="398" t="s">
        <v>2720</v>
      </c>
      <c r="BS56" s="399"/>
      <c r="BT56" s="400" t="s">
        <v>2720</v>
      </c>
      <c r="BU56" s="401" t="s">
        <v>2720</v>
      </c>
      <c r="BV56" s="401" t="s">
        <v>2720</v>
      </c>
      <c r="BW56" s="401" t="s">
        <v>2720</v>
      </c>
      <c r="BX56" s="402" t="s">
        <v>2720</v>
      </c>
      <c r="BY56" s="402" t="s">
        <v>2720</v>
      </c>
      <c r="BZ56" s="401" t="s">
        <v>2720</v>
      </c>
      <c r="CA56" s="401" t="s">
        <v>2720</v>
      </c>
      <c r="CB56" s="401" t="s">
        <v>2720</v>
      </c>
      <c r="CC56" s="401" t="s">
        <v>2720</v>
      </c>
      <c r="CD56" s="401" t="s">
        <v>2720</v>
      </c>
      <c r="CE56" s="401" t="s">
        <v>2720</v>
      </c>
      <c r="CF56" s="401" t="s">
        <v>2720</v>
      </c>
      <c r="CG56" s="401" t="s">
        <v>2720</v>
      </c>
      <c r="CH56" s="401" t="s">
        <v>2720</v>
      </c>
      <c r="CI56" s="401" t="s">
        <v>2720</v>
      </c>
      <c r="CJ56" s="401" t="s">
        <v>2720</v>
      </c>
      <c r="CK56" s="401" t="s">
        <v>2720</v>
      </c>
      <c r="CL56" s="401" t="s">
        <v>2720</v>
      </c>
      <c r="CM56" s="402" t="s">
        <v>2720</v>
      </c>
      <c r="CN56" s="401" t="s">
        <v>2720</v>
      </c>
      <c r="CO56" s="401" t="s">
        <v>2720</v>
      </c>
      <c r="CP56" s="401" t="s">
        <v>2720</v>
      </c>
      <c r="CQ56" s="290" t="s">
        <v>2720</v>
      </c>
      <c r="CR56" s="401" t="s">
        <v>2720</v>
      </c>
      <c r="CS56" s="401" t="s">
        <v>2720</v>
      </c>
      <c r="CT56" s="401" t="s">
        <v>2720</v>
      </c>
      <c r="CU56" s="401" t="s">
        <v>2720</v>
      </c>
      <c r="CV56" s="401" t="s">
        <v>2720</v>
      </c>
      <c r="CW56" s="401" t="s">
        <v>2720</v>
      </c>
      <c r="CX56" s="401" t="s">
        <v>2720</v>
      </c>
      <c r="CY56" s="401" t="s">
        <v>2720</v>
      </c>
      <c r="CZ56" s="401" t="s">
        <v>2720</v>
      </c>
      <c r="DA56" s="401" t="s">
        <v>2720</v>
      </c>
      <c r="DB56" s="401" t="s">
        <v>2720</v>
      </c>
      <c r="DC56" s="401" t="s">
        <v>2720</v>
      </c>
      <c r="DD56" s="401" t="s">
        <v>2720</v>
      </c>
      <c r="DE56" s="401" t="s">
        <v>2720</v>
      </c>
      <c r="DF56" s="401" t="s">
        <v>2720</v>
      </c>
      <c r="DG56" s="401" t="s">
        <v>2720</v>
      </c>
      <c r="DH56" s="401" t="s">
        <v>2720</v>
      </c>
      <c r="DI56" s="401" t="s">
        <v>2720</v>
      </c>
      <c r="DJ56" s="401" t="s">
        <v>2720</v>
      </c>
      <c r="DK56" s="401" t="s">
        <v>2720</v>
      </c>
      <c r="DL56" s="401" t="s">
        <v>2720</v>
      </c>
      <c r="DM56" s="401" t="s">
        <v>2720</v>
      </c>
      <c r="DN56" s="401" t="s">
        <v>2720</v>
      </c>
      <c r="DO56" s="403" t="s">
        <v>2720</v>
      </c>
      <c r="DP56" s="404" t="s">
        <v>2720</v>
      </c>
      <c r="DQ56" s="405" t="s">
        <v>2720</v>
      </c>
      <c r="DR56" s="405" t="s">
        <v>2720</v>
      </c>
      <c r="DS56" s="405" t="s">
        <v>2720</v>
      </c>
      <c r="DT56" s="405" t="s">
        <v>2720</v>
      </c>
      <c r="DU56" s="405" t="s">
        <v>2720</v>
      </c>
      <c r="DV56" s="405" t="s">
        <v>2720</v>
      </c>
      <c r="DW56" s="405" t="s">
        <v>2720</v>
      </c>
      <c r="DX56" s="405" t="s">
        <v>2720</v>
      </c>
      <c r="DY56" s="405" t="s">
        <v>2720</v>
      </c>
      <c r="DZ56" s="405" t="s">
        <v>2720</v>
      </c>
      <c r="EA56" s="405" t="s">
        <v>2720</v>
      </c>
      <c r="EB56" s="405" t="s">
        <v>2720</v>
      </c>
      <c r="EC56" s="405" t="s">
        <v>2720</v>
      </c>
      <c r="ED56" s="405" t="s">
        <v>2720</v>
      </c>
      <c r="EE56" s="405" t="s">
        <v>2720</v>
      </c>
      <c r="EF56" s="405" t="s">
        <v>2720</v>
      </c>
      <c r="EG56" s="405" t="s">
        <v>2720</v>
      </c>
      <c r="EH56" s="405" t="s">
        <v>2720</v>
      </c>
      <c r="EI56" s="405" t="s">
        <v>2720</v>
      </c>
      <c r="EJ56" s="405" t="s">
        <v>2720</v>
      </c>
      <c r="EK56" s="405" t="s">
        <v>2720</v>
      </c>
      <c r="EL56" s="405" t="s">
        <v>2720</v>
      </c>
      <c r="EM56" s="406" t="s">
        <v>2720</v>
      </c>
      <c r="EN56" s="405" t="s">
        <v>2720</v>
      </c>
      <c r="EO56" s="405" t="s">
        <v>2720</v>
      </c>
      <c r="EP56" s="405" t="s">
        <v>2720</v>
      </c>
      <c r="EQ56" s="405" t="s">
        <v>2720</v>
      </c>
      <c r="ER56" s="405" t="s">
        <v>2720</v>
      </c>
      <c r="ES56" s="405" t="s">
        <v>2720</v>
      </c>
      <c r="ET56" s="405" t="s">
        <v>2720</v>
      </c>
      <c r="EU56" s="405" t="s">
        <v>2720</v>
      </c>
      <c r="EV56" s="405" t="s">
        <v>2720</v>
      </c>
      <c r="EW56" s="405" t="s">
        <v>2720</v>
      </c>
      <c r="EX56" s="405" t="s">
        <v>2720</v>
      </c>
      <c r="EY56" s="405" t="s">
        <v>2720</v>
      </c>
      <c r="EZ56" s="405" t="s">
        <v>2720</v>
      </c>
      <c r="FA56" s="405" t="s">
        <v>2720</v>
      </c>
      <c r="FB56" s="405" t="s">
        <v>2720</v>
      </c>
      <c r="FC56" s="405" t="s">
        <v>2720</v>
      </c>
      <c r="FD56" s="405" t="s">
        <v>2720</v>
      </c>
      <c r="FE56" s="405" t="s">
        <v>2720</v>
      </c>
      <c r="FF56" s="405" t="s">
        <v>2720</v>
      </c>
      <c r="FG56" s="405" t="s">
        <v>2720</v>
      </c>
      <c r="FH56" s="405" t="s">
        <v>2720</v>
      </c>
      <c r="FI56" s="405" t="s">
        <v>2720</v>
      </c>
      <c r="FJ56" s="405" t="s">
        <v>2720</v>
      </c>
      <c r="FK56" s="407" t="s">
        <v>2720</v>
      </c>
      <c r="FM56" s="408"/>
    </row>
    <row r="57" spans="1:169" hidden="1">
      <c r="A57" s="150" t="s">
        <v>2720</v>
      </c>
      <c r="B57" s="375" t="s">
        <v>2720</v>
      </c>
      <c r="C57" s="376" t="s">
        <v>2720</v>
      </c>
      <c r="D57" s="377" t="s">
        <v>2720</v>
      </c>
      <c r="E57" s="378"/>
      <c r="F57" s="379" t="s">
        <v>2720</v>
      </c>
      <c r="G57" s="380" t="s">
        <v>2720</v>
      </c>
      <c r="H57" s="381" t="s">
        <v>2720</v>
      </c>
      <c r="I57" s="382" t="s">
        <v>2720</v>
      </c>
      <c r="J57" s="381" t="s">
        <v>2720</v>
      </c>
      <c r="K57" s="382" t="s">
        <v>2720</v>
      </c>
      <c r="L57" s="381" t="s">
        <v>2720</v>
      </c>
      <c r="M57" s="382" t="s">
        <v>2720</v>
      </c>
      <c r="N57" s="381" t="s">
        <v>2720</v>
      </c>
      <c r="O57" s="382" t="s">
        <v>2720</v>
      </c>
      <c r="P57" s="381" t="s">
        <v>2720</v>
      </c>
      <c r="Q57" s="382" t="s">
        <v>2720</v>
      </c>
      <c r="R57" s="381" t="s">
        <v>2720</v>
      </c>
      <c r="S57" s="382" t="s">
        <v>2720</v>
      </c>
      <c r="T57" s="381" t="s">
        <v>2720</v>
      </c>
      <c r="U57" s="382" t="s">
        <v>2720</v>
      </c>
      <c r="V57" s="381" t="s">
        <v>2720</v>
      </c>
      <c r="W57" s="382" t="s">
        <v>2720</v>
      </c>
      <c r="X57" s="383" t="s">
        <v>2720</v>
      </c>
      <c r="Y57" s="384"/>
      <c r="Z57" s="385" t="s">
        <v>2720</v>
      </c>
      <c r="AA57" s="386" t="s">
        <v>2720</v>
      </c>
      <c r="AB57" s="385" t="s">
        <v>2720</v>
      </c>
      <c r="AC57" s="386" t="s">
        <v>2720</v>
      </c>
      <c r="AD57" s="385" t="s">
        <v>2720</v>
      </c>
      <c r="AE57" s="386" t="s">
        <v>2720</v>
      </c>
      <c r="AF57" s="385" t="s">
        <v>2720</v>
      </c>
      <c r="AG57" s="386" t="s">
        <v>2720</v>
      </c>
      <c r="AH57" s="385" t="s">
        <v>2720</v>
      </c>
      <c r="AI57" s="386" t="s">
        <v>2720</v>
      </c>
      <c r="AJ57" s="385" t="s">
        <v>2720</v>
      </c>
      <c r="AK57" s="386" t="s">
        <v>2720</v>
      </c>
      <c r="AL57" s="385" t="s">
        <v>2720</v>
      </c>
      <c r="AM57" s="387" t="s">
        <v>2720</v>
      </c>
      <c r="AN57" s="385" t="s">
        <v>2720</v>
      </c>
      <c r="AO57" s="386" t="s">
        <v>2720</v>
      </c>
      <c r="AP57" s="385" t="s">
        <v>2720</v>
      </c>
      <c r="AQ57" s="387" t="s">
        <v>2720</v>
      </c>
      <c r="AR57" s="385" t="s">
        <v>2720</v>
      </c>
      <c r="AS57" s="387" t="s">
        <v>2720</v>
      </c>
      <c r="AT57" s="385" t="s">
        <v>2720</v>
      </c>
      <c r="AU57" s="387" t="s">
        <v>2720</v>
      </c>
      <c r="AV57" s="385" t="s">
        <v>2720</v>
      </c>
      <c r="AW57" s="387" t="s">
        <v>2720</v>
      </c>
      <c r="AX57" s="385" t="s">
        <v>2720</v>
      </c>
      <c r="AY57" s="384"/>
      <c r="AZ57" s="385" t="s">
        <v>2720</v>
      </c>
      <c r="BA57" s="384"/>
      <c r="BB57" s="388" t="s">
        <v>2720</v>
      </c>
      <c r="BC57" s="389" t="s">
        <v>2720</v>
      </c>
      <c r="BD57" s="390" t="s">
        <v>2720</v>
      </c>
      <c r="BE57" s="391" t="s">
        <v>2720</v>
      </c>
      <c r="BF57" s="390" t="s">
        <v>2720</v>
      </c>
      <c r="BG57" s="392"/>
      <c r="BH57" s="393" t="s">
        <v>2720</v>
      </c>
      <c r="BI57" s="394" t="s">
        <v>2720</v>
      </c>
      <c r="BJ57" s="395" t="s">
        <v>2720</v>
      </c>
      <c r="BK57" s="395" t="s">
        <v>2720</v>
      </c>
      <c r="BL57" s="395" t="s">
        <v>2720</v>
      </c>
      <c r="BM57" s="396" t="s">
        <v>2720</v>
      </c>
      <c r="BN57" s="397" t="s">
        <v>2720</v>
      </c>
      <c r="BO57" s="54" t="s">
        <v>2720</v>
      </c>
      <c r="BP57" s="397" t="s">
        <v>2720</v>
      </c>
      <c r="BQ57" s="54" t="s">
        <v>2720</v>
      </c>
      <c r="BR57" s="398" t="s">
        <v>2720</v>
      </c>
      <c r="BS57" s="399"/>
      <c r="BT57" s="400" t="s">
        <v>2720</v>
      </c>
      <c r="BU57" s="401" t="s">
        <v>2720</v>
      </c>
      <c r="BV57" s="401" t="s">
        <v>2720</v>
      </c>
      <c r="BW57" s="401" t="s">
        <v>2720</v>
      </c>
      <c r="BX57" s="402" t="s">
        <v>2720</v>
      </c>
      <c r="BY57" s="402" t="s">
        <v>2720</v>
      </c>
      <c r="BZ57" s="401" t="s">
        <v>2720</v>
      </c>
      <c r="CA57" s="401" t="s">
        <v>2720</v>
      </c>
      <c r="CB57" s="401" t="s">
        <v>2720</v>
      </c>
      <c r="CC57" s="401" t="s">
        <v>2720</v>
      </c>
      <c r="CD57" s="401" t="s">
        <v>2720</v>
      </c>
      <c r="CE57" s="401" t="s">
        <v>2720</v>
      </c>
      <c r="CF57" s="401" t="s">
        <v>2720</v>
      </c>
      <c r="CG57" s="401" t="s">
        <v>2720</v>
      </c>
      <c r="CH57" s="401" t="s">
        <v>2720</v>
      </c>
      <c r="CI57" s="401" t="s">
        <v>2720</v>
      </c>
      <c r="CJ57" s="401" t="s">
        <v>2720</v>
      </c>
      <c r="CK57" s="401" t="s">
        <v>2720</v>
      </c>
      <c r="CL57" s="401" t="s">
        <v>2720</v>
      </c>
      <c r="CM57" s="402" t="s">
        <v>2720</v>
      </c>
      <c r="CN57" s="401" t="s">
        <v>2720</v>
      </c>
      <c r="CO57" s="401" t="s">
        <v>2720</v>
      </c>
      <c r="CP57" s="401" t="s">
        <v>2720</v>
      </c>
      <c r="CQ57" s="290" t="s">
        <v>2720</v>
      </c>
      <c r="CR57" s="401" t="s">
        <v>2720</v>
      </c>
      <c r="CS57" s="401" t="s">
        <v>2720</v>
      </c>
      <c r="CT57" s="401" t="s">
        <v>2720</v>
      </c>
      <c r="CU57" s="401" t="s">
        <v>2720</v>
      </c>
      <c r="CV57" s="401" t="s">
        <v>2720</v>
      </c>
      <c r="CW57" s="401" t="s">
        <v>2720</v>
      </c>
      <c r="CX57" s="401" t="s">
        <v>2720</v>
      </c>
      <c r="CY57" s="401" t="s">
        <v>2720</v>
      </c>
      <c r="CZ57" s="401" t="s">
        <v>2720</v>
      </c>
      <c r="DA57" s="401" t="s">
        <v>2720</v>
      </c>
      <c r="DB57" s="401" t="s">
        <v>2720</v>
      </c>
      <c r="DC57" s="401" t="s">
        <v>2720</v>
      </c>
      <c r="DD57" s="401" t="s">
        <v>2720</v>
      </c>
      <c r="DE57" s="401" t="s">
        <v>2720</v>
      </c>
      <c r="DF57" s="401" t="s">
        <v>2720</v>
      </c>
      <c r="DG57" s="401" t="s">
        <v>2720</v>
      </c>
      <c r="DH57" s="401" t="s">
        <v>2720</v>
      </c>
      <c r="DI57" s="401" t="s">
        <v>2720</v>
      </c>
      <c r="DJ57" s="401" t="s">
        <v>2720</v>
      </c>
      <c r="DK57" s="401" t="s">
        <v>2720</v>
      </c>
      <c r="DL57" s="401" t="s">
        <v>2720</v>
      </c>
      <c r="DM57" s="401" t="s">
        <v>2720</v>
      </c>
      <c r="DN57" s="401" t="s">
        <v>2720</v>
      </c>
      <c r="DO57" s="403" t="s">
        <v>2720</v>
      </c>
      <c r="DP57" s="404" t="s">
        <v>2720</v>
      </c>
      <c r="DQ57" s="405" t="s">
        <v>2720</v>
      </c>
      <c r="DR57" s="405" t="s">
        <v>2720</v>
      </c>
      <c r="DS57" s="405" t="s">
        <v>2720</v>
      </c>
      <c r="DT57" s="405" t="s">
        <v>2720</v>
      </c>
      <c r="DU57" s="405" t="s">
        <v>2720</v>
      </c>
      <c r="DV57" s="405" t="s">
        <v>2720</v>
      </c>
      <c r="DW57" s="405" t="s">
        <v>2720</v>
      </c>
      <c r="DX57" s="405" t="s">
        <v>2720</v>
      </c>
      <c r="DY57" s="405" t="s">
        <v>2720</v>
      </c>
      <c r="DZ57" s="405" t="s">
        <v>2720</v>
      </c>
      <c r="EA57" s="405" t="s">
        <v>2720</v>
      </c>
      <c r="EB57" s="405" t="s">
        <v>2720</v>
      </c>
      <c r="EC57" s="405" t="s">
        <v>2720</v>
      </c>
      <c r="ED57" s="405" t="s">
        <v>2720</v>
      </c>
      <c r="EE57" s="405" t="s">
        <v>2720</v>
      </c>
      <c r="EF57" s="405" t="s">
        <v>2720</v>
      </c>
      <c r="EG57" s="405" t="s">
        <v>2720</v>
      </c>
      <c r="EH57" s="405" t="s">
        <v>2720</v>
      </c>
      <c r="EI57" s="405" t="s">
        <v>2720</v>
      </c>
      <c r="EJ57" s="405" t="s">
        <v>2720</v>
      </c>
      <c r="EK57" s="405" t="s">
        <v>2720</v>
      </c>
      <c r="EL57" s="405" t="s">
        <v>2720</v>
      </c>
      <c r="EM57" s="406" t="s">
        <v>2720</v>
      </c>
      <c r="EN57" s="405" t="s">
        <v>2720</v>
      </c>
      <c r="EO57" s="405" t="s">
        <v>2720</v>
      </c>
      <c r="EP57" s="405" t="s">
        <v>2720</v>
      </c>
      <c r="EQ57" s="405" t="s">
        <v>2720</v>
      </c>
      <c r="ER57" s="405" t="s">
        <v>2720</v>
      </c>
      <c r="ES57" s="405" t="s">
        <v>2720</v>
      </c>
      <c r="ET57" s="405" t="s">
        <v>2720</v>
      </c>
      <c r="EU57" s="405" t="s">
        <v>2720</v>
      </c>
      <c r="EV57" s="405" t="s">
        <v>2720</v>
      </c>
      <c r="EW57" s="405" t="s">
        <v>2720</v>
      </c>
      <c r="EX57" s="405" t="s">
        <v>2720</v>
      </c>
      <c r="EY57" s="405" t="s">
        <v>2720</v>
      </c>
      <c r="EZ57" s="405" t="s">
        <v>2720</v>
      </c>
      <c r="FA57" s="405" t="s">
        <v>2720</v>
      </c>
      <c r="FB57" s="405" t="s">
        <v>2720</v>
      </c>
      <c r="FC57" s="405" t="s">
        <v>2720</v>
      </c>
      <c r="FD57" s="405" t="s">
        <v>2720</v>
      </c>
      <c r="FE57" s="405" t="s">
        <v>2720</v>
      </c>
      <c r="FF57" s="405" t="s">
        <v>2720</v>
      </c>
      <c r="FG57" s="405" t="s">
        <v>2720</v>
      </c>
      <c r="FH57" s="405" t="s">
        <v>2720</v>
      </c>
      <c r="FI57" s="405" t="s">
        <v>2720</v>
      </c>
      <c r="FJ57" s="405" t="s">
        <v>2720</v>
      </c>
      <c r="FK57" s="407" t="s">
        <v>2720</v>
      </c>
      <c r="FM57" s="408"/>
    </row>
    <row r="58" spans="1:169" hidden="1">
      <c r="A58" s="150" t="s">
        <v>2720</v>
      </c>
      <c r="B58" s="375" t="s">
        <v>2720</v>
      </c>
      <c r="C58" s="376" t="s">
        <v>2720</v>
      </c>
      <c r="D58" s="377" t="s">
        <v>2720</v>
      </c>
      <c r="E58" s="378"/>
      <c r="F58" s="379" t="s">
        <v>2720</v>
      </c>
      <c r="G58" s="380" t="s">
        <v>2720</v>
      </c>
      <c r="H58" s="381" t="s">
        <v>2720</v>
      </c>
      <c r="I58" s="382" t="s">
        <v>2720</v>
      </c>
      <c r="J58" s="381" t="s">
        <v>2720</v>
      </c>
      <c r="K58" s="382" t="s">
        <v>2720</v>
      </c>
      <c r="L58" s="381" t="s">
        <v>2720</v>
      </c>
      <c r="M58" s="382" t="s">
        <v>2720</v>
      </c>
      <c r="N58" s="381" t="s">
        <v>2720</v>
      </c>
      <c r="O58" s="382" t="s">
        <v>2720</v>
      </c>
      <c r="P58" s="381" t="s">
        <v>2720</v>
      </c>
      <c r="Q58" s="382" t="s">
        <v>2720</v>
      </c>
      <c r="R58" s="381" t="s">
        <v>2720</v>
      </c>
      <c r="S58" s="382" t="s">
        <v>2720</v>
      </c>
      <c r="T58" s="381" t="s">
        <v>2720</v>
      </c>
      <c r="U58" s="382" t="s">
        <v>2720</v>
      </c>
      <c r="V58" s="381" t="s">
        <v>2720</v>
      </c>
      <c r="W58" s="382" t="s">
        <v>2720</v>
      </c>
      <c r="X58" s="383" t="s">
        <v>2720</v>
      </c>
      <c r="Y58" s="384"/>
      <c r="Z58" s="385" t="s">
        <v>2720</v>
      </c>
      <c r="AA58" s="386" t="s">
        <v>2720</v>
      </c>
      <c r="AB58" s="385" t="s">
        <v>2720</v>
      </c>
      <c r="AC58" s="386" t="s">
        <v>2720</v>
      </c>
      <c r="AD58" s="385" t="s">
        <v>2720</v>
      </c>
      <c r="AE58" s="386" t="s">
        <v>2720</v>
      </c>
      <c r="AF58" s="385" t="s">
        <v>2720</v>
      </c>
      <c r="AG58" s="386" t="s">
        <v>2720</v>
      </c>
      <c r="AH58" s="385" t="s">
        <v>2720</v>
      </c>
      <c r="AI58" s="386" t="s">
        <v>2720</v>
      </c>
      <c r="AJ58" s="385" t="s">
        <v>2720</v>
      </c>
      <c r="AK58" s="386" t="s">
        <v>2720</v>
      </c>
      <c r="AL58" s="385" t="s">
        <v>2720</v>
      </c>
      <c r="AM58" s="387" t="s">
        <v>2720</v>
      </c>
      <c r="AN58" s="385" t="s">
        <v>2720</v>
      </c>
      <c r="AO58" s="386" t="s">
        <v>2720</v>
      </c>
      <c r="AP58" s="385" t="s">
        <v>2720</v>
      </c>
      <c r="AQ58" s="387" t="s">
        <v>2720</v>
      </c>
      <c r="AR58" s="385" t="s">
        <v>2720</v>
      </c>
      <c r="AS58" s="387" t="s">
        <v>2720</v>
      </c>
      <c r="AT58" s="385" t="s">
        <v>2720</v>
      </c>
      <c r="AU58" s="387" t="s">
        <v>2720</v>
      </c>
      <c r="AV58" s="385" t="s">
        <v>2720</v>
      </c>
      <c r="AW58" s="387" t="s">
        <v>2720</v>
      </c>
      <c r="AX58" s="385" t="s">
        <v>2720</v>
      </c>
      <c r="AY58" s="384"/>
      <c r="AZ58" s="385" t="s">
        <v>2720</v>
      </c>
      <c r="BA58" s="384"/>
      <c r="BB58" s="388" t="s">
        <v>2720</v>
      </c>
      <c r="BC58" s="389" t="s">
        <v>2720</v>
      </c>
      <c r="BD58" s="390" t="s">
        <v>2720</v>
      </c>
      <c r="BE58" s="391" t="s">
        <v>2720</v>
      </c>
      <c r="BF58" s="390" t="s">
        <v>2720</v>
      </c>
      <c r="BG58" s="392"/>
      <c r="BH58" s="393" t="s">
        <v>2720</v>
      </c>
      <c r="BI58" s="394" t="s">
        <v>2720</v>
      </c>
      <c r="BJ58" s="395" t="s">
        <v>2720</v>
      </c>
      <c r="BK58" s="395" t="s">
        <v>2720</v>
      </c>
      <c r="BL58" s="395" t="s">
        <v>2720</v>
      </c>
      <c r="BM58" s="396" t="s">
        <v>2720</v>
      </c>
      <c r="BN58" s="397" t="s">
        <v>2720</v>
      </c>
      <c r="BO58" s="54" t="s">
        <v>2720</v>
      </c>
      <c r="BP58" s="397" t="s">
        <v>2720</v>
      </c>
      <c r="BQ58" s="54" t="s">
        <v>2720</v>
      </c>
      <c r="BR58" s="398" t="s">
        <v>2720</v>
      </c>
      <c r="BS58" s="399"/>
      <c r="BT58" s="400" t="s">
        <v>2720</v>
      </c>
      <c r="BU58" s="401" t="s">
        <v>2720</v>
      </c>
      <c r="BV58" s="401" t="s">
        <v>2720</v>
      </c>
      <c r="BW58" s="401" t="s">
        <v>2720</v>
      </c>
      <c r="BX58" s="402" t="s">
        <v>2720</v>
      </c>
      <c r="BY58" s="402" t="s">
        <v>2720</v>
      </c>
      <c r="BZ58" s="401" t="s">
        <v>2720</v>
      </c>
      <c r="CA58" s="401" t="s">
        <v>2720</v>
      </c>
      <c r="CB58" s="401" t="s">
        <v>2720</v>
      </c>
      <c r="CC58" s="401" t="s">
        <v>2720</v>
      </c>
      <c r="CD58" s="401" t="s">
        <v>2720</v>
      </c>
      <c r="CE58" s="401" t="s">
        <v>2720</v>
      </c>
      <c r="CF58" s="401" t="s">
        <v>2720</v>
      </c>
      <c r="CG58" s="401" t="s">
        <v>2720</v>
      </c>
      <c r="CH58" s="401" t="s">
        <v>2720</v>
      </c>
      <c r="CI58" s="401" t="s">
        <v>2720</v>
      </c>
      <c r="CJ58" s="401" t="s">
        <v>2720</v>
      </c>
      <c r="CK58" s="401" t="s">
        <v>2720</v>
      </c>
      <c r="CL58" s="401" t="s">
        <v>2720</v>
      </c>
      <c r="CM58" s="402" t="s">
        <v>2720</v>
      </c>
      <c r="CN58" s="401" t="s">
        <v>2720</v>
      </c>
      <c r="CO58" s="401" t="s">
        <v>2720</v>
      </c>
      <c r="CP58" s="401" t="s">
        <v>2720</v>
      </c>
      <c r="CQ58" s="290" t="s">
        <v>2720</v>
      </c>
      <c r="CR58" s="401" t="s">
        <v>2720</v>
      </c>
      <c r="CS58" s="401" t="s">
        <v>2720</v>
      </c>
      <c r="CT58" s="401" t="s">
        <v>2720</v>
      </c>
      <c r="CU58" s="401" t="s">
        <v>2720</v>
      </c>
      <c r="CV58" s="401" t="s">
        <v>2720</v>
      </c>
      <c r="CW58" s="401" t="s">
        <v>2720</v>
      </c>
      <c r="CX58" s="401" t="s">
        <v>2720</v>
      </c>
      <c r="CY58" s="401" t="s">
        <v>2720</v>
      </c>
      <c r="CZ58" s="401" t="s">
        <v>2720</v>
      </c>
      <c r="DA58" s="401" t="s">
        <v>2720</v>
      </c>
      <c r="DB58" s="401" t="s">
        <v>2720</v>
      </c>
      <c r="DC58" s="401" t="s">
        <v>2720</v>
      </c>
      <c r="DD58" s="401" t="s">
        <v>2720</v>
      </c>
      <c r="DE58" s="401" t="s">
        <v>2720</v>
      </c>
      <c r="DF58" s="401" t="s">
        <v>2720</v>
      </c>
      <c r="DG58" s="401" t="s">
        <v>2720</v>
      </c>
      <c r="DH58" s="401" t="s">
        <v>2720</v>
      </c>
      <c r="DI58" s="401" t="s">
        <v>2720</v>
      </c>
      <c r="DJ58" s="401" t="s">
        <v>2720</v>
      </c>
      <c r="DK58" s="401" t="s">
        <v>2720</v>
      </c>
      <c r="DL58" s="401" t="s">
        <v>2720</v>
      </c>
      <c r="DM58" s="401" t="s">
        <v>2720</v>
      </c>
      <c r="DN58" s="401" t="s">
        <v>2720</v>
      </c>
      <c r="DO58" s="403" t="s">
        <v>2720</v>
      </c>
      <c r="DP58" s="404" t="s">
        <v>2720</v>
      </c>
      <c r="DQ58" s="405" t="s">
        <v>2720</v>
      </c>
      <c r="DR58" s="405" t="s">
        <v>2720</v>
      </c>
      <c r="DS58" s="405" t="s">
        <v>2720</v>
      </c>
      <c r="DT58" s="405" t="s">
        <v>2720</v>
      </c>
      <c r="DU58" s="405" t="s">
        <v>2720</v>
      </c>
      <c r="DV58" s="405" t="s">
        <v>2720</v>
      </c>
      <c r="DW58" s="405" t="s">
        <v>2720</v>
      </c>
      <c r="DX58" s="405" t="s">
        <v>2720</v>
      </c>
      <c r="DY58" s="405" t="s">
        <v>2720</v>
      </c>
      <c r="DZ58" s="405" t="s">
        <v>2720</v>
      </c>
      <c r="EA58" s="405" t="s">
        <v>2720</v>
      </c>
      <c r="EB58" s="405" t="s">
        <v>2720</v>
      </c>
      <c r="EC58" s="405" t="s">
        <v>2720</v>
      </c>
      <c r="ED58" s="405" t="s">
        <v>2720</v>
      </c>
      <c r="EE58" s="405" t="s">
        <v>2720</v>
      </c>
      <c r="EF58" s="405" t="s">
        <v>2720</v>
      </c>
      <c r="EG58" s="405" t="s">
        <v>2720</v>
      </c>
      <c r="EH58" s="405" t="s">
        <v>2720</v>
      </c>
      <c r="EI58" s="405" t="s">
        <v>2720</v>
      </c>
      <c r="EJ58" s="405" t="s">
        <v>2720</v>
      </c>
      <c r="EK58" s="405" t="s">
        <v>2720</v>
      </c>
      <c r="EL58" s="405" t="s">
        <v>2720</v>
      </c>
      <c r="EM58" s="406" t="s">
        <v>2720</v>
      </c>
      <c r="EN58" s="405" t="s">
        <v>2720</v>
      </c>
      <c r="EO58" s="405" t="s">
        <v>2720</v>
      </c>
      <c r="EP58" s="405" t="s">
        <v>2720</v>
      </c>
      <c r="EQ58" s="405" t="s">
        <v>2720</v>
      </c>
      <c r="ER58" s="405" t="s">
        <v>2720</v>
      </c>
      <c r="ES58" s="405" t="s">
        <v>2720</v>
      </c>
      <c r="ET58" s="405" t="s">
        <v>2720</v>
      </c>
      <c r="EU58" s="405" t="s">
        <v>2720</v>
      </c>
      <c r="EV58" s="405" t="s">
        <v>2720</v>
      </c>
      <c r="EW58" s="405" t="s">
        <v>2720</v>
      </c>
      <c r="EX58" s="405" t="s">
        <v>2720</v>
      </c>
      <c r="EY58" s="405" t="s">
        <v>2720</v>
      </c>
      <c r="EZ58" s="405" t="s">
        <v>2720</v>
      </c>
      <c r="FA58" s="405" t="s">
        <v>2720</v>
      </c>
      <c r="FB58" s="405" t="s">
        <v>2720</v>
      </c>
      <c r="FC58" s="405" t="s">
        <v>2720</v>
      </c>
      <c r="FD58" s="405" t="s">
        <v>2720</v>
      </c>
      <c r="FE58" s="405" t="s">
        <v>2720</v>
      </c>
      <c r="FF58" s="405" t="s">
        <v>2720</v>
      </c>
      <c r="FG58" s="405" t="s">
        <v>2720</v>
      </c>
      <c r="FH58" s="405" t="s">
        <v>2720</v>
      </c>
      <c r="FI58" s="405" t="s">
        <v>2720</v>
      </c>
      <c r="FJ58" s="405" t="s">
        <v>2720</v>
      </c>
      <c r="FK58" s="407" t="s">
        <v>2720</v>
      </c>
      <c r="FM58" s="408"/>
    </row>
    <row r="59" spans="1:169" hidden="1">
      <c r="A59" s="150" t="s">
        <v>2720</v>
      </c>
      <c r="B59" s="375" t="s">
        <v>2720</v>
      </c>
      <c r="C59" s="376" t="s">
        <v>2720</v>
      </c>
      <c r="D59" s="377" t="s">
        <v>2720</v>
      </c>
      <c r="E59" s="378"/>
      <c r="F59" s="379" t="s">
        <v>2720</v>
      </c>
      <c r="G59" s="380" t="s">
        <v>2720</v>
      </c>
      <c r="H59" s="381" t="s">
        <v>2720</v>
      </c>
      <c r="I59" s="382" t="s">
        <v>2720</v>
      </c>
      <c r="J59" s="381" t="s">
        <v>2720</v>
      </c>
      <c r="K59" s="382" t="s">
        <v>2720</v>
      </c>
      <c r="L59" s="381" t="s">
        <v>2720</v>
      </c>
      <c r="M59" s="382" t="s">
        <v>2720</v>
      </c>
      <c r="N59" s="381" t="s">
        <v>2720</v>
      </c>
      <c r="O59" s="382" t="s">
        <v>2720</v>
      </c>
      <c r="P59" s="381" t="s">
        <v>2720</v>
      </c>
      <c r="Q59" s="382" t="s">
        <v>2720</v>
      </c>
      <c r="R59" s="381" t="s">
        <v>2720</v>
      </c>
      <c r="S59" s="382" t="s">
        <v>2720</v>
      </c>
      <c r="T59" s="381" t="s">
        <v>2720</v>
      </c>
      <c r="U59" s="382" t="s">
        <v>2720</v>
      </c>
      <c r="V59" s="381" t="s">
        <v>2720</v>
      </c>
      <c r="W59" s="382" t="s">
        <v>2720</v>
      </c>
      <c r="X59" s="383" t="s">
        <v>2720</v>
      </c>
      <c r="Y59" s="384"/>
      <c r="Z59" s="385" t="s">
        <v>2720</v>
      </c>
      <c r="AA59" s="386" t="s">
        <v>2720</v>
      </c>
      <c r="AB59" s="385" t="s">
        <v>2720</v>
      </c>
      <c r="AC59" s="386" t="s">
        <v>2720</v>
      </c>
      <c r="AD59" s="385" t="s">
        <v>2720</v>
      </c>
      <c r="AE59" s="386" t="s">
        <v>2720</v>
      </c>
      <c r="AF59" s="385" t="s">
        <v>2720</v>
      </c>
      <c r="AG59" s="386" t="s">
        <v>2720</v>
      </c>
      <c r="AH59" s="385" t="s">
        <v>2720</v>
      </c>
      <c r="AI59" s="386" t="s">
        <v>2720</v>
      </c>
      <c r="AJ59" s="385" t="s">
        <v>2720</v>
      </c>
      <c r="AK59" s="386" t="s">
        <v>2720</v>
      </c>
      <c r="AL59" s="385" t="s">
        <v>2720</v>
      </c>
      <c r="AM59" s="387" t="s">
        <v>2720</v>
      </c>
      <c r="AN59" s="385" t="s">
        <v>2720</v>
      </c>
      <c r="AO59" s="386" t="s">
        <v>2720</v>
      </c>
      <c r="AP59" s="385" t="s">
        <v>2720</v>
      </c>
      <c r="AQ59" s="387" t="s">
        <v>2720</v>
      </c>
      <c r="AR59" s="385" t="s">
        <v>2720</v>
      </c>
      <c r="AS59" s="387" t="s">
        <v>2720</v>
      </c>
      <c r="AT59" s="385" t="s">
        <v>2720</v>
      </c>
      <c r="AU59" s="387" t="s">
        <v>2720</v>
      </c>
      <c r="AV59" s="385" t="s">
        <v>2720</v>
      </c>
      <c r="AW59" s="387" t="s">
        <v>2720</v>
      </c>
      <c r="AX59" s="385" t="s">
        <v>2720</v>
      </c>
      <c r="AY59" s="384"/>
      <c r="AZ59" s="385" t="s">
        <v>2720</v>
      </c>
      <c r="BA59" s="384"/>
      <c r="BB59" s="388" t="s">
        <v>2720</v>
      </c>
      <c r="BC59" s="389" t="s">
        <v>2720</v>
      </c>
      <c r="BD59" s="390" t="s">
        <v>2720</v>
      </c>
      <c r="BE59" s="391" t="s">
        <v>2720</v>
      </c>
      <c r="BF59" s="390" t="s">
        <v>2720</v>
      </c>
      <c r="BG59" s="392"/>
      <c r="BH59" s="393" t="s">
        <v>2720</v>
      </c>
      <c r="BI59" s="394" t="s">
        <v>2720</v>
      </c>
      <c r="BJ59" s="395" t="s">
        <v>2720</v>
      </c>
      <c r="BK59" s="395" t="s">
        <v>2720</v>
      </c>
      <c r="BL59" s="395" t="s">
        <v>2720</v>
      </c>
      <c r="BM59" s="396" t="s">
        <v>2720</v>
      </c>
      <c r="BN59" s="397" t="s">
        <v>2720</v>
      </c>
      <c r="BO59" s="54" t="s">
        <v>2720</v>
      </c>
      <c r="BP59" s="397" t="s">
        <v>2720</v>
      </c>
      <c r="BQ59" s="54" t="s">
        <v>2720</v>
      </c>
      <c r="BR59" s="398" t="s">
        <v>2720</v>
      </c>
      <c r="BS59" s="399"/>
      <c r="BT59" s="400" t="s">
        <v>2720</v>
      </c>
      <c r="BU59" s="401" t="s">
        <v>2720</v>
      </c>
      <c r="BV59" s="401" t="s">
        <v>2720</v>
      </c>
      <c r="BW59" s="401" t="s">
        <v>2720</v>
      </c>
      <c r="BX59" s="402" t="s">
        <v>2720</v>
      </c>
      <c r="BY59" s="402" t="s">
        <v>2720</v>
      </c>
      <c r="BZ59" s="401" t="s">
        <v>2720</v>
      </c>
      <c r="CA59" s="401" t="s">
        <v>2720</v>
      </c>
      <c r="CB59" s="401" t="s">
        <v>2720</v>
      </c>
      <c r="CC59" s="401" t="s">
        <v>2720</v>
      </c>
      <c r="CD59" s="401" t="s">
        <v>2720</v>
      </c>
      <c r="CE59" s="401" t="s">
        <v>2720</v>
      </c>
      <c r="CF59" s="401" t="s">
        <v>2720</v>
      </c>
      <c r="CG59" s="401" t="s">
        <v>2720</v>
      </c>
      <c r="CH59" s="401" t="s">
        <v>2720</v>
      </c>
      <c r="CI59" s="401" t="s">
        <v>2720</v>
      </c>
      <c r="CJ59" s="401" t="s">
        <v>2720</v>
      </c>
      <c r="CK59" s="401" t="s">
        <v>2720</v>
      </c>
      <c r="CL59" s="401" t="s">
        <v>2720</v>
      </c>
      <c r="CM59" s="402" t="s">
        <v>2720</v>
      </c>
      <c r="CN59" s="401" t="s">
        <v>2720</v>
      </c>
      <c r="CO59" s="401" t="s">
        <v>2720</v>
      </c>
      <c r="CP59" s="401" t="s">
        <v>2720</v>
      </c>
      <c r="CQ59" s="290" t="s">
        <v>2720</v>
      </c>
      <c r="CR59" s="401" t="s">
        <v>2720</v>
      </c>
      <c r="CS59" s="401" t="s">
        <v>2720</v>
      </c>
      <c r="CT59" s="401" t="s">
        <v>2720</v>
      </c>
      <c r="CU59" s="401" t="s">
        <v>2720</v>
      </c>
      <c r="CV59" s="401" t="s">
        <v>2720</v>
      </c>
      <c r="CW59" s="401" t="s">
        <v>2720</v>
      </c>
      <c r="CX59" s="401" t="s">
        <v>2720</v>
      </c>
      <c r="CY59" s="401" t="s">
        <v>2720</v>
      </c>
      <c r="CZ59" s="401" t="s">
        <v>2720</v>
      </c>
      <c r="DA59" s="401" t="s">
        <v>2720</v>
      </c>
      <c r="DB59" s="401" t="s">
        <v>2720</v>
      </c>
      <c r="DC59" s="401" t="s">
        <v>2720</v>
      </c>
      <c r="DD59" s="401" t="s">
        <v>2720</v>
      </c>
      <c r="DE59" s="401" t="s">
        <v>2720</v>
      </c>
      <c r="DF59" s="401" t="s">
        <v>2720</v>
      </c>
      <c r="DG59" s="401" t="s">
        <v>2720</v>
      </c>
      <c r="DH59" s="401" t="s">
        <v>2720</v>
      </c>
      <c r="DI59" s="401" t="s">
        <v>2720</v>
      </c>
      <c r="DJ59" s="401" t="s">
        <v>2720</v>
      </c>
      <c r="DK59" s="401" t="s">
        <v>2720</v>
      </c>
      <c r="DL59" s="401" t="s">
        <v>2720</v>
      </c>
      <c r="DM59" s="401" t="s">
        <v>2720</v>
      </c>
      <c r="DN59" s="401" t="s">
        <v>2720</v>
      </c>
      <c r="DO59" s="403" t="s">
        <v>2720</v>
      </c>
      <c r="DP59" s="404" t="s">
        <v>2720</v>
      </c>
      <c r="DQ59" s="405" t="s">
        <v>2720</v>
      </c>
      <c r="DR59" s="405" t="s">
        <v>2720</v>
      </c>
      <c r="DS59" s="405" t="s">
        <v>2720</v>
      </c>
      <c r="DT59" s="405" t="s">
        <v>2720</v>
      </c>
      <c r="DU59" s="405" t="s">
        <v>2720</v>
      </c>
      <c r="DV59" s="405" t="s">
        <v>2720</v>
      </c>
      <c r="DW59" s="405" t="s">
        <v>2720</v>
      </c>
      <c r="DX59" s="405" t="s">
        <v>2720</v>
      </c>
      <c r="DY59" s="405" t="s">
        <v>2720</v>
      </c>
      <c r="DZ59" s="405" t="s">
        <v>2720</v>
      </c>
      <c r="EA59" s="405" t="s">
        <v>2720</v>
      </c>
      <c r="EB59" s="405" t="s">
        <v>2720</v>
      </c>
      <c r="EC59" s="405" t="s">
        <v>2720</v>
      </c>
      <c r="ED59" s="405" t="s">
        <v>2720</v>
      </c>
      <c r="EE59" s="405" t="s">
        <v>2720</v>
      </c>
      <c r="EF59" s="405" t="s">
        <v>2720</v>
      </c>
      <c r="EG59" s="405" t="s">
        <v>2720</v>
      </c>
      <c r="EH59" s="405" t="s">
        <v>2720</v>
      </c>
      <c r="EI59" s="405" t="s">
        <v>2720</v>
      </c>
      <c r="EJ59" s="405" t="s">
        <v>2720</v>
      </c>
      <c r="EK59" s="405" t="s">
        <v>2720</v>
      </c>
      <c r="EL59" s="405" t="s">
        <v>2720</v>
      </c>
      <c r="EM59" s="406" t="s">
        <v>2720</v>
      </c>
      <c r="EN59" s="405" t="s">
        <v>2720</v>
      </c>
      <c r="EO59" s="405" t="s">
        <v>2720</v>
      </c>
      <c r="EP59" s="405" t="s">
        <v>2720</v>
      </c>
      <c r="EQ59" s="405" t="s">
        <v>2720</v>
      </c>
      <c r="ER59" s="405" t="s">
        <v>2720</v>
      </c>
      <c r="ES59" s="405" t="s">
        <v>2720</v>
      </c>
      <c r="ET59" s="405" t="s">
        <v>2720</v>
      </c>
      <c r="EU59" s="405" t="s">
        <v>2720</v>
      </c>
      <c r="EV59" s="405" t="s">
        <v>2720</v>
      </c>
      <c r="EW59" s="405" t="s">
        <v>2720</v>
      </c>
      <c r="EX59" s="405" t="s">
        <v>2720</v>
      </c>
      <c r="EY59" s="405" t="s">
        <v>2720</v>
      </c>
      <c r="EZ59" s="405" t="s">
        <v>2720</v>
      </c>
      <c r="FA59" s="405" t="s">
        <v>2720</v>
      </c>
      <c r="FB59" s="405" t="s">
        <v>2720</v>
      </c>
      <c r="FC59" s="405" t="s">
        <v>2720</v>
      </c>
      <c r="FD59" s="405" t="s">
        <v>2720</v>
      </c>
      <c r="FE59" s="405" t="s">
        <v>2720</v>
      </c>
      <c r="FF59" s="405" t="s">
        <v>2720</v>
      </c>
      <c r="FG59" s="405" t="s">
        <v>2720</v>
      </c>
      <c r="FH59" s="405" t="s">
        <v>2720</v>
      </c>
      <c r="FI59" s="405" t="s">
        <v>2720</v>
      </c>
      <c r="FJ59" s="405" t="s">
        <v>2720</v>
      </c>
      <c r="FK59" s="407" t="s">
        <v>2720</v>
      </c>
      <c r="FM59" s="408"/>
    </row>
    <row r="60" spans="1:169" hidden="1">
      <c r="A60" s="150" t="s">
        <v>2720</v>
      </c>
      <c r="B60" s="375" t="s">
        <v>2720</v>
      </c>
      <c r="C60" s="376" t="s">
        <v>2720</v>
      </c>
      <c r="D60" s="377" t="s">
        <v>2720</v>
      </c>
      <c r="E60" s="378"/>
      <c r="F60" s="379" t="s">
        <v>2720</v>
      </c>
      <c r="G60" s="380" t="s">
        <v>2720</v>
      </c>
      <c r="H60" s="381" t="s">
        <v>2720</v>
      </c>
      <c r="I60" s="382" t="s">
        <v>2720</v>
      </c>
      <c r="J60" s="381" t="s">
        <v>2720</v>
      </c>
      <c r="K60" s="382" t="s">
        <v>2720</v>
      </c>
      <c r="L60" s="381" t="s">
        <v>2720</v>
      </c>
      <c r="M60" s="382" t="s">
        <v>2720</v>
      </c>
      <c r="N60" s="381" t="s">
        <v>2720</v>
      </c>
      <c r="O60" s="382" t="s">
        <v>2720</v>
      </c>
      <c r="P60" s="381" t="s">
        <v>2720</v>
      </c>
      <c r="Q60" s="382" t="s">
        <v>2720</v>
      </c>
      <c r="R60" s="381" t="s">
        <v>2720</v>
      </c>
      <c r="S60" s="382" t="s">
        <v>2720</v>
      </c>
      <c r="T60" s="381" t="s">
        <v>2720</v>
      </c>
      <c r="U60" s="382" t="s">
        <v>2720</v>
      </c>
      <c r="V60" s="381" t="s">
        <v>2720</v>
      </c>
      <c r="W60" s="382" t="s">
        <v>2720</v>
      </c>
      <c r="X60" s="383" t="s">
        <v>2720</v>
      </c>
      <c r="Y60" s="384"/>
      <c r="Z60" s="385" t="s">
        <v>2720</v>
      </c>
      <c r="AA60" s="386" t="s">
        <v>2720</v>
      </c>
      <c r="AB60" s="385" t="s">
        <v>2720</v>
      </c>
      <c r="AC60" s="386" t="s">
        <v>2720</v>
      </c>
      <c r="AD60" s="385" t="s">
        <v>2720</v>
      </c>
      <c r="AE60" s="386" t="s">
        <v>2720</v>
      </c>
      <c r="AF60" s="385" t="s">
        <v>2720</v>
      </c>
      <c r="AG60" s="386" t="s">
        <v>2720</v>
      </c>
      <c r="AH60" s="385" t="s">
        <v>2720</v>
      </c>
      <c r="AI60" s="386" t="s">
        <v>2720</v>
      </c>
      <c r="AJ60" s="385" t="s">
        <v>2720</v>
      </c>
      <c r="AK60" s="386" t="s">
        <v>2720</v>
      </c>
      <c r="AL60" s="385" t="s">
        <v>2720</v>
      </c>
      <c r="AM60" s="387" t="s">
        <v>2720</v>
      </c>
      <c r="AN60" s="385" t="s">
        <v>2720</v>
      </c>
      <c r="AO60" s="386" t="s">
        <v>2720</v>
      </c>
      <c r="AP60" s="385" t="s">
        <v>2720</v>
      </c>
      <c r="AQ60" s="387" t="s">
        <v>2720</v>
      </c>
      <c r="AR60" s="385" t="s">
        <v>2720</v>
      </c>
      <c r="AS60" s="387" t="s">
        <v>2720</v>
      </c>
      <c r="AT60" s="385" t="s">
        <v>2720</v>
      </c>
      <c r="AU60" s="387" t="s">
        <v>2720</v>
      </c>
      <c r="AV60" s="385" t="s">
        <v>2720</v>
      </c>
      <c r="AW60" s="387" t="s">
        <v>2720</v>
      </c>
      <c r="AX60" s="385" t="s">
        <v>2720</v>
      </c>
      <c r="AY60" s="384"/>
      <c r="AZ60" s="385" t="s">
        <v>2720</v>
      </c>
      <c r="BA60" s="384"/>
      <c r="BB60" s="388" t="s">
        <v>2720</v>
      </c>
      <c r="BC60" s="389" t="s">
        <v>2720</v>
      </c>
      <c r="BD60" s="390" t="s">
        <v>2720</v>
      </c>
      <c r="BE60" s="391" t="s">
        <v>2720</v>
      </c>
      <c r="BF60" s="390" t="s">
        <v>2720</v>
      </c>
      <c r="BG60" s="392"/>
      <c r="BH60" s="393" t="s">
        <v>2720</v>
      </c>
      <c r="BI60" s="394" t="s">
        <v>2720</v>
      </c>
      <c r="BJ60" s="395" t="s">
        <v>2720</v>
      </c>
      <c r="BK60" s="395" t="s">
        <v>2720</v>
      </c>
      <c r="BL60" s="395" t="s">
        <v>2720</v>
      </c>
      <c r="BM60" s="396" t="s">
        <v>2720</v>
      </c>
      <c r="BN60" s="397" t="s">
        <v>2720</v>
      </c>
      <c r="BO60" s="54" t="s">
        <v>2720</v>
      </c>
      <c r="BP60" s="397" t="s">
        <v>2720</v>
      </c>
      <c r="BQ60" s="54" t="s">
        <v>2720</v>
      </c>
      <c r="BR60" s="398" t="s">
        <v>2720</v>
      </c>
      <c r="BS60" s="399"/>
      <c r="BT60" s="400" t="s">
        <v>2720</v>
      </c>
      <c r="BU60" s="401" t="s">
        <v>2720</v>
      </c>
      <c r="BV60" s="401" t="s">
        <v>2720</v>
      </c>
      <c r="BW60" s="401" t="s">
        <v>2720</v>
      </c>
      <c r="BX60" s="402" t="s">
        <v>2720</v>
      </c>
      <c r="BY60" s="402" t="s">
        <v>2720</v>
      </c>
      <c r="BZ60" s="401" t="s">
        <v>2720</v>
      </c>
      <c r="CA60" s="401" t="s">
        <v>2720</v>
      </c>
      <c r="CB60" s="401" t="s">
        <v>2720</v>
      </c>
      <c r="CC60" s="401" t="s">
        <v>2720</v>
      </c>
      <c r="CD60" s="401" t="s">
        <v>2720</v>
      </c>
      <c r="CE60" s="401" t="s">
        <v>2720</v>
      </c>
      <c r="CF60" s="401" t="s">
        <v>2720</v>
      </c>
      <c r="CG60" s="401" t="s">
        <v>2720</v>
      </c>
      <c r="CH60" s="401" t="s">
        <v>2720</v>
      </c>
      <c r="CI60" s="401" t="s">
        <v>2720</v>
      </c>
      <c r="CJ60" s="401" t="s">
        <v>2720</v>
      </c>
      <c r="CK60" s="401" t="s">
        <v>2720</v>
      </c>
      <c r="CL60" s="401" t="s">
        <v>2720</v>
      </c>
      <c r="CM60" s="402" t="s">
        <v>2720</v>
      </c>
      <c r="CN60" s="401" t="s">
        <v>2720</v>
      </c>
      <c r="CO60" s="401" t="s">
        <v>2720</v>
      </c>
      <c r="CP60" s="401" t="s">
        <v>2720</v>
      </c>
      <c r="CQ60" s="290" t="s">
        <v>2720</v>
      </c>
      <c r="CR60" s="401" t="s">
        <v>2720</v>
      </c>
      <c r="CS60" s="401" t="s">
        <v>2720</v>
      </c>
      <c r="CT60" s="401" t="s">
        <v>2720</v>
      </c>
      <c r="CU60" s="401" t="s">
        <v>2720</v>
      </c>
      <c r="CV60" s="401" t="s">
        <v>2720</v>
      </c>
      <c r="CW60" s="401" t="s">
        <v>2720</v>
      </c>
      <c r="CX60" s="401" t="s">
        <v>2720</v>
      </c>
      <c r="CY60" s="401" t="s">
        <v>2720</v>
      </c>
      <c r="CZ60" s="401" t="s">
        <v>2720</v>
      </c>
      <c r="DA60" s="401" t="s">
        <v>2720</v>
      </c>
      <c r="DB60" s="401" t="s">
        <v>2720</v>
      </c>
      <c r="DC60" s="401" t="s">
        <v>2720</v>
      </c>
      <c r="DD60" s="401" t="s">
        <v>2720</v>
      </c>
      <c r="DE60" s="401" t="s">
        <v>2720</v>
      </c>
      <c r="DF60" s="401" t="s">
        <v>2720</v>
      </c>
      <c r="DG60" s="401" t="s">
        <v>2720</v>
      </c>
      <c r="DH60" s="401" t="s">
        <v>2720</v>
      </c>
      <c r="DI60" s="401" t="s">
        <v>2720</v>
      </c>
      <c r="DJ60" s="401" t="s">
        <v>2720</v>
      </c>
      <c r="DK60" s="401" t="s">
        <v>2720</v>
      </c>
      <c r="DL60" s="401" t="s">
        <v>2720</v>
      </c>
      <c r="DM60" s="401" t="s">
        <v>2720</v>
      </c>
      <c r="DN60" s="401" t="s">
        <v>2720</v>
      </c>
      <c r="DO60" s="403" t="s">
        <v>2720</v>
      </c>
      <c r="DP60" s="404" t="s">
        <v>2720</v>
      </c>
      <c r="DQ60" s="405" t="s">
        <v>2720</v>
      </c>
      <c r="DR60" s="405" t="s">
        <v>2720</v>
      </c>
      <c r="DS60" s="405" t="s">
        <v>2720</v>
      </c>
      <c r="DT60" s="405" t="s">
        <v>2720</v>
      </c>
      <c r="DU60" s="405" t="s">
        <v>2720</v>
      </c>
      <c r="DV60" s="405" t="s">
        <v>2720</v>
      </c>
      <c r="DW60" s="405" t="s">
        <v>2720</v>
      </c>
      <c r="DX60" s="405" t="s">
        <v>2720</v>
      </c>
      <c r="DY60" s="405" t="s">
        <v>2720</v>
      </c>
      <c r="DZ60" s="405" t="s">
        <v>2720</v>
      </c>
      <c r="EA60" s="405" t="s">
        <v>2720</v>
      </c>
      <c r="EB60" s="405" t="s">
        <v>2720</v>
      </c>
      <c r="EC60" s="405" t="s">
        <v>2720</v>
      </c>
      <c r="ED60" s="405" t="s">
        <v>2720</v>
      </c>
      <c r="EE60" s="405" t="s">
        <v>2720</v>
      </c>
      <c r="EF60" s="405" t="s">
        <v>2720</v>
      </c>
      <c r="EG60" s="405" t="s">
        <v>2720</v>
      </c>
      <c r="EH60" s="405" t="s">
        <v>2720</v>
      </c>
      <c r="EI60" s="405" t="s">
        <v>2720</v>
      </c>
      <c r="EJ60" s="405" t="s">
        <v>2720</v>
      </c>
      <c r="EK60" s="405" t="s">
        <v>2720</v>
      </c>
      <c r="EL60" s="405" t="s">
        <v>2720</v>
      </c>
      <c r="EM60" s="406" t="s">
        <v>2720</v>
      </c>
      <c r="EN60" s="405" t="s">
        <v>2720</v>
      </c>
      <c r="EO60" s="405" t="s">
        <v>2720</v>
      </c>
      <c r="EP60" s="405" t="s">
        <v>2720</v>
      </c>
      <c r="EQ60" s="405" t="s">
        <v>2720</v>
      </c>
      <c r="ER60" s="405" t="s">
        <v>2720</v>
      </c>
      <c r="ES60" s="405" t="s">
        <v>2720</v>
      </c>
      <c r="ET60" s="405" t="s">
        <v>2720</v>
      </c>
      <c r="EU60" s="405" t="s">
        <v>2720</v>
      </c>
      <c r="EV60" s="405" t="s">
        <v>2720</v>
      </c>
      <c r="EW60" s="405" t="s">
        <v>2720</v>
      </c>
      <c r="EX60" s="405" t="s">
        <v>2720</v>
      </c>
      <c r="EY60" s="405" t="s">
        <v>2720</v>
      </c>
      <c r="EZ60" s="405" t="s">
        <v>2720</v>
      </c>
      <c r="FA60" s="405" t="s">
        <v>2720</v>
      </c>
      <c r="FB60" s="405" t="s">
        <v>2720</v>
      </c>
      <c r="FC60" s="405" t="s">
        <v>2720</v>
      </c>
      <c r="FD60" s="405" t="s">
        <v>2720</v>
      </c>
      <c r="FE60" s="405" t="s">
        <v>2720</v>
      </c>
      <c r="FF60" s="405" t="s">
        <v>2720</v>
      </c>
      <c r="FG60" s="405" t="s">
        <v>2720</v>
      </c>
      <c r="FH60" s="405" t="s">
        <v>2720</v>
      </c>
      <c r="FI60" s="405" t="s">
        <v>2720</v>
      </c>
      <c r="FJ60" s="405" t="s">
        <v>2720</v>
      </c>
      <c r="FK60" s="407" t="s">
        <v>2720</v>
      </c>
      <c r="FM60" s="408"/>
    </row>
    <row r="61" spans="1:169" hidden="1">
      <c r="A61" s="150" t="s">
        <v>2720</v>
      </c>
      <c r="B61" s="375" t="s">
        <v>2720</v>
      </c>
      <c r="C61" s="376" t="s">
        <v>2720</v>
      </c>
      <c r="D61" s="377" t="s">
        <v>2720</v>
      </c>
      <c r="E61" s="378"/>
      <c r="F61" s="379" t="s">
        <v>2720</v>
      </c>
      <c r="G61" s="380" t="s">
        <v>2720</v>
      </c>
      <c r="H61" s="381" t="s">
        <v>2720</v>
      </c>
      <c r="I61" s="382" t="s">
        <v>2720</v>
      </c>
      <c r="J61" s="381" t="s">
        <v>2720</v>
      </c>
      <c r="K61" s="382" t="s">
        <v>2720</v>
      </c>
      <c r="L61" s="381" t="s">
        <v>2720</v>
      </c>
      <c r="M61" s="382" t="s">
        <v>2720</v>
      </c>
      <c r="N61" s="381" t="s">
        <v>2720</v>
      </c>
      <c r="O61" s="382" t="s">
        <v>2720</v>
      </c>
      <c r="P61" s="381" t="s">
        <v>2720</v>
      </c>
      <c r="Q61" s="382" t="s">
        <v>2720</v>
      </c>
      <c r="R61" s="381" t="s">
        <v>2720</v>
      </c>
      <c r="S61" s="382" t="s">
        <v>2720</v>
      </c>
      <c r="T61" s="381" t="s">
        <v>2720</v>
      </c>
      <c r="U61" s="382" t="s">
        <v>2720</v>
      </c>
      <c r="V61" s="381" t="s">
        <v>2720</v>
      </c>
      <c r="W61" s="382" t="s">
        <v>2720</v>
      </c>
      <c r="X61" s="383" t="s">
        <v>2720</v>
      </c>
      <c r="Y61" s="384"/>
      <c r="Z61" s="385" t="s">
        <v>2720</v>
      </c>
      <c r="AA61" s="386" t="s">
        <v>2720</v>
      </c>
      <c r="AB61" s="385" t="s">
        <v>2720</v>
      </c>
      <c r="AC61" s="386" t="s">
        <v>2720</v>
      </c>
      <c r="AD61" s="385" t="s">
        <v>2720</v>
      </c>
      <c r="AE61" s="386" t="s">
        <v>2720</v>
      </c>
      <c r="AF61" s="385" t="s">
        <v>2720</v>
      </c>
      <c r="AG61" s="386" t="s">
        <v>2720</v>
      </c>
      <c r="AH61" s="385" t="s">
        <v>2720</v>
      </c>
      <c r="AI61" s="386" t="s">
        <v>2720</v>
      </c>
      <c r="AJ61" s="385" t="s">
        <v>2720</v>
      </c>
      <c r="AK61" s="386" t="s">
        <v>2720</v>
      </c>
      <c r="AL61" s="385" t="s">
        <v>2720</v>
      </c>
      <c r="AM61" s="387" t="s">
        <v>2720</v>
      </c>
      <c r="AN61" s="385" t="s">
        <v>2720</v>
      </c>
      <c r="AO61" s="386" t="s">
        <v>2720</v>
      </c>
      <c r="AP61" s="385" t="s">
        <v>2720</v>
      </c>
      <c r="AQ61" s="387" t="s">
        <v>2720</v>
      </c>
      <c r="AR61" s="385" t="s">
        <v>2720</v>
      </c>
      <c r="AS61" s="387" t="s">
        <v>2720</v>
      </c>
      <c r="AT61" s="385" t="s">
        <v>2720</v>
      </c>
      <c r="AU61" s="387" t="s">
        <v>2720</v>
      </c>
      <c r="AV61" s="385" t="s">
        <v>2720</v>
      </c>
      <c r="AW61" s="387" t="s">
        <v>2720</v>
      </c>
      <c r="AX61" s="385" t="s">
        <v>2720</v>
      </c>
      <c r="AY61" s="384"/>
      <c r="AZ61" s="385" t="s">
        <v>2720</v>
      </c>
      <c r="BA61" s="384"/>
      <c r="BB61" s="388" t="s">
        <v>2720</v>
      </c>
      <c r="BC61" s="389" t="s">
        <v>2720</v>
      </c>
      <c r="BD61" s="390" t="s">
        <v>2720</v>
      </c>
      <c r="BE61" s="391" t="s">
        <v>2720</v>
      </c>
      <c r="BF61" s="390" t="s">
        <v>2720</v>
      </c>
      <c r="BG61" s="392"/>
      <c r="BH61" s="393" t="s">
        <v>2720</v>
      </c>
      <c r="BI61" s="394" t="s">
        <v>2720</v>
      </c>
      <c r="BJ61" s="395" t="s">
        <v>2720</v>
      </c>
      <c r="BK61" s="395" t="s">
        <v>2720</v>
      </c>
      <c r="BL61" s="395" t="s">
        <v>2720</v>
      </c>
      <c r="BM61" s="396" t="s">
        <v>2720</v>
      </c>
      <c r="BN61" s="397" t="s">
        <v>2720</v>
      </c>
      <c r="BO61" s="54" t="s">
        <v>2720</v>
      </c>
      <c r="BP61" s="397" t="s">
        <v>2720</v>
      </c>
      <c r="BQ61" s="54" t="s">
        <v>2720</v>
      </c>
      <c r="BR61" s="398" t="s">
        <v>2720</v>
      </c>
      <c r="BS61" s="399"/>
      <c r="BT61" s="400" t="s">
        <v>2720</v>
      </c>
      <c r="BU61" s="401" t="s">
        <v>2720</v>
      </c>
      <c r="BV61" s="401" t="s">
        <v>2720</v>
      </c>
      <c r="BW61" s="401" t="s">
        <v>2720</v>
      </c>
      <c r="BX61" s="402" t="s">
        <v>2720</v>
      </c>
      <c r="BY61" s="402" t="s">
        <v>2720</v>
      </c>
      <c r="BZ61" s="401" t="s">
        <v>2720</v>
      </c>
      <c r="CA61" s="401" t="s">
        <v>2720</v>
      </c>
      <c r="CB61" s="401" t="s">
        <v>2720</v>
      </c>
      <c r="CC61" s="401" t="s">
        <v>2720</v>
      </c>
      <c r="CD61" s="401" t="s">
        <v>2720</v>
      </c>
      <c r="CE61" s="401" t="s">
        <v>2720</v>
      </c>
      <c r="CF61" s="401" t="s">
        <v>2720</v>
      </c>
      <c r="CG61" s="401" t="s">
        <v>2720</v>
      </c>
      <c r="CH61" s="401" t="s">
        <v>2720</v>
      </c>
      <c r="CI61" s="401" t="s">
        <v>2720</v>
      </c>
      <c r="CJ61" s="401" t="s">
        <v>2720</v>
      </c>
      <c r="CK61" s="401" t="s">
        <v>2720</v>
      </c>
      <c r="CL61" s="401" t="s">
        <v>2720</v>
      </c>
      <c r="CM61" s="402" t="s">
        <v>2720</v>
      </c>
      <c r="CN61" s="401" t="s">
        <v>2720</v>
      </c>
      <c r="CO61" s="401" t="s">
        <v>2720</v>
      </c>
      <c r="CP61" s="401" t="s">
        <v>2720</v>
      </c>
      <c r="CQ61" s="290" t="s">
        <v>2720</v>
      </c>
      <c r="CR61" s="401" t="s">
        <v>2720</v>
      </c>
      <c r="CS61" s="401" t="s">
        <v>2720</v>
      </c>
      <c r="CT61" s="401" t="s">
        <v>2720</v>
      </c>
      <c r="CU61" s="401" t="s">
        <v>2720</v>
      </c>
      <c r="CV61" s="401" t="s">
        <v>2720</v>
      </c>
      <c r="CW61" s="401" t="s">
        <v>2720</v>
      </c>
      <c r="CX61" s="401" t="s">
        <v>2720</v>
      </c>
      <c r="CY61" s="401" t="s">
        <v>2720</v>
      </c>
      <c r="CZ61" s="401" t="s">
        <v>2720</v>
      </c>
      <c r="DA61" s="401" t="s">
        <v>2720</v>
      </c>
      <c r="DB61" s="401" t="s">
        <v>2720</v>
      </c>
      <c r="DC61" s="401" t="s">
        <v>2720</v>
      </c>
      <c r="DD61" s="401" t="s">
        <v>2720</v>
      </c>
      <c r="DE61" s="401" t="s">
        <v>2720</v>
      </c>
      <c r="DF61" s="401" t="s">
        <v>2720</v>
      </c>
      <c r="DG61" s="401" t="s">
        <v>2720</v>
      </c>
      <c r="DH61" s="401" t="s">
        <v>2720</v>
      </c>
      <c r="DI61" s="401" t="s">
        <v>2720</v>
      </c>
      <c r="DJ61" s="401" t="s">
        <v>2720</v>
      </c>
      <c r="DK61" s="401" t="s">
        <v>2720</v>
      </c>
      <c r="DL61" s="401" t="s">
        <v>2720</v>
      </c>
      <c r="DM61" s="401" t="s">
        <v>2720</v>
      </c>
      <c r="DN61" s="401" t="s">
        <v>2720</v>
      </c>
      <c r="DO61" s="403" t="s">
        <v>2720</v>
      </c>
      <c r="DP61" s="404" t="s">
        <v>2720</v>
      </c>
      <c r="DQ61" s="405" t="s">
        <v>2720</v>
      </c>
      <c r="DR61" s="405" t="s">
        <v>2720</v>
      </c>
      <c r="DS61" s="405" t="s">
        <v>2720</v>
      </c>
      <c r="DT61" s="405" t="s">
        <v>2720</v>
      </c>
      <c r="DU61" s="405" t="s">
        <v>2720</v>
      </c>
      <c r="DV61" s="405" t="s">
        <v>2720</v>
      </c>
      <c r="DW61" s="405" t="s">
        <v>2720</v>
      </c>
      <c r="DX61" s="405" t="s">
        <v>2720</v>
      </c>
      <c r="DY61" s="405" t="s">
        <v>2720</v>
      </c>
      <c r="DZ61" s="405" t="s">
        <v>2720</v>
      </c>
      <c r="EA61" s="405" t="s">
        <v>2720</v>
      </c>
      <c r="EB61" s="405" t="s">
        <v>2720</v>
      </c>
      <c r="EC61" s="405" t="s">
        <v>2720</v>
      </c>
      <c r="ED61" s="405" t="s">
        <v>2720</v>
      </c>
      <c r="EE61" s="405" t="s">
        <v>2720</v>
      </c>
      <c r="EF61" s="405" t="s">
        <v>2720</v>
      </c>
      <c r="EG61" s="405" t="s">
        <v>2720</v>
      </c>
      <c r="EH61" s="405" t="s">
        <v>2720</v>
      </c>
      <c r="EI61" s="405" t="s">
        <v>2720</v>
      </c>
      <c r="EJ61" s="405" t="s">
        <v>2720</v>
      </c>
      <c r="EK61" s="405" t="s">
        <v>2720</v>
      </c>
      <c r="EL61" s="405" t="s">
        <v>2720</v>
      </c>
      <c r="EM61" s="406" t="s">
        <v>2720</v>
      </c>
      <c r="EN61" s="405" t="s">
        <v>2720</v>
      </c>
      <c r="EO61" s="405" t="s">
        <v>2720</v>
      </c>
      <c r="EP61" s="405" t="s">
        <v>2720</v>
      </c>
      <c r="EQ61" s="405" t="s">
        <v>2720</v>
      </c>
      <c r="ER61" s="405" t="s">
        <v>2720</v>
      </c>
      <c r="ES61" s="405" t="s">
        <v>2720</v>
      </c>
      <c r="ET61" s="405" t="s">
        <v>2720</v>
      </c>
      <c r="EU61" s="405" t="s">
        <v>2720</v>
      </c>
      <c r="EV61" s="405" t="s">
        <v>2720</v>
      </c>
      <c r="EW61" s="405" t="s">
        <v>2720</v>
      </c>
      <c r="EX61" s="405" t="s">
        <v>2720</v>
      </c>
      <c r="EY61" s="405" t="s">
        <v>2720</v>
      </c>
      <c r="EZ61" s="405" t="s">
        <v>2720</v>
      </c>
      <c r="FA61" s="405" t="s">
        <v>2720</v>
      </c>
      <c r="FB61" s="405" t="s">
        <v>2720</v>
      </c>
      <c r="FC61" s="405" t="s">
        <v>2720</v>
      </c>
      <c r="FD61" s="405" t="s">
        <v>2720</v>
      </c>
      <c r="FE61" s="405" t="s">
        <v>2720</v>
      </c>
      <c r="FF61" s="405" t="s">
        <v>2720</v>
      </c>
      <c r="FG61" s="405" t="s">
        <v>2720</v>
      </c>
      <c r="FH61" s="405" t="s">
        <v>2720</v>
      </c>
      <c r="FI61" s="405" t="s">
        <v>2720</v>
      </c>
      <c r="FJ61" s="405" t="s">
        <v>2720</v>
      </c>
      <c r="FK61" s="407" t="s">
        <v>2720</v>
      </c>
      <c r="FM61" s="408"/>
    </row>
    <row r="62" spans="1:169" hidden="1">
      <c r="A62" s="150" t="s">
        <v>2720</v>
      </c>
      <c r="B62" s="375" t="s">
        <v>2720</v>
      </c>
      <c r="C62" s="376" t="s">
        <v>2720</v>
      </c>
      <c r="D62" s="377" t="s">
        <v>2720</v>
      </c>
      <c r="E62" s="378"/>
      <c r="F62" s="379" t="s">
        <v>2720</v>
      </c>
      <c r="G62" s="380" t="s">
        <v>2720</v>
      </c>
      <c r="H62" s="381" t="s">
        <v>2720</v>
      </c>
      <c r="I62" s="382" t="s">
        <v>2720</v>
      </c>
      <c r="J62" s="381" t="s">
        <v>2720</v>
      </c>
      <c r="K62" s="382" t="s">
        <v>2720</v>
      </c>
      <c r="L62" s="381" t="s">
        <v>2720</v>
      </c>
      <c r="M62" s="382" t="s">
        <v>2720</v>
      </c>
      <c r="N62" s="381" t="s">
        <v>2720</v>
      </c>
      <c r="O62" s="382" t="s">
        <v>2720</v>
      </c>
      <c r="P62" s="381" t="s">
        <v>2720</v>
      </c>
      <c r="Q62" s="382" t="s">
        <v>2720</v>
      </c>
      <c r="R62" s="381" t="s">
        <v>2720</v>
      </c>
      <c r="S62" s="382" t="s">
        <v>2720</v>
      </c>
      <c r="T62" s="381" t="s">
        <v>2720</v>
      </c>
      <c r="U62" s="382" t="s">
        <v>2720</v>
      </c>
      <c r="V62" s="381" t="s">
        <v>2720</v>
      </c>
      <c r="W62" s="382" t="s">
        <v>2720</v>
      </c>
      <c r="X62" s="383" t="s">
        <v>2720</v>
      </c>
      <c r="Y62" s="384"/>
      <c r="Z62" s="385" t="s">
        <v>2720</v>
      </c>
      <c r="AA62" s="386" t="s">
        <v>2720</v>
      </c>
      <c r="AB62" s="385" t="s">
        <v>2720</v>
      </c>
      <c r="AC62" s="386" t="s">
        <v>2720</v>
      </c>
      <c r="AD62" s="385" t="s">
        <v>2720</v>
      </c>
      <c r="AE62" s="386" t="s">
        <v>2720</v>
      </c>
      <c r="AF62" s="385" t="s">
        <v>2720</v>
      </c>
      <c r="AG62" s="386" t="s">
        <v>2720</v>
      </c>
      <c r="AH62" s="385" t="s">
        <v>2720</v>
      </c>
      <c r="AI62" s="386" t="s">
        <v>2720</v>
      </c>
      <c r="AJ62" s="385" t="s">
        <v>2720</v>
      </c>
      <c r="AK62" s="386" t="s">
        <v>2720</v>
      </c>
      <c r="AL62" s="385" t="s">
        <v>2720</v>
      </c>
      <c r="AM62" s="387" t="s">
        <v>2720</v>
      </c>
      <c r="AN62" s="385" t="s">
        <v>2720</v>
      </c>
      <c r="AO62" s="386" t="s">
        <v>2720</v>
      </c>
      <c r="AP62" s="385" t="s">
        <v>2720</v>
      </c>
      <c r="AQ62" s="387" t="s">
        <v>2720</v>
      </c>
      <c r="AR62" s="385" t="s">
        <v>2720</v>
      </c>
      <c r="AS62" s="387" t="s">
        <v>2720</v>
      </c>
      <c r="AT62" s="385" t="s">
        <v>2720</v>
      </c>
      <c r="AU62" s="387" t="s">
        <v>2720</v>
      </c>
      <c r="AV62" s="385" t="s">
        <v>2720</v>
      </c>
      <c r="AW62" s="387" t="s">
        <v>2720</v>
      </c>
      <c r="AX62" s="385" t="s">
        <v>2720</v>
      </c>
      <c r="AY62" s="384"/>
      <c r="AZ62" s="385" t="s">
        <v>2720</v>
      </c>
      <c r="BA62" s="384"/>
      <c r="BB62" s="388" t="s">
        <v>2720</v>
      </c>
      <c r="BC62" s="389" t="s">
        <v>2720</v>
      </c>
      <c r="BD62" s="390" t="s">
        <v>2720</v>
      </c>
      <c r="BE62" s="391" t="s">
        <v>2720</v>
      </c>
      <c r="BF62" s="390" t="s">
        <v>2720</v>
      </c>
      <c r="BG62" s="392"/>
      <c r="BH62" s="393" t="s">
        <v>2720</v>
      </c>
      <c r="BI62" s="394" t="s">
        <v>2720</v>
      </c>
      <c r="BJ62" s="395" t="s">
        <v>2720</v>
      </c>
      <c r="BK62" s="395" t="s">
        <v>2720</v>
      </c>
      <c r="BL62" s="395" t="s">
        <v>2720</v>
      </c>
      <c r="BM62" s="396" t="s">
        <v>2720</v>
      </c>
      <c r="BN62" s="397" t="s">
        <v>2720</v>
      </c>
      <c r="BO62" s="54" t="s">
        <v>2720</v>
      </c>
      <c r="BP62" s="397" t="s">
        <v>2720</v>
      </c>
      <c r="BQ62" s="54" t="s">
        <v>2720</v>
      </c>
      <c r="BR62" s="398" t="s">
        <v>2720</v>
      </c>
      <c r="BS62" s="399"/>
      <c r="BT62" s="400" t="s">
        <v>2720</v>
      </c>
      <c r="BU62" s="401" t="s">
        <v>2720</v>
      </c>
      <c r="BV62" s="401" t="s">
        <v>2720</v>
      </c>
      <c r="BW62" s="401" t="s">
        <v>2720</v>
      </c>
      <c r="BX62" s="402" t="s">
        <v>2720</v>
      </c>
      <c r="BY62" s="402" t="s">
        <v>2720</v>
      </c>
      <c r="BZ62" s="401" t="s">
        <v>2720</v>
      </c>
      <c r="CA62" s="401" t="s">
        <v>2720</v>
      </c>
      <c r="CB62" s="401" t="s">
        <v>2720</v>
      </c>
      <c r="CC62" s="401" t="s">
        <v>2720</v>
      </c>
      <c r="CD62" s="401" t="s">
        <v>2720</v>
      </c>
      <c r="CE62" s="401" t="s">
        <v>2720</v>
      </c>
      <c r="CF62" s="401" t="s">
        <v>2720</v>
      </c>
      <c r="CG62" s="401" t="s">
        <v>2720</v>
      </c>
      <c r="CH62" s="401" t="s">
        <v>2720</v>
      </c>
      <c r="CI62" s="401" t="s">
        <v>2720</v>
      </c>
      <c r="CJ62" s="401" t="s">
        <v>2720</v>
      </c>
      <c r="CK62" s="401" t="s">
        <v>2720</v>
      </c>
      <c r="CL62" s="401" t="s">
        <v>2720</v>
      </c>
      <c r="CM62" s="402" t="s">
        <v>2720</v>
      </c>
      <c r="CN62" s="401" t="s">
        <v>2720</v>
      </c>
      <c r="CO62" s="401" t="s">
        <v>2720</v>
      </c>
      <c r="CP62" s="401" t="s">
        <v>2720</v>
      </c>
      <c r="CQ62" s="290" t="s">
        <v>2720</v>
      </c>
      <c r="CR62" s="401" t="s">
        <v>2720</v>
      </c>
      <c r="CS62" s="401" t="s">
        <v>2720</v>
      </c>
      <c r="CT62" s="401" t="s">
        <v>2720</v>
      </c>
      <c r="CU62" s="401" t="s">
        <v>2720</v>
      </c>
      <c r="CV62" s="401" t="s">
        <v>2720</v>
      </c>
      <c r="CW62" s="401" t="s">
        <v>2720</v>
      </c>
      <c r="CX62" s="401" t="s">
        <v>2720</v>
      </c>
      <c r="CY62" s="401" t="s">
        <v>2720</v>
      </c>
      <c r="CZ62" s="401" t="s">
        <v>2720</v>
      </c>
      <c r="DA62" s="401" t="s">
        <v>2720</v>
      </c>
      <c r="DB62" s="401" t="s">
        <v>2720</v>
      </c>
      <c r="DC62" s="401" t="s">
        <v>2720</v>
      </c>
      <c r="DD62" s="401" t="s">
        <v>2720</v>
      </c>
      <c r="DE62" s="401" t="s">
        <v>2720</v>
      </c>
      <c r="DF62" s="401" t="s">
        <v>2720</v>
      </c>
      <c r="DG62" s="401" t="s">
        <v>2720</v>
      </c>
      <c r="DH62" s="401" t="s">
        <v>2720</v>
      </c>
      <c r="DI62" s="401" t="s">
        <v>2720</v>
      </c>
      <c r="DJ62" s="401" t="s">
        <v>2720</v>
      </c>
      <c r="DK62" s="401" t="s">
        <v>2720</v>
      </c>
      <c r="DL62" s="401" t="s">
        <v>2720</v>
      </c>
      <c r="DM62" s="401" t="s">
        <v>2720</v>
      </c>
      <c r="DN62" s="401" t="s">
        <v>2720</v>
      </c>
      <c r="DO62" s="403" t="s">
        <v>2720</v>
      </c>
      <c r="DP62" s="404" t="s">
        <v>2720</v>
      </c>
      <c r="DQ62" s="405" t="s">
        <v>2720</v>
      </c>
      <c r="DR62" s="405" t="s">
        <v>2720</v>
      </c>
      <c r="DS62" s="405" t="s">
        <v>2720</v>
      </c>
      <c r="DT62" s="405" t="s">
        <v>2720</v>
      </c>
      <c r="DU62" s="405" t="s">
        <v>2720</v>
      </c>
      <c r="DV62" s="405" t="s">
        <v>2720</v>
      </c>
      <c r="DW62" s="405" t="s">
        <v>2720</v>
      </c>
      <c r="DX62" s="405" t="s">
        <v>2720</v>
      </c>
      <c r="DY62" s="405" t="s">
        <v>2720</v>
      </c>
      <c r="DZ62" s="405" t="s">
        <v>2720</v>
      </c>
      <c r="EA62" s="405" t="s">
        <v>2720</v>
      </c>
      <c r="EB62" s="405" t="s">
        <v>2720</v>
      </c>
      <c r="EC62" s="405" t="s">
        <v>2720</v>
      </c>
      <c r="ED62" s="405" t="s">
        <v>2720</v>
      </c>
      <c r="EE62" s="405" t="s">
        <v>2720</v>
      </c>
      <c r="EF62" s="405" t="s">
        <v>2720</v>
      </c>
      <c r="EG62" s="405" t="s">
        <v>2720</v>
      </c>
      <c r="EH62" s="405" t="s">
        <v>2720</v>
      </c>
      <c r="EI62" s="405" t="s">
        <v>2720</v>
      </c>
      <c r="EJ62" s="405" t="s">
        <v>2720</v>
      </c>
      <c r="EK62" s="405" t="s">
        <v>2720</v>
      </c>
      <c r="EL62" s="405" t="s">
        <v>2720</v>
      </c>
      <c r="EM62" s="406" t="s">
        <v>2720</v>
      </c>
      <c r="EN62" s="405" t="s">
        <v>2720</v>
      </c>
      <c r="EO62" s="405" t="s">
        <v>2720</v>
      </c>
      <c r="EP62" s="405" t="s">
        <v>2720</v>
      </c>
      <c r="EQ62" s="405" t="s">
        <v>2720</v>
      </c>
      <c r="ER62" s="405" t="s">
        <v>2720</v>
      </c>
      <c r="ES62" s="405" t="s">
        <v>2720</v>
      </c>
      <c r="ET62" s="405" t="s">
        <v>2720</v>
      </c>
      <c r="EU62" s="405" t="s">
        <v>2720</v>
      </c>
      <c r="EV62" s="405" t="s">
        <v>2720</v>
      </c>
      <c r="EW62" s="405" t="s">
        <v>2720</v>
      </c>
      <c r="EX62" s="405" t="s">
        <v>2720</v>
      </c>
      <c r="EY62" s="405" t="s">
        <v>2720</v>
      </c>
      <c r="EZ62" s="405" t="s">
        <v>2720</v>
      </c>
      <c r="FA62" s="405" t="s">
        <v>2720</v>
      </c>
      <c r="FB62" s="405" t="s">
        <v>2720</v>
      </c>
      <c r="FC62" s="405" t="s">
        <v>2720</v>
      </c>
      <c r="FD62" s="405" t="s">
        <v>2720</v>
      </c>
      <c r="FE62" s="405" t="s">
        <v>2720</v>
      </c>
      <c r="FF62" s="405" t="s">
        <v>2720</v>
      </c>
      <c r="FG62" s="405" t="s">
        <v>2720</v>
      </c>
      <c r="FH62" s="405" t="s">
        <v>2720</v>
      </c>
      <c r="FI62" s="405" t="s">
        <v>2720</v>
      </c>
      <c r="FJ62" s="405" t="s">
        <v>2720</v>
      </c>
      <c r="FK62" s="407" t="s">
        <v>2720</v>
      </c>
      <c r="FM62" s="408"/>
    </row>
    <row r="63" spans="1:169" hidden="1">
      <c r="A63" s="150" t="s">
        <v>2720</v>
      </c>
      <c r="B63" s="375" t="s">
        <v>2720</v>
      </c>
      <c r="C63" s="376" t="s">
        <v>2720</v>
      </c>
      <c r="D63" s="377" t="s">
        <v>2720</v>
      </c>
      <c r="E63" s="378"/>
      <c r="F63" s="379" t="s">
        <v>2720</v>
      </c>
      <c r="G63" s="380" t="s">
        <v>2720</v>
      </c>
      <c r="H63" s="381" t="s">
        <v>2720</v>
      </c>
      <c r="I63" s="382" t="s">
        <v>2720</v>
      </c>
      <c r="J63" s="381" t="s">
        <v>2720</v>
      </c>
      <c r="K63" s="382" t="s">
        <v>2720</v>
      </c>
      <c r="L63" s="381" t="s">
        <v>2720</v>
      </c>
      <c r="M63" s="382" t="s">
        <v>2720</v>
      </c>
      <c r="N63" s="381" t="s">
        <v>2720</v>
      </c>
      <c r="O63" s="382" t="s">
        <v>2720</v>
      </c>
      <c r="P63" s="381" t="s">
        <v>2720</v>
      </c>
      <c r="Q63" s="382" t="s">
        <v>2720</v>
      </c>
      <c r="R63" s="381" t="s">
        <v>2720</v>
      </c>
      <c r="S63" s="382" t="s">
        <v>2720</v>
      </c>
      <c r="T63" s="381" t="s">
        <v>2720</v>
      </c>
      <c r="U63" s="382" t="s">
        <v>2720</v>
      </c>
      <c r="V63" s="381" t="s">
        <v>2720</v>
      </c>
      <c r="W63" s="382" t="s">
        <v>2720</v>
      </c>
      <c r="X63" s="383" t="s">
        <v>2720</v>
      </c>
      <c r="Y63" s="384"/>
      <c r="Z63" s="385" t="s">
        <v>2720</v>
      </c>
      <c r="AA63" s="386" t="s">
        <v>2720</v>
      </c>
      <c r="AB63" s="385" t="s">
        <v>2720</v>
      </c>
      <c r="AC63" s="386" t="s">
        <v>2720</v>
      </c>
      <c r="AD63" s="385" t="s">
        <v>2720</v>
      </c>
      <c r="AE63" s="386" t="s">
        <v>2720</v>
      </c>
      <c r="AF63" s="385" t="s">
        <v>2720</v>
      </c>
      <c r="AG63" s="386" t="s">
        <v>2720</v>
      </c>
      <c r="AH63" s="385" t="s">
        <v>2720</v>
      </c>
      <c r="AI63" s="386" t="s">
        <v>2720</v>
      </c>
      <c r="AJ63" s="385" t="s">
        <v>2720</v>
      </c>
      <c r="AK63" s="386" t="s">
        <v>2720</v>
      </c>
      <c r="AL63" s="385" t="s">
        <v>2720</v>
      </c>
      <c r="AM63" s="387" t="s">
        <v>2720</v>
      </c>
      <c r="AN63" s="385" t="s">
        <v>2720</v>
      </c>
      <c r="AO63" s="386" t="s">
        <v>2720</v>
      </c>
      <c r="AP63" s="385" t="s">
        <v>2720</v>
      </c>
      <c r="AQ63" s="387" t="s">
        <v>2720</v>
      </c>
      <c r="AR63" s="385" t="s">
        <v>2720</v>
      </c>
      <c r="AS63" s="387" t="s">
        <v>2720</v>
      </c>
      <c r="AT63" s="385" t="s">
        <v>2720</v>
      </c>
      <c r="AU63" s="387" t="s">
        <v>2720</v>
      </c>
      <c r="AV63" s="385" t="s">
        <v>2720</v>
      </c>
      <c r="AW63" s="387" t="s">
        <v>2720</v>
      </c>
      <c r="AX63" s="385" t="s">
        <v>2720</v>
      </c>
      <c r="AY63" s="384"/>
      <c r="AZ63" s="385" t="s">
        <v>2720</v>
      </c>
      <c r="BA63" s="384"/>
      <c r="BB63" s="388" t="s">
        <v>2720</v>
      </c>
      <c r="BC63" s="389" t="s">
        <v>2720</v>
      </c>
      <c r="BD63" s="390" t="s">
        <v>2720</v>
      </c>
      <c r="BE63" s="391" t="s">
        <v>2720</v>
      </c>
      <c r="BF63" s="390" t="s">
        <v>2720</v>
      </c>
      <c r="BG63" s="392"/>
      <c r="BH63" s="393" t="s">
        <v>2720</v>
      </c>
      <c r="BI63" s="394" t="s">
        <v>2720</v>
      </c>
      <c r="BJ63" s="395" t="s">
        <v>2720</v>
      </c>
      <c r="BK63" s="395" t="s">
        <v>2720</v>
      </c>
      <c r="BL63" s="395" t="s">
        <v>2720</v>
      </c>
      <c r="BM63" s="396" t="s">
        <v>2720</v>
      </c>
      <c r="BN63" s="397" t="s">
        <v>2720</v>
      </c>
      <c r="BO63" s="54" t="s">
        <v>2720</v>
      </c>
      <c r="BP63" s="397" t="s">
        <v>2720</v>
      </c>
      <c r="BQ63" s="54" t="s">
        <v>2720</v>
      </c>
      <c r="BR63" s="398" t="s">
        <v>2720</v>
      </c>
      <c r="BS63" s="399"/>
      <c r="BT63" s="400" t="s">
        <v>2720</v>
      </c>
      <c r="BU63" s="401" t="s">
        <v>2720</v>
      </c>
      <c r="BV63" s="401" t="s">
        <v>2720</v>
      </c>
      <c r="BW63" s="401" t="s">
        <v>2720</v>
      </c>
      <c r="BX63" s="402" t="s">
        <v>2720</v>
      </c>
      <c r="BY63" s="402" t="s">
        <v>2720</v>
      </c>
      <c r="BZ63" s="401" t="s">
        <v>2720</v>
      </c>
      <c r="CA63" s="401" t="s">
        <v>2720</v>
      </c>
      <c r="CB63" s="401" t="s">
        <v>2720</v>
      </c>
      <c r="CC63" s="401" t="s">
        <v>2720</v>
      </c>
      <c r="CD63" s="401" t="s">
        <v>2720</v>
      </c>
      <c r="CE63" s="401" t="s">
        <v>2720</v>
      </c>
      <c r="CF63" s="401" t="s">
        <v>2720</v>
      </c>
      <c r="CG63" s="401" t="s">
        <v>2720</v>
      </c>
      <c r="CH63" s="401" t="s">
        <v>2720</v>
      </c>
      <c r="CI63" s="401" t="s">
        <v>2720</v>
      </c>
      <c r="CJ63" s="401" t="s">
        <v>2720</v>
      </c>
      <c r="CK63" s="401" t="s">
        <v>2720</v>
      </c>
      <c r="CL63" s="401" t="s">
        <v>2720</v>
      </c>
      <c r="CM63" s="402" t="s">
        <v>2720</v>
      </c>
      <c r="CN63" s="401" t="s">
        <v>2720</v>
      </c>
      <c r="CO63" s="401" t="s">
        <v>2720</v>
      </c>
      <c r="CP63" s="401" t="s">
        <v>2720</v>
      </c>
      <c r="CQ63" s="290" t="s">
        <v>2720</v>
      </c>
      <c r="CR63" s="401" t="s">
        <v>2720</v>
      </c>
      <c r="CS63" s="401" t="s">
        <v>2720</v>
      </c>
      <c r="CT63" s="401" t="s">
        <v>2720</v>
      </c>
      <c r="CU63" s="401" t="s">
        <v>2720</v>
      </c>
      <c r="CV63" s="401" t="s">
        <v>2720</v>
      </c>
      <c r="CW63" s="401" t="s">
        <v>2720</v>
      </c>
      <c r="CX63" s="401" t="s">
        <v>2720</v>
      </c>
      <c r="CY63" s="401" t="s">
        <v>2720</v>
      </c>
      <c r="CZ63" s="401" t="s">
        <v>2720</v>
      </c>
      <c r="DA63" s="401" t="s">
        <v>2720</v>
      </c>
      <c r="DB63" s="401" t="s">
        <v>2720</v>
      </c>
      <c r="DC63" s="401" t="s">
        <v>2720</v>
      </c>
      <c r="DD63" s="401" t="s">
        <v>2720</v>
      </c>
      <c r="DE63" s="401" t="s">
        <v>2720</v>
      </c>
      <c r="DF63" s="401" t="s">
        <v>2720</v>
      </c>
      <c r="DG63" s="401" t="s">
        <v>2720</v>
      </c>
      <c r="DH63" s="401" t="s">
        <v>2720</v>
      </c>
      <c r="DI63" s="401" t="s">
        <v>2720</v>
      </c>
      <c r="DJ63" s="401" t="s">
        <v>2720</v>
      </c>
      <c r="DK63" s="401" t="s">
        <v>2720</v>
      </c>
      <c r="DL63" s="401" t="s">
        <v>2720</v>
      </c>
      <c r="DM63" s="401" t="s">
        <v>2720</v>
      </c>
      <c r="DN63" s="401" t="s">
        <v>2720</v>
      </c>
      <c r="DO63" s="403" t="s">
        <v>2720</v>
      </c>
      <c r="DP63" s="404" t="s">
        <v>2720</v>
      </c>
      <c r="DQ63" s="405" t="s">
        <v>2720</v>
      </c>
      <c r="DR63" s="405" t="s">
        <v>2720</v>
      </c>
      <c r="DS63" s="405" t="s">
        <v>2720</v>
      </c>
      <c r="DT63" s="405" t="s">
        <v>2720</v>
      </c>
      <c r="DU63" s="405" t="s">
        <v>2720</v>
      </c>
      <c r="DV63" s="405" t="s">
        <v>2720</v>
      </c>
      <c r="DW63" s="405" t="s">
        <v>2720</v>
      </c>
      <c r="DX63" s="405" t="s">
        <v>2720</v>
      </c>
      <c r="DY63" s="405" t="s">
        <v>2720</v>
      </c>
      <c r="DZ63" s="405" t="s">
        <v>2720</v>
      </c>
      <c r="EA63" s="405" t="s">
        <v>2720</v>
      </c>
      <c r="EB63" s="405" t="s">
        <v>2720</v>
      </c>
      <c r="EC63" s="405" t="s">
        <v>2720</v>
      </c>
      <c r="ED63" s="405" t="s">
        <v>2720</v>
      </c>
      <c r="EE63" s="405" t="s">
        <v>2720</v>
      </c>
      <c r="EF63" s="405" t="s">
        <v>2720</v>
      </c>
      <c r="EG63" s="405" t="s">
        <v>2720</v>
      </c>
      <c r="EH63" s="405" t="s">
        <v>2720</v>
      </c>
      <c r="EI63" s="405" t="s">
        <v>2720</v>
      </c>
      <c r="EJ63" s="405" t="s">
        <v>2720</v>
      </c>
      <c r="EK63" s="405" t="s">
        <v>2720</v>
      </c>
      <c r="EL63" s="405" t="s">
        <v>2720</v>
      </c>
      <c r="EM63" s="406" t="s">
        <v>2720</v>
      </c>
      <c r="EN63" s="405" t="s">
        <v>2720</v>
      </c>
      <c r="EO63" s="405" t="s">
        <v>2720</v>
      </c>
      <c r="EP63" s="405" t="s">
        <v>2720</v>
      </c>
      <c r="EQ63" s="405" t="s">
        <v>2720</v>
      </c>
      <c r="ER63" s="405" t="s">
        <v>2720</v>
      </c>
      <c r="ES63" s="405" t="s">
        <v>2720</v>
      </c>
      <c r="ET63" s="405" t="s">
        <v>2720</v>
      </c>
      <c r="EU63" s="405" t="s">
        <v>2720</v>
      </c>
      <c r="EV63" s="405" t="s">
        <v>2720</v>
      </c>
      <c r="EW63" s="405" t="s">
        <v>2720</v>
      </c>
      <c r="EX63" s="405" t="s">
        <v>2720</v>
      </c>
      <c r="EY63" s="405" t="s">
        <v>2720</v>
      </c>
      <c r="EZ63" s="405" t="s">
        <v>2720</v>
      </c>
      <c r="FA63" s="405" t="s">
        <v>2720</v>
      </c>
      <c r="FB63" s="405" t="s">
        <v>2720</v>
      </c>
      <c r="FC63" s="405" t="s">
        <v>2720</v>
      </c>
      <c r="FD63" s="405" t="s">
        <v>2720</v>
      </c>
      <c r="FE63" s="405" t="s">
        <v>2720</v>
      </c>
      <c r="FF63" s="405" t="s">
        <v>2720</v>
      </c>
      <c r="FG63" s="405" t="s">
        <v>2720</v>
      </c>
      <c r="FH63" s="405" t="s">
        <v>2720</v>
      </c>
      <c r="FI63" s="405" t="s">
        <v>2720</v>
      </c>
      <c r="FJ63" s="405" t="s">
        <v>2720</v>
      </c>
      <c r="FK63" s="407" t="s">
        <v>2720</v>
      </c>
      <c r="FM63" s="408"/>
    </row>
    <row r="64" spans="1:169" hidden="1">
      <c r="A64" s="150" t="s">
        <v>2720</v>
      </c>
      <c r="B64" s="375" t="s">
        <v>2720</v>
      </c>
      <c r="C64" s="376" t="s">
        <v>2720</v>
      </c>
      <c r="D64" s="377" t="s">
        <v>2720</v>
      </c>
      <c r="E64" s="378"/>
      <c r="F64" s="379" t="s">
        <v>2720</v>
      </c>
      <c r="G64" s="380" t="s">
        <v>2720</v>
      </c>
      <c r="H64" s="381" t="s">
        <v>2720</v>
      </c>
      <c r="I64" s="382" t="s">
        <v>2720</v>
      </c>
      <c r="J64" s="381" t="s">
        <v>2720</v>
      </c>
      <c r="K64" s="382" t="s">
        <v>2720</v>
      </c>
      <c r="L64" s="381" t="s">
        <v>2720</v>
      </c>
      <c r="M64" s="382" t="s">
        <v>2720</v>
      </c>
      <c r="N64" s="381" t="s">
        <v>2720</v>
      </c>
      <c r="O64" s="382" t="s">
        <v>2720</v>
      </c>
      <c r="P64" s="381" t="s">
        <v>2720</v>
      </c>
      <c r="Q64" s="382" t="s">
        <v>2720</v>
      </c>
      <c r="R64" s="381" t="s">
        <v>2720</v>
      </c>
      <c r="S64" s="382" t="s">
        <v>2720</v>
      </c>
      <c r="T64" s="381" t="s">
        <v>2720</v>
      </c>
      <c r="U64" s="382" t="s">
        <v>2720</v>
      </c>
      <c r="V64" s="381" t="s">
        <v>2720</v>
      </c>
      <c r="W64" s="382" t="s">
        <v>2720</v>
      </c>
      <c r="X64" s="383" t="s">
        <v>2720</v>
      </c>
      <c r="Y64" s="384"/>
      <c r="Z64" s="385" t="s">
        <v>2720</v>
      </c>
      <c r="AA64" s="386" t="s">
        <v>2720</v>
      </c>
      <c r="AB64" s="385" t="s">
        <v>2720</v>
      </c>
      <c r="AC64" s="386" t="s">
        <v>2720</v>
      </c>
      <c r="AD64" s="385" t="s">
        <v>2720</v>
      </c>
      <c r="AE64" s="386" t="s">
        <v>2720</v>
      </c>
      <c r="AF64" s="385" t="s">
        <v>2720</v>
      </c>
      <c r="AG64" s="386" t="s">
        <v>2720</v>
      </c>
      <c r="AH64" s="385" t="s">
        <v>2720</v>
      </c>
      <c r="AI64" s="386" t="s">
        <v>2720</v>
      </c>
      <c r="AJ64" s="385" t="s">
        <v>2720</v>
      </c>
      <c r="AK64" s="386" t="s">
        <v>2720</v>
      </c>
      <c r="AL64" s="385" t="s">
        <v>2720</v>
      </c>
      <c r="AM64" s="387" t="s">
        <v>2720</v>
      </c>
      <c r="AN64" s="385" t="s">
        <v>2720</v>
      </c>
      <c r="AO64" s="386" t="s">
        <v>2720</v>
      </c>
      <c r="AP64" s="385" t="s">
        <v>2720</v>
      </c>
      <c r="AQ64" s="387" t="s">
        <v>2720</v>
      </c>
      <c r="AR64" s="385" t="s">
        <v>2720</v>
      </c>
      <c r="AS64" s="387" t="s">
        <v>2720</v>
      </c>
      <c r="AT64" s="385" t="s">
        <v>2720</v>
      </c>
      <c r="AU64" s="387" t="s">
        <v>2720</v>
      </c>
      <c r="AV64" s="385" t="s">
        <v>2720</v>
      </c>
      <c r="AW64" s="387" t="s">
        <v>2720</v>
      </c>
      <c r="AX64" s="385" t="s">
        <v>2720</v>
      </c>
      <c r="AY64" s="384"/>
      <c r="AZ64" s="385" t="s">
        <v>2720</v>
      </c>
      <c r="BA64" s="384"/>
      <c r="BB64" s="388" t="s">
        <v>2720</v>
      </c>
      <c r="BC64" s="389" t="s">
        <v>2720</v>
      </c>
      <c r="BD64" s="390" t="s">
        <v>2720</v>
      </c>
      <c r="BE64" s="391" t="s">
        <v>2720</v>
      </c>
      <c r="BF64" s="390" t="s">
        <v>2720</v>
      </c>
      <c r="BG64" s="392"/>
      <c r="BH64" s="393" t="s">
        <v>2720</v>
      </c>
      <c r="BI64" s="394" t="s">
        <v>2720</v>
      </c>
      <c r="BJ64" s="395" t="s">
        <v>2720</v>
      </c>
      <c r="BK64" s="395" t="s">
        <v>2720</v>
      </c>
      <c r="BL64" s="395" t="s">
        <v>2720</v>
      </c>
      <c r="BM64" s="396" t="s">
        <v>2720</v>
      </c>
      <c r="BN64" s="397" t="s">
        <v>2720</v>
      </c>
      <c r="BO64" s="54" t="s">
        <v>2720</v>
      </c>
      <c r="BP64" s="397" t="s">
        <v>2720</v>
      </c>
      <c r="BQ64" s="54" t="s">
        <v>2720</v>
      </c>
      <c r="BR64" s="398" t="s">
        <v>2720</v>
      </c>
      <c r="BS64" s="399"/>
      <c r="BT64" s="400" t="s">
        <v>2720</v>
      </c>
      <c r="BU64" s="401" t="s">
        <v>2720</v>
      </c>
      <c r="BV64" s="401" t="s">
        <v>2720</v>
      </c>
      <c r="BW64" s="401" t="s">
        <v>2720</v>
      </c>
      <c r="BX64" s="402" t="s">
        <v>2720</v>
      </c>
      <c r="BY64" s="402" t="s">
        <v>2720</v>
      </c>
      <c r="BZ64" s="401" t="s">
        <v>2720</v>
      </c>
      <c r="CA64" s="401" t="s">
        <v>2720</v>
      </c>
      <c r="CB64" s="401" t="s">
        <v>2720</v>
      </c>
      <c r="CC64" s="401" t="s">
        <v>2720</v>
      </c>
      <c r="CD64" s="401" t="s">
        <v>2720</v>
      </c>
      <c r="CE64" s="401" t="s">
        <v>2720</v>
      </c>
      <c r="CF64" s="401" t="s">
        <v>2720</v>
      </c>
      <c r="CG64" s="401" t="s">
        <v>2720</v>
      </c>
      <c r="CH64" s="401" t="s">
        <v>2720</v>
      </c>
      <c r="CI64" s="401" t="s">
        <v>2720</v>
      </c>
      <c r="CJ64" s="401" t="s">
        <v>2720</v>
      </c>
      <c r="CK64" s="401" t="s">
        <v>2720</v>
      </c>
      <c r="CL64" s="401" t="s">
        <v>2720</v>
      </c>
      <c r="CM64" s="402" t="s">
        <v>2720</v>
      </c>
      <c r="CN64" s="401" t="s">
        <v>2720</v>
      </c>
      <c r="CO64" s="401" t="s">
        <v>2720</v>
      </c>
      <c r="CP64" s="401" t="s">
        <v>2720</v>
      </c>
      <c r="CQ64" s="290" t="s">
        <v>2720</v>
      </c>
      <c r="CR64" s="401" t="s">
        <v>2720</v>
      </c>
      <c r="CS64" s="401" t="s">
        <v>2720</v>
      </c>
      <c r="CT64" s="401" t="s">
        <v>2720</v>
      </c>
      <c r="CU64" s="401" t="s">
        <v>2720</v>
      </c>
      <c r="CV64" s="401" t="s">
        <v>2720</v>
      </c>
      <c r="CW64" s="401" t="s">
        <v>2720</v>
      </c>
      <c r="CX64" s="401" t="s">
        <v>2720</v>
      </c>
      <c r="CY64" s="401" t="s">
        <v>2720</v>
      </c>
      <c r="CZ64" s="401" t="s">
        <v>2720</v>
      </c>
      <c r="DA64" s="401" t="s">
        <v>2720</v>
      </c>
      <c r="DB64" s="401" t="s">
        <v>2720</v>
      </c>
      <c r="DC64" s="401" t="s">
        <v>2720</v>
      </c>
      <c r="DD64" s="401" t="s">
        <v>2720</v>
      </c>
      <c r="DE64" s="401" t="s">
        <v>2720</v>
      </c>
      <c r="DF64" s="401" t="s">
        <v>2720</v>
      </c>
      <c r="DG64" s="401" t="s">
        <v>2720</v>
      </c>
      <c r="DH64" s="401" t="s">
        <v>2720</v>
      </c>
      <c r="DI64" s="401" t="s">
        <v>2720</v>
      </c>
      <c r="DJ64" s="401" t="s">
        <v>2720</v>
      </c>
      <c r="DK64" s="401" t="s">
        <v>2720</v>
      </c>
      <c r="DL64" s="401" t="s">
        <v>2720</v>
      </c>
      <c r="DM64" s="401" t="s">
        <v>2720</v>
      </c>
      <c r="DN64" s="401" t="s">
        <v>2720</v>
      </c>
      <c r="DO64" s="403" t="s">
        <v>2720</v>
      </c>
      <c r="DP64" s="404" t="s">
        <v>2720</v>
      </c>
      <c r="DQ64" s="405" t="s">
        <v>2720</v>
      </c>
      <c r="DR64" s="405" t="s">
        <v>2720</v>
      </c>
      <c r="DS64" s="405" t="s">
        <v>2720</v>
      </c>
      <c r="DT64" s="405" t="s">
        <v>2720</v>
      </c>
      <c r="DU64" s="405" t="s">
        <v>2720</v>
      </c>
      <c r="DV64" s="405" t="s">
        <v>2720</v>
      </c>
      <c r="DW64" s="405" t="s">
        <v>2720</v>
      </c>
      <c r="DX64" s="405" t="s">
        <v>2720</v>
      </c>
      <c r="DY64" s="405" t="s">
        <v>2720</v>
      </c>
      <c r="DZ64" s="405" t="s">
        <v>2720</v>
      </c>
      <c r="EA64" s="405" t="s">
        <v>2720</v>
      </c>
      <c r="EB64" s="405" t="s">
        <v>2720</v>
      </c>
      <c r="EC64" s="405" t="s">
        <v>2720</v>
      </c>
      <c r="ED64" s="405" t="s">
        <v>2720</v>
      </c>
      <c r="EE64" s="405" t="s">
        <v>2720</v>
      </c>
      <c r="EF64" s="405" t="s">
        <v>2720</v>
      </c>
      <c r="EG64" s="405" t="s">
        <v>2720</v>
      </c>
      <c r="EH64" s="405" t="s">
        <v>2720</v>
      </c>
      <c r="EI64" s="405" t="s">
        <v>2720</v>
      </c>
      <c r="EJ64" s="405" t="s">
        <v>2720</v>
      </c>
      <c r="EK64" s="405" t="s">
        <v>2720</v>
      </c>
      <c r="EL64" s="405" t="s">
        <v>2720</v>
      </c>
      <c r="EM64" s="406" t="s">
        <v>2720</v>
      </c>
      <c r="EN64" s="405" t="s">
        <v>2720</v>
      </c>
      <c r="EO64" s="405" t="s">
        <v>2720</v>
      </c>
      <c r="EP64" s="405" t="s">
        <v>2720</v>
      </c>
      <c r="EQ64" s="405" t="s">
        <v>2720</v>
      </c>
      <c r="ER64" s="405" t="s">
        <v>2720</v>
      </c>
      <c r="ES64" s="405" t="s">
        <v>2720</v>
      </c>
      <c r="ET64" s="405" t="s">
        <v>2720</v>
      </c>
      <c r="EU64" s="405" t="s">
        <v>2720</v>
      </c>
      <c r="EV64" s="405" t="s">
        <v>2720</v>
      </c>
      <c r="EW64" s="405" t="s">
        <v>2720</v>
      </c>
      <c r="EX64" s="405" t="s">
        <v>2720</v>
      </c>
      <c r="EY64" s="405" t="s">
        <v>2720</v>
      </c>
      <c r="EZ64" s="405" t="s">
        <v>2720</v>
      </c>
      <c r="FA64" s="405" t="s">
        <v>2720</v>
      </c>
      <c r="FB64" s="405" t="s">
        <v>2720</v>
      </c>
      <c r="FC64" s="405" t="s">
        <v>2720</v>
      </c>
      <c r="FD64" s="405" t="s">
        <v>2720</v>
      </c>
      <c r="FE64" s="405" t="s">
        <v>2720</v>
      </c>
      <c r="FF64" s="405" t="s">
        <v>2720</v>
      </c>
      <c r="FG64" s="405" t="s">
        <v>2720</v>
      </c>
      <c r="FH64" s="405" t="s">
        <v>2720</v>
      </c>
      <c r="FI64" s="405" t="s">
        <v>2720</v>
      </c>
      <c r="FJ64" s="405" t="s">
        <v>2720</v>
      </c>
      <c r="FK64" s="407" t="s">
        <v>2720</v>
      </c>
      <c r="FM64" s="408"/>
    </row>
    <row r="65" spans="1:169" hidden="1">
      <c r="A65" s="150" t="s">
        <v>2720</v>
      </c>
      <c r="B65" s="375" t="s">
        <v>2720</v>
      </c>
      <c r="C65" s="376" t="s">
        <v>2720</v>
      </c>
      <c r="D65" s="377" t="s">
        <v>2720</v>
      </c>
      <c r="E65" s="378"/>
      <c r="F65" s="379" t="s">
        <v>2720</v>
      </c>
      <c r="G65" s="380" t="s">
        <v>2720</v>
      </c>
      <c r="H65" s="381" t="s">
        <v>2720</v>
      </c>
      <c r="I65" s="382" t="s">
        <v>2720</v>
      </c>
      <c r="J65" s="381" t="s">
        <v>2720</v>
      </c>
      <c r="K65" s="382" t="s">
        <v>2720</v>
      </c>
      <c r="L65" s="381" t="s">
        <v>2720</v>
      </c>
      <c r="M65" s="382" t="s">
        <v>2720</v>
      </c>
      <c r="N65" s="381" t="s">
        <v>2720</v>
      </c>
      <c r="O65" s="382" t="s">
        <v>2720</v>
      </c>
      <c r="P65" s="381" t="s">
        <v>2720</v>
      </c>
      <c r="Q65" s="382" t="s">
        <v>2720</v>
      </c>
      <c r="R65" s="381" t="s">
        <v>2720</v>
      </c>
      <c r="S65" s="382" t="s">
        <v>2720</v>
      </c>
      <c r="T65" s="381" t="s">
        <v>2720</v>
      </c>
      <c r="U65" s="382" t="s">
        <v>2720</v>
      </c>
      <c r="V65" s="381" t="s">
        <v>2720</v>
      </c>
      <c r="W65" s="382" t="s">
        <v>2720</v>
      </c>
      <c r="X65" s="383" t="s">
        <v>2720</v>
      </c>
      <c r="Y65" s="384"/>
      <c r="Z65" s="385" t="s">
        <v>2720</v>
      </c>
      <c r="AA65" s="386" t="s">
        <v>2720</v>
      </c>
      <c r="AB65" s="385" t="s">
        <v>2720</v>
      </c>
      <c r="AC65" s="386" t="s">
        <v>2720</v>
      </c>
      <c r="AD65" s="385" t="s">
        <v>2720</v>
      </c>
      <c r="AE65" s="386" t="s">
        <v>2720</v>
      </c>
      <c r="AF65" s="385" t="s">
        <v>2720</v>
      </c>
      <c r="AG65" s="386" t="s">
        <v>2720</v>
      </c>
      <c r="AH65" s="385" t="s">
        <v>2720</v>
      </c>
      <c r="AI65" s="386" t="s">
        <v>2720</v>
      </c>
      <c r="AJ65" s="385" t="s">
        <v>2720</v>
      </c>
      <c r="AK65" s="386" t="s">
        <v>2720</v>
      </c>
      <c r="AL65" s="385" t="s">
        <v>2720</v>
      </c>
      <c r="AM65" s="387" t="s">
        <v>2720</v>
      </c>
      <c r="AN65" s="385" t="s">
        <v>2720</v>
      </c>
      <c r="AO65" s="386" t="s">
        <v>2720</v>
      </c>
      <c r="AP65" s="385" t="s">
        <v>2720</v>
      </c>
      <c r="AQ65" s="387" t="s">
        <v>2720</v>
      </c>
      <c r="AR65" s="385" t="s">
        <v>2720</v>
      </c>
      <c r="AS65" s="387" t="s">
        <v>2720</v>
      </c>
      <c r="AT65" s="385" t="s">
        <v>2720</v>
      </c>
      <c r="AU65" s="387" t="s">
        <v>2720</v>
      </c>
      <c r="AV65" s="385" t="s">
        <v>2720</v>
      </c>
      <c r="AW65" s="387" t="s">
        <v>2720</v>
      </c>
      <c r="AX65" s="385" t="s">
        <v>2720</v>
      </c>
      <c r="AY65" s="384"/>
      <c r="AZ65" s="385" t="s">
        <v>2720</v>
      </c>
      <c r="BA65" s="384"/>
      <c r="BB65" s="388" t="s">
        <v>2720</v>
      </c>
      <c r="BC65" s="389" t="s">
        <v>2720</v>
      </c>
      <c r="BD65" s="390" t="s">
        <v>2720</v>
      </c>
      <c r="BE65" s="391" t="s">
        <v>2720</v>
      </c>
      <c r="BF65" s="390" t="s">
        <v>2720</v>
      </c>
      <c r="BG65" s="392"/>
      <c r="BH65" s="393" t="s">
        <v>2720</v>
      </c>
      <c r="BI65" s="394" t="s">
        <v>2720</v>
      </c>
      <c r="BJ65" s="395" t="s">
        <v>2720</v>
      </c>
      <c r="BK65" s="395" t="s">
        <v>2720</v>
      </c>
      <c r="BL65" s="395" t="s">
        <v>2720</v>
      </c>
      <c r="BM65" s="396" t="s">
        <v>2720</v>
      </c>
      <c r="BN65" s="397" t="s">
        <v>2720</v>
      </c>
      <c r="BO65" s="54" t="s">
        <v>2720</v>
      </c>
      <c r="BP65" s="397" t="s">
        <v>2720</v>
      </c>
      <c r="BQ65" s="54" t="s">
        <v>2720</v>
      </c>
      <c r="BR65" s="398" t="s">
        <v>2720</v>
      </c>
      <c r="BS65" s="399"/>
      <c r="BT65" s="400" t="s">
        <v>2720</v>
      </c>
      <c r="BU65" s="401" t="s">
        <v>2720</v>
      </c>
      <c r="BV65" s="401" t="s">
        <v>2720</v>
      </c>
      <c r="BW65" s="401" t="s">
        <v>2720</v>
      </c>
      <c r="BX65" s="402" t="s">
        <v>2720</v>
      </c>
      <c r="BY65" s="402" t="s">
        <v>2720</v>
      </c>
      <c r="BZ65" s="401" t="s">
        <v>2720</v>
      </c>
      <c r="CA65" s="401" t="s">
        <v>2720</v>
      </c>
      <c r="CB65" s="401" t="s">
        <v>2720</v>
      </c>
      <c r="CC65" s="401" t="s">
        <v>2720</v>
      </c>
      <c r="CD65" s="401" t="s">
        <v>2720</v>
      </c>
      <c r="CE65" s="401" t="s">
        <v>2720</v>
      </c>
      <c r="CF65" s="401" t="s">
        <v>2720</v>
      </c>
      <c r="CG65" s="401" t="s">
        <v>2720</v>
      </c>
      <c r="CH65" s="401" t="s">
        <v>2720</v>
      </c>
      <c r="CI65" s="401" t="s">
        <v>2720</v>
      </c>
      <c r="CJ65" s="401" t="s">
        <v>2720</v>
      </c>
      <c r="CK65" s="401" t="s">
        <v>2720</v>
      </c>
      <c r="CL65" s="401" t="s">
        <v>2720</v>
      </c>
      <c r="CM65" s="402" t="s">
        <v>2720</v>
      </c>
      <c r="CN65" s="401" t="s">
        <v>2720</v>
      </c>
      <c r="CO65" s="401" t="s">
        <v>2720</v>
      </c>
      <c r="CP65" s="401" t="s">
        <v>2720</v>
      </c>
      <c r="CQ65" s="290" t="s">
        <v>2720</v>
      </c>
      <c r="CR65" s="401" t="s">
        <v>2720</v>
      </c>
      <c r="CS65" s="401" t="s">
        <v>2720</v>
      </c>
      <c r="CT65" s="401" t="s">
        <v>2720</v>
      </c>
      <c r="CU65" s="401" t="s">
        <v>2720</v>
      </c>
      <c r="CV65" s="401" t="s">
        <v>2720</v>
      </c>
      <c r="CW65" s="401" t="s">
        <v>2720</v>
      </c>
      <c r="CX65" s="401" t="s">
        <v>2720</v>
      </c>
      <c r="CY65" s="401" t="s">
        <v>2720</v>
      </c>
      <c r="CZ65" s="401" t="s">
        <v>2720</v>
      </c>
      <c r="DA65" s="401" t="s">
        <v>2720</v>
      </c>
      <c r="DB65" s="401" t="s">
        <v>2720</v>
      </c>
      <c r="DC65" s="401" t="s">
        <v>2720</v>
      </c>
      <c r="DD65" s="401" t="s">
        <v>2720</v>
      </c>
      <c r="DE65" s="401" t="s">
        <v>2720</v>
      </c>
      <c r="DF65" s="401" t="s">
        <v>2720</v>
      </c>
      <c r="DG65" s="401" t="s">
        <v>2720</v>
      </c>
      <c r="DH65" s="401" t="s">
        <v>2720</v>
      </c>
      <c r="DI65" s="401" t="s">
        <v>2720</v>
      </c>
      <c r="DJ65" s="401" t="s">
        <v>2720</v>
      </c>
      <c r="DK65" s="401" t="s">
        <v>2720</v>
      </c>
      <c r="DL65" s="401" t="s">
        <v>2720</v>
      </c>
      <c r="DM65" s="401" t="s">
        <v>2720</v>
      </c>
      <c r="DN65" s="401" t="s">
        <v>2720</v>
      </c>
      <c r="DO65" s="403" t="s">
        <v>2720</v>
      </c>
      <c r="DP65" s="404" t="s">
        <v>2720</v>
      </c>
      <c r="DQ65" s="405" t="s">
        <v>2720</v>
      </c>
      <c r="DR65" s="405" t="s">
        <v>2720</v>
      </c>
      <c r="DS65" s="405" t="s">
        <v>2720</v>
      </c>
      <c r="DT65" s="405" t="s">
        <v>2720</v>
      </c>
      <c r="DU65" s="405" t="s">
        <v>2720</v>
      </c>
      <c r="DV65" s="405" t="s">
        <v>2720</v>
      </c>
      <c r="DW65" s="405" t="s">
        <v>2720</v>
      </c>
      <c r="DX65" s="405" t="s">
        <v>2720</v>
      </c>
      <c r="DY65" s="405" t="s">
        <v>2720</v>
      </c>
      <c r="DZ65" s="405" t="s">
        <v>2720</v>
      </c>
      <c r="EA65" s="405" t="s">
        <v>2720</v>
      </c>
      <c r="EB65" s="405" t="s">
        <v>2720</v>
      </c>
      <c r="EC65" s="405" t="s">
        <v>2720</v>
      </c>
      <c r="ED65" s="405" t="s">
        <v>2720</v>
      </c>
      <c r="EE65" s="405" t="s">
        <v>2720</v>
      </c>
      <c r="EF65" s="405" t="s">
        <v>2720</v>
      </c>
      <c r="EG65" s="405" t="s">
        <v>2720</v>
      </c>
      <c r="EH65" s="405" t="s">
        <v>2720</v>
      </c>
      <c r="EI65" s="405" t="s">
        <v>2720</v>
      </c>
      <c r="EJ65" s="405" t="s">
        <v>2720</v>
      </c>
      <c r="EK65" s="405" t="s">
        <v>2720</v>
      </c>
      <c r="EL65" s="405" t="s">
        <v>2720</v>
      </c>
      <c r="EM65" s="406" t="s">
        <v>2720</v>
      </c>
      <c r="EN65" s="405" t="s">
        <v>2720</v>
      </c>
      <c r="EO65" s="405" t="s">
        <v>2720</v>
      </c>
      <c r="EP65" s="405" t="s">
        <v>2720</v>
      </c>
      <c r="EQ65" s="405" t="s">
        <v>2720</v>
      </c>
      <c r="ER65" s="405" t="s">
        <v>2720</v>
      </c>
      <c r="ES65" s="405" t="s">
        <v>2720</v>
      </c>
      <c r="ET65" s="405" t="s">
        <v>2720</v>
      </c>
      <c r="EU65" s="405" t="s">
        <v>2720</v>
      </c>
      <c r="EV65" s="405" t="s">
        <v>2720</v>
      </c>
      <c r="EW65" s="405" t="s">
        <v>2720</v>
      </c>
      <c r="EX65" s="405" t="s">
        <v>2720</v>
      </c>
      <c r="EY65" s="405" t="s">
        <v>2720</v>
      </c>
      <c r="EZ65" s="405" t="s">
        <v>2720</v>
      </c>
      <c r="FA65" s="405" t="s">
        <v>2720</v>
      </c>
      <c r="FB65" s="405" t="s">
        <v>2720</v>
      </c>
      <c r="FC65" s="405" t="s">
        <v>2720</v>
      </c>
      <c r="FD65" s="405" t="s">
        <v>2720</v>
      </c>
      <c r="FE65" s="405" t="s">
        <v>2720</v>
      </c>
      <c r="FF65" s="405" t="s">
        <v>2720</v>
      </c>
      <c r="FG65" s="405" t="s">
        <v>2720</v>
      </c>
      <c r="FH65" s="405" t="s">
        <v>2720</v>
      </c>
      <c r="FI65" s="405" t="s">
        <v>2720</v>
      </c>
      <c r="FJ65" s="405" t="s">
        <v>2720</v>
      </c>
      <c r="FK65" s="407" t="s">
        <v>2720</v>
      </c>
      <c r="FM65" s="408"/>
    </row>
    <row r="66" spans="1:169" hidden="1">
      <c r="A66" s="150" t="s">
        <v>2720</v>
      </c>
      <c r="B66" s="375" t="s">
        <v>2720</v>
      </c>
      <c r="C66" s="376" t="s">
        <v>2720</v>
      </c>
      <c r="D66" s="377" t="s">
        <v>2720</v>
      </c>
      <c r="E66" s="378"/>
      <c r="F66" s="379" t="s">
        <v>2720</v>
      </c>
      <c r="G66" s="380" t="s">
        <v>2720</v>
      </c>
      <c r="H66" s="381" t="s">
        <v>2720</v>
      </c>
      <c r="I66" s="382" t="s">
        <v>2720</v>
      </c>
      <c r="J66" s="381" t="s">
        <v>2720</v>
      </c>
      <c r="K66" s="382" t="s">
        <v>2720</v>
      </c>
      <c r="L66" s="381" t="s">
        <v>2720</v>
      </c>
      <c r="M66" s="382" t="s">
        <v>2720</v>
      </c>
      <c r="N66" s="381" t="s">
        <v>2720</v>
      </c>
      <c r="O66" s="382" t="s">
        <v>2720</v>
      </c>
      <c r="P66" s="381" t="s">
        <v>2720</v>
      </c>
      <c r="Q66" s="382" t="s">
        <v>2720</v>
      </c>
      <c r="R66" s="381" t="s">
        <v>2720</v>
      </c>
      <c r="S66" s="382" t="s">
        <v>2720</v>
      </c>
      <c r="T66" s="381" t="s">
        <v>2720</v>
      </c>
      <c r="U66" s="382" t="s">
        <v>2720</v>
      </c>
      <c r="V66" s="381" t="s">
        <v>2720</v>
      </c>
      <c r="W66" s="382" t="s">
        <v>2720</v>
      </c>
      <c r="X66" s="383" t="s">
        <v>2720</v>
      </c>
      <c r="Y66" s="384"/>
      <c r="Z66" s="385" t="s">
        <v>2720</v>
      </c>
      <c r="AA66" s="386" t="s">
        <v>2720</v>
      </c>
      <c r="AB66" s="385" t="s">
        <v>2720</v>
      </c>
      <c r="AC66" s="386" t="s">
        <v>2720</v>
      </c>
      <c r="AD66" s="385" t="s">
        <v>2720</v>
      </c>
      <c r="AE66" s="386" t="s">
        <v>2720</v>
      </c>
      <c r="AF66" s="385" t="s">
        <v>2720</v>
      </c>
      <c r="AG66" s="386" t="s">
        <v>2720</v>
      </c>
      <c r="AH66" s="385" t="s">
        <v>2720</v>
      </c>
      <c r="AI66" s="386" t="s">
        <v>2720</v>
      </c>
      <c r="AJ66" s="385" t="s">
        <v>2720</v>
      </c>
      <c r="AK66" s="386" t="s">
        <v>2720</v>
      </c>
      <c r="AL66" s="385" t="s">
        <v>2720</v>
      </c>
      <c r="AM66" s="387" t="s">
        <v>2720</v>
      </c>
      <c r="AN66" s="385" t="s">
        <v>2720</v>
      </c>
      <c r="AO66" s="386" t="s">
        <v>2720</v>
      </c>
      <c r="AP66" s="385" t="s">
        <v>2720</v>
      </c>
      <c r="AQ66" s="387" t="s">
        <v>2720</v>
      </c>
      <c r="AR66" s="385" t="s">
        <v>2720</v>
      </c>
      <c r="AS66" s="387" t="s">
        <v>2720</v>
      </c>
      <c r="AT66" s="385" t="s">
        <v>2720</v>
      </c>
      <c r="AU66" s="387" t="s">
        <v>2720</v>
      </c>
      <c r="AV66" s="385" t="s">
        <v>2720</v>
      </c>
      <c r="AW66" s="387" t="s">
        <v>2720</v>
      </c>
      <c r="AX66" s="385" t="s">
        <v>2720</v>
      </c>
      <c r="AY66" s="384"/>
      <c r="AZ66" s="385" t="s">
        <v>2720</v>
      </c>
      <c r="BA66" s="384"/>
      <c r="BB66" s="388" t="s">
        <v>2720</v>
      </c>
      <c r="BC66" s="389" t="s">
        <v>2720</v>
      </c>
      <c r="BD66" s="390" t="s">
        <v>2720</v>
      </c>
      <c r="BE66" s="391" t="s">
        <v>2720</v>
      </c>
      <c r="BF66" s="390" t="s">
        <v>2720</v>
      </c>
      <c r="BG66" s="392"/>
      <c r="BH66" s="393" t="s">
        <v>2720</v>
      </c>
      <c r="BI66" s="394" t="s">
        <v>2720</v>
      </c>
      <c r="BJ66" s="395" t="s">
        <v>2720</v>
      </c>
      <c r="BK66" s="395" t="s">
        <v>2720</v>
      </c>
      <c r="BL66" s="395" t="s">
        <v>2720</v>
      </c>
      <c r="BM66" s="396" t="s">
        <v>2720</v>
      </c>
      <c r="BN66" s="397" t="s">
        <v>2720</v>
      </c>
      <c r="BO66" s="54" t="s">
        <v>2720</v>
      </c>
      <c r="BP66" s="397" t="s">
        <v>2720</v>
      </c>
      <c r="BQ66" s="54" t="s">
        <v>2720</v>
      </c>
      <c r="BR66" s="398" t="s">
        <v>2720</v>
      </c>
      <c r="BS66" s="399"/>
      <c r="BT66" s="400" t="s">
        <v>2720</v>
      </c>
      <c r="BU66" s="401" t="s">
        <v>2720</v>
      </c>
      <c r="BV66" s="401" t="s">
        <v>2720</v>
      </c>
      <c r="BW66" s="401" t="s">
        <v>2720</v>
      </c>
      <c r="BX66" s="402" t="s">
        <v>2720</v>
      </c>
      <c r="BY66" s="402" t="s">
        <v>2720</v>
      </c>
      <c r="BZ66" s="401" t="s">
        <v>2720</v>
      </c>
      <c r="CA66" s="401" t="s">
        <v>2720</v>
      </c>
      <c r="CB66" s="401" t="s">
        <v>2720</v>
      </c>
      <c r="CC66" s="401" t="s">
        <v>2720</v>
      </c>
      <c r="CD66" s="401" t="s">
        <v>2720</v>
      </c>
      <c r="CE66" s="401" t="s">
        <v>2720</v>
      </c>
      <c r="CF66" s="401" t="s">
        <v>2720</v>
      </c>
      <c r="CG66" s="401" t="s">
        <v>2720</v>
      </c>
      <c r="CH66" s="401" t="s">
        <v>2720</v>
      </c>
      <c r="CI66" s="401" t="s">
        <v>2720</v>
      </c>
      <c r="CJ66" s="401" t="s">
        <v>2720</v>
      </c>
      <c r="CK66" s="401" t="s">
        <v>2720</v>
      </c>
      <c r="CL66" s="401" t="s">
        <v>2720</v>
      </c>
      <c r="CM66" s="402" t="s">
        <v>2720</v>
      </c>
      <c r="CN66" s="401" t="s">
        <v>2720</v>
      </c>
      <c r="CO66" s="401" t="s">
        <v>2720</v>
      </c>
      <c r="CP66" s="401" t="s">
        <v>2720</v>
      </c>
      <c r="CQ66" s="290" t="s">
        <v>2720</v>
      </c>
      <c r="CR66" s="401" t="s">
        <v>2720</v>
      </c>
      <c r="CS66" s="401" t="s">
        <v>2720</v>
      </c>
      <c r="CT66" s="401" t="s">
        <v>2720</v>
      </c>
      <c r="CU66" s="401" t="s">
        <v>2720</v>
      </c>
      <c r="CV66" s="401" t="s">
        <v>2720</v>
      </c>
      <c r="CW66" s="401" t="s">
        <v>2720</v>
      </c>
      <c r="CX66" s="401" t="s">
        <v>2720</v>
      </c>
      <c r="CY66" s="401" t="s">
        <v>2720</v>
      </c>
      <c r="CZ66" s="401" t="s">
        <v>2720</v>
      </c>
      <c r="DA66" s="401" t="s">
        <v>2720</v>
      </c>
      <c r="DB66" s="401" t="s">
        <v>2720</v>
      </c>
      <c r="DC66" s="401" t="s">
        <v>2720</v>
      </c>
      <c r="DD66" s="401" t="s">
        <v>2720</v>
      </c>
      <c r="DE66" s="401" t="s">
        <v>2720</v>
      </c>
      <c r="DF66" s="401" t="s">
        <v>2720</v>
      </c>
      <c r="DG66" s="401" t="s">
        <v>2720</v>
      </c>
      <c r="DH66" s="401" t="s">
        <v>2720</v>
      </c>
      <c r="DI66" s="401" t="s">
        <v>2720</v>
      </c>
      <c r="DJ66" s="401" t="s">
        <v>2720</v>
      </c>
      <c r="DK66" s="401" t="s">
        <v>2720</v>
      </c>
      <c r="DL66" s="401" t="s">
        <v>2720</v>
      </c>
      <c r="DM66" s="401" t="s">
        <v>2720</v>
      </c>
      <c r="DN66" s="401" t="s">
        <v>2720</v>
      </c>
      <c r="DO66" s="403" t="s">
        <v>2720</v>
      </c>
      <c r="DP66" s="404" t="s">
        <v>2720</v>
      </c>
      <c r="DQ66" s="405" t="s">
        <v>2720</v>
      </c>
      <c r="DR66" s="405" t="s">
        <v>2720</v>
      </c>
      <c r="DS66" s="405" t="s">
        <v>2720</v>
      </c>
      <c r="DT66" s="405" t="s">
        <v>2720</v>
      </c>
      <c r="DU66" s="405" t="s">
        <v>2720</v>
      </c>
      <c r="DV66" s="405" t="s">
        <v>2720</v>
      </c>
      <c r="DW66" s="405" t="s">
        <v>2720</v>
      </c>
      <c r="DX66" s="405" t="s">
        <v>2720</v>
      </c>
      <c r="DY66" s="405" t="s">
        <v>2720</v>
      </c>
      <c r="DZ66" s="405" t="s">
        <v>2720</v>
      </c>
      <c r="EA66" s="405" t="s">
        <v>2720</v>
      </c>
      <c r="EB66" s="405" t="s">
        <v>2720</v>
      </c>
      <c r="EC66" s="405" t="s">
        <v>2720</v>
      </c>
      <c r="ED66" s="405" t="s">
        <v>2720</v>
      </c>
      <c r="EE66" s="405" t="s">
        <v>2720</v>
      </c>
      <c r="EF66" s="405" t="s">
        <v>2720</v>
      </c>
      <c r="EG66" s="405" t="s">
        <v>2720</v>
      </c>
      <c r="EH66" s="405" t="s">
        <v>2720</v>
      </c>
      <c r="EI66" s="405" t="s">
        <v>2720</v>
      </c>
      <c r="EJ66" s="405" t="s">
        <v>2720</v>
      </c>
      <c r="EK66" s="405" t="s">
        <v>2720</v>
      </c>
      <c r="EL66" s="405" t="s">
        <v>2720</v>
      </c>
      <c r="EM66" s="406" t="s">
        <v>2720</v>
      </c>
      <c r="EN66" s="405" t="s">
        <v>2720</v>
      </c>
      <c r="EO66" s="405" t="s">
        <v>2720</v>
      </c>
      <c r="EP66" s="405" t="s">
        <v>2720</v>
      </c>
      <c r="EQ66" s="405" t="s">
        <v>2720</v>
      </c>
      <c r="ER66" s="405" t="s">
        <v>2720</v>
      </c>
      <c r="ES66" s="405" t="s">
        <v>2720</v>
      </c>
      <c r="ET66" s="405" t="s">
        <v>2720</v>
      </c>
      <c r="EU66" s="405" t="s">
        <v>2720</v>
      </c>
      <c r="EV66" s="405" t="s">
        <v>2720</v>
      </c>
      <c r="EW66" s="405" t="s">
        <v>2720</v>
      </c>
      <c r="EX66" s="405" t="s">
        <v>2720</v>
      </c>
      <c r="EY66" s="405" t="s">
        <v>2720</v>
      </c>
      <c r="EZ66" s="405" t="s">
        <v>2720</v>
      </c>
      <c r="FA66" s="405" t="s">
        <v>2720</v>
      </c>
      <c r="FB66" s="405" t="s">
        <v>2720</v>
      </c>
      <c r="FC66" s="405" t="s">
        <v>2720</v>
      </c>
      <c r="FD66" s="405" t="s">
        <v>2720</v>
      </c>
      <c r="FE66" s="405" t="s">
        <v>2720</v>
      </c>
      <c r="FF66" s="405" t="s">
        <v>2720</v>
      </c>
      <c r="FG66" s="405" t="s">
        <v>2720</v>
      </c>
      <c r="FH66" s="405" t="s">
        <v>2720</v>
      </c>
      <c r="FI66" s="405" t="s">
        <v>2720</v>
      </c>
      <c r="FJ66" s="405" t="s">
        <v>2720</v>
      </c>
      <c r="FK66" s="407" t="s">
        <v>2720</v>
      </c>
      <c r="FM66" s="408"/>
    </row>
    <row r="67" spans="1:169" hidden="1">
      <c r="A67" s="150" t="s">
        <v>2720</v>
      </c>
      <c r="B67" s="375" t="s">
        <v>2720</v>
      </c>
      <c r="C67" s="376" t="s">
        <v>2720</v>
      </c>
      <c r="D67" s="377" t="s">
        <v>2720</v>
      </c>
      <c r="E67" s="378"/>
      <c r="F67" s="379" t="s">
        <v>2720</v>
      </c>
      <c r="G67" s="380" t="s">
        <v>2720</v>
      </c>
      <c r="H67" s="381" t="s">
        <v>2720</v>
      </c>
      <c r="I67" s="382" t="s">
        <v>2720</v>
      </c>
      <c r="J67" s="381" t="s">
        <v>2720</v>
      </c>
      <c r="K67" s="382" t="s">
        <v>2720</v>
      </c>
      <c r="L67" s="381" t="s">
        <v>2720</v>
      </c>
      <c r="M67" s="382" t="s">
        <v>2720</v>
      </c>
      <c r="N67" s="381" t="s">
        <v>2720</v>
      </c>
      <c r="O67" s="382" t="s">
        <v>2720</v>
      </c>
      <c r="P67" s="381" t="s">
        <v>2720</v>
      </c>
      <c r="Q67" s="382" t="s">
        <v>2720</v>
      </c>
      <c r="R67" s="381" t="s">
        <v>2720</v>
      </c>
      <c r="S67" s="382" t="s">
        <v>2720</v>
      </c>
      <c r="T67" s="381" t="s">
        <v>2720</v>
      </c>
      <c r="U67" s="382" t="s">
        <v>2720</v>
      </c>
      <c r="V67" s="381" t="s">
        <v>2720</v>
      </c>
      <c r="W67" s="382" t="s">
        <v>2720</v>
      </c>
      <c r="X67" s="383" t="s">
        <v>2720</v>
      </c>
      <c r="Y67" s="384"/>
      <c r="Z67" s="385" t="s">
        <v>2720</v>
      </c>
      <c r="AA67" s="386" t="s">
        <v>2720</v>
      </c>
      <c r="AB67" s="385" t="s">
        <v>2720</v>
      </c>
      <c r="AC67" s="386" t="s">
        <v>2720</v>
      </c>
      <c r="AD67" s="385" t="s">
        <v>2720</v>
      </c>
      <c r="AE67" s="386" t="s">
        <v>2720</v>
      </c>
      <c r="AF67" s="385" t="s">
        <v>2720</v>
      </c>
      <c r="AG67" s="386" t="s">
        <v>2720</v>
      </c>
      <c r="AH67" s="385" t="s">
        <v>2720</v>
      </c>
      <c r="AI67" s="386" t="s">
        <v>2720</v>
      </c>
      <c r="AJ67" s="385" t="s">
        <v>2720</v>
      </c>
      <c r="AK67" s="386" t="s">
        <v>2720</v>
      </c>
      <c r="AL67" s="385" t="s">
        <v>2720</v>
      </c>
      <c r="AM67" s="387" t="s">
        <v>2720</v>
      </c>
      <c r="AN67" s="385" t="s">
        <v>2720</v>
      </c>
      <c r="AO67" s="386" t="s">
        <v>2720</v>
      </c>
      <c r="AP67" s="385" t="s">
        <v>2720</v>
      </c>
      <c r="AQ67" s="387" t="s">
        <v>2720</v>
      </c>
      <c r="AR67" s="385" t="s">
        <v>2720</v>
      </c>
      <c r="AS67" s="387" t="s">
        <v>2720</v>
      </c>
      <c r="AT67" s="385" t="s">
        <v>2720</v>
      </c>
      <c r="AU67" s="387" t="s">
        <v>2720</v>
      </c>
      <c r="AV67" s="385" t="s">
        <v>2720</v>
      </c>
      <c r="AW67" s="387" t="s">
        <v>2720</v>
      </c>
      <c r="AX67" s="385" t="s">
        <v>2720</v>
      </c>
      <c r="AY67" s="384"/>
      <c r="AZ67" s="385" t="s">
        <v>2720</v>
      </c>
      <c r="BA67" s="384"/>
      <c r="BB67" s="388" t="s">
        <v>2720</v>
      </c>
      <c r="BC67" s="389" t="s">
        <v>2720</v>
      </c>
      <c r="BD67" s="390" t="s">
        <v>2720</v>
      </c>
      <c r="BE67" s="391" t="s">
        <v>2720</v>
      </c>
      <c r="BF67" s="390" t="s">
        <v>2720</v>
      </c>
      <c r="BG67" s="392"/>
      <c r="BH67" s="393" t="s">
        <v>2720</v>
      </c>
      <c r="BI67" s="394" t="s">
        <v>2720</v>
      </c>
      <c r="BJ67" s="395" t="s">
        <v>2720</v>
      </c>
      <c r="BK67" s="395" t="s">
        <v>2720</v>
      </c>
      <c r="BL67" s="395" t="s">
        <v>2720</v>
      </c>
      <c r="BM67" s="396" t="s">
        <v>2720</v>
      </c>
      <c r="BN67" s="397" t="s">
        <v>2720</v>
      </c>
      <c r="BO67" s="54" t="s">
        <v>2720</v>
      </c>
      <c r="BP67" s="397" t="s">
        <v>2720</v>
      </c>
      <c r="BQ67" s="54" t="s">
        <v>2720</v>
      </c>
      <c r="BR67" s="398" t="s">
        <v>2720</v>
      </c>
      <c r="BS67" s="399"/>
      <c r="BT67" s="400" t="s">
        <v>2720</v>
      </c>
      <c r="BU67" s="401" t="s">
        <v>2720</v>
      </c>
      <c r="BV67" s="401" t="s">
        <v>2720</v>
      </c>
      <c r="BW67" s="401" t="s">
        <v>2720</v>
      </c>
      <c r="BX67" s="402" t="s">
        <v>2720</v>
      </c>
      <c r="BY67" s="402" t="s">
        <v>2720</v>
      </c>
      <c r="BZ67" s="401" t="s">
        <v>2720</v>
      </c>
      <c r="CA67" s="401" t="s">
        <v>2720</v>
      </c>
      <c r="CB67" s="401" t="s">
        <v>2720</v>
      </c>
      <c r="CC67" s="401" t="s">
        <v>2720</v>
      </c>
      <c r="CD67" s="401" t="s">
        <v>2720</v>
      </c>
      <c r="CE67" s="401" t="s">
        <v>2720</v>
      </c>
      <c r="CF67" s="401" t="s">
        <v>2720</v>
      </c>
      <c r="CG67" s="401" t="s">
        <v>2720</v>
      </c>
      <c r="CH67" s="401" t="s">
        <v>2720</v>
      </c>
      <c r="CI67" s="401" t="s">
        <v>2720</v>
      </c>
      <c r="CJ67" s="401" t="s">
        <v>2720</v>
      </c>
      <c r="CK67" s="401" t="s">
        <v>2720</v>
      </c>
      <c r="CL67" s="401" t="s">
        <v>2720</v>
      </c>
      <c r="CM67" s="402" t="s">
        <v>2720</v>
      </c>
      <c r="CN67" s="401" t="s">
        <v>2720</v>
      </c>
      <c r="CO67" s="401" t="s">
        <v>2720</v>
      </c>
      <c r="CP67" s="401" t="s">
        <v>2720</v>
      </c>
      <c r="CQ67" s="290" t="s">
        <v>2720</v>
      </c>
      <c r="CR67" s="401" t="s">
        <v>2720</v>
      </c>
      <c r="CS67" s="401" t="s">
        <v>2720</v>
      </c>
      <c r="CT67" s="401" t="s">
        <v>2720</v>
      </c>
      <c r="CU67" s="401" t="s">
        <v>2720</v>
      </c>
      <c r="CV67" s="401" t="s">
        <v>2720</v>
      </c>
      <c r="CW67" s="401" t="s">
        <v>2720</v>
      </c>
      <c r="CX67" s="401" t="s">
        <v>2720</v>
      </c>
      <c r="CY67" s="401" t="s">
        <v>2720</v>
      </c>
      <c r="CZ67" s="401" t="s">
        <v>2720</v>
      </c>
      <c r="DA67" s="401" t="s">
        <v>2720</v>
      </c>
      <c r="DB67" s="401" t="s">
        <v>2720</v>
      </c>
      <c r="DC67" s="401" t="s">
        <v>2720</v>
      </c>
      <c r="DD67" s="401" t="s">
        <v>2720</v>
      </c>
      <c r="DE67" s="401" t="s">
        <v>2720</v>
      </c>
      <c r="DF67" s="401" t="s">
        <v>2720</v>
      </c>
      <c r="DG67" s="401" t="s">
        <v>2720</v>
      </c>
      <c r="DH67" s="401" t="s">
        <v>2720</v>
      </c>
      <c r="DI67" s="401" t="s">
        <v>2720</v>
      </c>
      <c r="DJ67" s="401" t="s">
        <v>2720</v>
      </c>
      <c r="DK67" s="401" t="s">
        <v>2720</v>
      </c>
      <c r="DL67" s="401" t="s">
        <v>2720</v>
      </c>
      <c r="DM67" s="401" t="s">
        <v>2720</v>
      </c>
      <c r="DN67" s="401" t="s">
        <v>2720</v>
      </c>
      <c r="DO67" s="403" t="s">
        <v>2720</v>
      </c>
      <c r="DP67" s="404" t="s">
        <v>2720</v>
      </c>
      <c r="DQ67" s="405" t="s">
        <v>2720</v>
      </c>
      <c r="DR67" s="405" t="s">
        <v>2720</v>
      </c>
      <c r="DS67" s="405" t="s">
        <v>2720</v>
      </c>
      <c r="DT67" s="405" t="s">
        <v>2720</v>
      </c>
      <c r="DU67" s="405" t="s">
        <v>2720</v>
      </c>
      <c r="DV67" s="405" t="s">
        <v>2720</v>
      </c>
      <c r="DW67" s="405" t="s">
        <v>2720</v>
      </c>
      <c r="DX67" s="405" t="s">
        <v>2720</v>
      </c>
      <c r="DY67" s="405" t="s">
        <v>2720</v>
      </c>
      <c r="DZ67" s="405" t="s">
        <v>2720</v>
      </c>
      <c r="EA67" s="405" t="s">
        <v>2720</v>
      </c>
      <c r="EB67" s="405" t="s">
        <v>2720</v>
      </c>
      <c r="EC67" s="405" t="s">
        <v>2720</v>
      </c>
      <c r="ED67" s="405" t="s">
        <v>2720</v>
      </c>
      <c r="EE67" s="405" t="s">
        <v>2720</v>
      </c>
      <c r="EF67" s="405" t="s">
        <v>2720</v>
      </c>
      <c r="EG67" s="405" t="s">
        <v>2720</v>
      </c>
      <c r="EH67" s="405" t="s">
        <v>2720</v>
      </c>
      <c r="EI67" s="405" t="s">
        <v>2720</v>
      </c>
      <c r="EJ67" s="405" t="s">
        <v>2720</v>
      </c>
      <c r="EK67" s="405" t="s">
        <v>2720</v>
      </c>
      <c r="EL67" s="405" t="s">
        <v>2720</v>
      </c>
      <c r="EM67" s="406" t="s">
        <v>2720</v>
      </c>
      <c r="EN67" s="405" t="s">
        <v>2720</v>
      </c>
      <c r="EO67" s="405" t="s">
        <v>2720</v>
      </c>
      <c r="EP67" s="405" t="s">
        <v>2720</v>
      </c>
      <c r="EQ67" s="405" t="s">
        <v>2720</v>
      </c>
      <c r="ER67" s="405" t="s">
        <v>2720</v>
      </c>
      <c r="ES67" s="405" t="s">
        <v>2720</v>
      </c>
      <c r="ET67" s="405" t="s">
        <v>2720</v>
      </c>
      <c r="EU67" s="405" t="s">
        <v>2720</v>
      </c>
      <c r="EV67" s="405" t="s">
        <v>2720</v>
      </c>
      <c r="EW67" s="405" t="s">
        <v>2720</v>
      </c>
      <c r="EX67" s="405" t="s">
        <v>2720</v>
      </c>
      <c r="EY67" s="405" t="s">
        <v>2720</v>
      </c>
      <c r="EZ67" s="405" t="s">
        <v>2720</v>
      </c>
      <c r="FA67" s="405" t="s">
        <v>2720</v>
      </c>
      <c r="FB67" s="405" t="s">
        <v>2720</v>
      </c>
      <c r="FC67" s="405" t="s">
        <v>2720</v>
      </c>
      <c r="FD67" s="405" t="s">
        <v>2720</v>
      </c>
      <c r="FE67" s="405" t="s">
        <v>2720</v>
      </c>
      <c r="FF67" s="405" t="s">
        <v>2720</v>
      </c>
      <c r="FG67" s="405" t="s">
        <v>2720</v>
      </c>
      <c r="FH67" s="405" t="s">
        <v>2720</v>
      </c>
      <c r="FI67" s="405" t="s">
        <v>2720</v>
      </c>
      <c r="FJ67" s="405" t="s">
        <v>2720</v>
      </c>
      <c r="FK67" s="407" t="s">
        <v>2720</v>
      </c>
      <c r="FM67" s="408"/>
    </row>
    <row r="68" spans="1:169" hidden="1">
      <c r="A68" s="150" t="s">
        <v>2720</v>
      </c>
      <c r="B68" s="375" t="s">
        <v>2720</v>
      </c>
      <c r="C68" s="376" t="s">
        <v>2720</v>
      </c>
      <c r="D68" s="377" t="s">
        <v>2720</v>
      </c>
      <c r="E68" s="378"/>
      <c r="F68" s="379" t="s">
        <v>2720</v>
      </c>
      <c r="G68" s="380" t="s">
        <v>2720</v>
      </c>
      <c r="H68" s="381" t="s">
        <v>2720</v>
      </c>
      <c r="I68" s="382" t="s">
        <v>2720</v>
      </c>
      <c r="J68" s="381" t="s">
        <v>2720</v>
      </c>
      <c r="K68" s="382" t="s">
        <v>2720</v>
      </c>
      <c r="L68" s="381" t="s">
        <v>2720</v>
      </c>
      <c r="M68" s="382" t="s">
        <v>2720</v>
      </c>
      <c r="N68" s="381" t="s">
        <v>2720</v>
      </c>
      <c r="O68" s="382" t="s">
        <v>2720</v>
      </c>
      <c r="P68" s="381" t="s">
        <v>2720</v>
      </c>
      <c r="Q68" s="382" t="s">
        <v>2720</v>
      </c>
      <c r="R68" s="381" t="s">
        <v>2720</v>
      </c>
      <c r="S68" s="382" t="s">
        <v>2720</v>
      </c>
      <c r="T68" s="381" t="s">
        <v>2720</v>
      </c>
      <c r="U68" s="382" t="s">
        <v>2720</v>
      </c>
      <c r="V68" s="381" t="s">
        <v>2720</v>
      </c>
      <c r="W68" s="382" t="s">
        <v>2720</v>
      </c>
      <c r="X68" s="383" t="s">
        <v>2720</v>
      </c>
      <c r="Y68" s="384"/>
      <c r="Z68" s="385" t="s">
        <v>2720</v>
      </c>
      <c r="AA68" s="386" t="s">
        <v>2720</v>
      </c>
      <c r="AB68" s="385" t="s">
        <v>2720</v>
      </c>
      <c r="AC68" s="386" t="s">
        <v>2720</v>
      </c>
      <c r="AD68" s="385" t="s">
        <v>2720</v>
      </c>
      <c r="AE68" s="386" t="s">
        <v>2720</v>
      </c>
      <c r="AF68" s="385" t="s">
        <v>2720</v>
      </c>
      <c r="AG68" s="386" t="s">
        <v>2720</v>
      </c>
      <c r="AH68" s="385" t="s">
        <v>2720</v>
      </c>
      <c r="AI68" s="386" t="s">
        <v>2720</v>
      </c>
      <c r="AJ68" s="385" t="s">
        <v>2720</v>
      </c>
      <c r="AK68" s="386" t="s">
        <v>2720</v>
      </c>
      <c r="AL68" s="385" t="s">
        <v>2720</v>
      </c>
      <c r="AM68" s="387" t="s">
        <v>2720</v>
      </c>
      <c r="AN68" s="385" t="s">
        <v>2720</v>
      </c>
      <c r="AO68" s="386" t="s">
        <v>2720</v>
      </c>
      <c r="AP68" s="385" t="s">
        <v>2720</v>
      </c>
      <c r="AQ68" s="387" t="s">
        <v>2720</v>
      </c>
      <c r="AR68" s="385" t="s">
        <v>2720</v>
      </c>
      <c r="AS68" s="387" t="s">
        <v>2720</v>
      </c>
      <c r="AT68" s="385" t="s">
        <v>2720</v>
      </c>
      <c r="AU68" s="387" t="s">
        <v>2720</v>
      </c>
      <c r="AV68" s="385" t="s">
        <v>2720</v>
      </c>
      <c r="AW68" s="387" t="s">
        <v>2720</v>
      </c>
      <c r="AX68" s="385" t="s">
        <v>2720</v>
      </c>
      <c r="AY68" s="384"/>
      <c r="AZ68" s="385" t="s">
        <v>2720</v>
      </c>
      <c r="BA68" s="384"/>
      <c r="BB68" s="388" t="s">
        <v>2720</v>
      </c>
      <c r="BC68" s="389" t="s">
        <v>2720</v>
      </c>
      <c r="BD68" s="390" t="s">
        <v>2720</v>
      </c>
      <c r="BE68" s="391" t="s">
        <v>2720</v>
      </c>
      <c r="BF68" s="390" t="s">
        <v>2720</v>
      </c>
      <c r="BG68" s="392"/>
      <c r="BH68" s="393" t="s">
        <v>2720</v>
      </c>
      <c r="BI68" s="394" t="s">
        <v>2720</v>
      </c>
      <c r="BJ68" s="395" t="s">
        <v>2720</v>
      </c>
      <c r="BK68" s="395" t="s">
        <v>2720</v>
      </c>
      <c r="BL68" s="395" t="s">
        <v>2720</v>
      </c>
      <c r="BM68" s="396" t="s">
        <v>2720</v>
      </c>
      <c r="BN68" s="397" t="s">
        <v>2720</v>
      </c>
      <c r="BO68" s="54" t="s">
        <v>2720</v>
      </c>
      <c r="BP68" s="397" t="s">
        <v>2720</v>
      </c>
      <c r="BQ68" s="54" t="s">
        <v>2720</v>
      </c>
      <c r="BR68" s="398" t="s">
        <v>2720</v>
      </c>
      <c r="BS68" s="399"/>
      <c r="BT68" s="400" t="s">
        <v>2720</v>
      </c>
      <c r="BU68" s="401" t="s">
        <v>2720</v>
      </c>
      <c r="BV68" s="401" t="s">
        <v>2720</v>
      </c>
      <c r="BW68" s="401" t="s">
        <v>2720</v>
      </c>
      <c r="BX68" s="402" t="s">
        <v>2720</v>
      </c>
      <c r="BY68" s="402" t="s">
        <v>2720</v>
      </c>
      <c r="BZ68" s="401" t="s">
        <v>2720</v>
      </c>
      <c r="CA68" s="401" t="s">
        <v>2720</v>
      </c>
      <c r="CB68" s="401" t="s">
        <v>2720</v>
      </c>
      <c r="CC68" s="401" t="s">
        <v>2720</v>
      </c>
      <c r="CD68" s="401" t="s">
        <v>2720</v>
      </c>
      <c r="CE68" s="401" t="s">
        <v>2720</v>
      </c>
      <c r="CF68" s="401" t="s">
        <v>2720</v>
      </c>
      <c r="CG68" s="401" t="s">
        <v>2720</v>
      </c>
      <c r="CH68" s="401" t="s">
        <v>2720</v>
      </c>
      <c r="CI68" s="401" t="s">
        <v>2720</v>
      </c>
      <c r="CJ68" s="401" t="s">
        <v>2720</v>
      </c>
      <c r="CK68" s="401" t="s">
        <v>2720</v>
      </c>
      <c r="CL68" s="401" t="s">
        <v>2720</v>
      </c>
      <c r="CM68" s="402" t="s">
        <v>2720</v>
      </c>
      <c r="CN68" s="401" t="s">
        <v>2720</v>
      </c>
      <c r="CO68" s="401" t="s">
        <v>2720</v>
      </c>
      <c r="CP68" s="401" t="s">
        <v>2720</v>
      </c>
      <c r="CQ68" s="290" t="s">
        <v>2720</v>
      </c>
      <c r="CR68" s="401" t="s">
        <v>2720</v>
      </c>
      <c r="CS68" s="401" t="s">
        <v>2720</v>
      </c>
      <c r="CT68" s="401" t="s">
        <v>2720</v>
      </c>
      <c r="CU68" s="401" t="s">
        <v>2720</v>
      </c>
      <c r="CV68" s="401" t="s">
        <v>2720</v>
      </c>
      <c r="CW68" s="401" t="s">
        <v>2720</v>
      </c>
      <c r="CX68" s="401" t="s">
        <v>2720</v>
      </c>
      <c r="CY68" s="401" t="s">
        <v>2720</v>
      </c>
      <c r="CZ68" s="401" t="s">
        <v>2720</v>
      </c>
      <c r="DA68" s="401" t="s">
        <v>2720</v>
      </c>
      <c r="DB68" s="401" t="s">
        <v>2720</v>
      </c>
      <c r="DC68" s="401" t="s">
        <v>2720</v>
      </c>
      <c r="DD68" s="401" t="s">
        <v>2720</v>
      </c>
      <c r="DE68" s="401" t="s">
        <v>2720</v>
      </c>
      <c r="DF68" s="401" t="s">
        <v>2720</v>
      </c>
      <c r="DG68" s="401" t="s">
        <v>2720</v>
      </c>
      <c r="DH68" s="401" t="s">
        <v>2720</v>
      </c>
      <c r="DI68" s="401" t="s">
        <v>2720</v>
      </c>
      <c r="DJ68" s="401" t="s">
        <v>2720</v>
      </c>
      <c r="DK68" s="401" t="s">
        <v>2720</v>
      </c>
      <c r="DL68" s="401" t="s">
        <v>2720</v>
      </c>
      <c r="DM68" s="401" t="s">
        <v>2720</v>
      </c>
      <c r="DN68" s="401" t="s">
        <v>2720</v>
      </c>
      <c r="DO68" s="403" t="s">
        <v>2720</v>
      </c>
      <c r="DP68" s="404" t="s">
        <v>2720</v>
      </c>
      <c r="DQ68" s="405" t="s">
        <v>2720</v>
      </c>
      <c r="DR68" s="405" t="s">
        <v>2720</v>
      </c>
      <c r="DS68" s="405" t="s">
        <v>2720</v>
      </c>
      <c r="DT68" s="405" t="s">
        <v>2720</v>
      </c>
      <c r="DU68" s="405" t="s">
        <v>2720</v>
      </c>
      <c r="DV68" s="405" t="s">
        <v>2720</v>
      </c>
      <c r="DW68" s="405" t="s">
        <v>2720</v>
      </c>
      <c r="DX68" s="405" t="s">
        <v>2720</v>
      </c>
      <c r="DY68" s="405" t="s">
        <v>2720</v>
      </c>
      <c r="DZ68" s="405" t="s">
        <v>2720</v>
      </c>
      <c r="EA68" s="405" t="s">
        <v>2720</v>
      </c>
      <c r="EB68" s="405" t="s">
        <v>2720</v>
      </c>
      <c r="EC68" s="405" t="s">
        <v>2720</v>
      </c>
      <c r="ED68" s="405" t="s">
        <v>2720</v>
      </c>
      <c r="EE68" s="405" t="s">
        <v>2720</v>
      </c>
      <c r="EF68" s="405" t="s">
        <v>2720</v>
      </c>
      <c r="EG68" s="405" t="s">
        <v>2720</v>
      </c>
      <c r="EH68" s="405" t="s">
        <v>2720</v>
      </c>
      <c r="EI68" s="405" t="s">
        <v>2720</v>
      </c>
      <c r="EJ68" s="405" t="s">
        <v>2720</v>
      </c>
      <c r="EK68" s="405" t="s">
        <v>2720</v>
      </c>
      <c r="EL68" s="405" t="s">
        <v>2720</v>
      </c>
      <c r="EM68" s="406" t="s">
        <v>2720</v>
      </c>
      <c r="EN68" s="405" t="s">
        <v>2720</v>
      </c>
      <c r="EO68" s="405" t="s">
        <v>2720</v>
      </c>
      <c r="EP68" s="405" t="s">
        <v>2720</v>
      </c>
      <c r="EQ68" s="405" t="s">
        <v>2720</v>
      </c>
      <c r="ER68" s="405" t="s">
        <v>2720</v>
      </c>
      <c r="ES68" s="405" t="s">
        <v>2720</v>
      </c>
      <c r="ET68" s="405" t="s">
        <v>2720</v>
      </c>
      <c r="EU68" s="405" t="s">
        <v>2720</v>
      </c>
      <c r="EV68" s="405" t="s">
        <v>2720</v>
      </c>
      <c r="EW68" s="405" t="s">
        <v>2720</v>
      </c>
      <c r="EX68" s="405" t="s">
        <v>2720</v>
      </c>
      <c r="EY68" s="405" t="s">
        <v>2720</v>
      </c>
      <c r="EZ68" s="405" t="s">
        <v>2720</v>
      </c>
      <c r="FA68" s="405" t="s">
        <v>2720</v>
      </c>
      <c r="FB68" s="405" t="s">
        <v>2720</v>
      </c>
      <c r="FC68" s="405" t="s">
        <v>2720</v>
      </c>
      <c r="FD68" s="405" t="s">
        <v>2720</v>
      </c>
      <c r="FE68" s="405" t="s">
        <v>2720</v>
      </c>
      <c r="FF68" s="405" t="s">
        <v>2720</v>
      </c>
      <c r="FG68" s="405" t="s">
        <v>2720</v>
      </c>
      <c r="FH68" s="405" t="s">
        <v>2720</v>
      </c>
      <c r="FI68" s="405" t="s">
        <v>2720</v>
      </c>
      <c r="FJ68" s="405" t="s">
        <v>2720</v>
      </c>
      <c r="FK68" s="407" t="s">
        <v>2720</v>
      </c>
      <c r="FM68" s="408"/>
    </row>
    <row r="69" spans="1:169" hidden="1">
      <c r="A69" s="150" t="s">
        <v>2720</v>
      </c>
      <c r="B69" s="375" t="s">
        <v>2720</v>
      </c>
      <c r="C69" s="376" t="s">
        <v>2720</v>
      </c>
      <c r="D69" s="377" t="s">
        <v>2720</v>
      </c>
      <c r="E69" s="378"/>
      <c r="F69" s="379" t="s">
        <v>2720</v>
      </c>
      <c r="G69" s="380" t="s">
        <v>2720</v>
      </c>
      <c r="H69" s="381" t="s">
        <v>2720</v>
      </c>
      <c r="I69" s="382" t="s">
        <v>2720</v>
      </c>
      <c r="J69" s="381" t="s">
        <v>2720</v>
      </c>
      <c r="K69" s="382" t="s">
        <v>2720</v>
      </c>
      <c r="L69" s="381" t="s">
        <v>2720</v>
      </c>
      <c r="M69" s="382" t="s">
        <v>2720</v>
      </c>
      <c r="N69" s="381" t="s">
        <v>2720</v>
      </c>
      <c r="O69" s="382" t="s">
        <v>2720</v>
      </c>
      <c r="P69" s="381" t="s">
        <v>2720</v>
      </c>
      <c r="Q69" s="382" t="s">
        <v>2720</v>
      </c>
      <c r="R69" s="381" t="s">
        <v>2720</v>
      </c>
      <c r="S69" s="382" t="s">
        <v>2720</v>
      </c>
      <c r="T69" s="381" t="s">
        <v>2720</v>
      </c>
      <c r="U69" s="382" t="s">
        <v>2720</v>
      </c>
      <c r="V69" s="381" t="s">
        <v>2720</v>
      </c>
      <c r="W69" s="382" t="s">
        <v>2720</v>
      </c>
      <c r="X69" s="383" t="s">
        <v>2720</v>
      </c>
      <c r="Y69" s="384"/>
      <c r="Z69" s="385" t="s">
        <v>2720</v>
      </c>
      <c r="AA69" s="386" t="s">
        <v>2720</v>
      </c>
      <c r="AB69" s="385" t="s">
        <v>2720</v>
      </c>
      <c r="AC69" s="386" t="s">
        <v>2720</v>
      </c>
      <c r="AD69" s="385" t="s">
        <v>2720</v>
      </c>
      <c r="AE69" s="386" t="s">
        <v>2720</v>
      </c>
      <c r="AF69" s="385" t="s">
        <v>2720</v>
      </c>
      <c r="AG69" s="386" t="s">
        <v>2720</v>
      </c>
      <c r="AH69" s="385" t="s">
        <v>2720</v>
      </c>
      <c r="AI69" s="386" t="s">
        <v>2720</v>
      </c>
      <c r="AJ69" s="385" t="s">
        <v>2720</v>
      </c>
      <c r="AK69" s="386" t="s">
        <v>2720</v>
      </c>
      <c r="AL69" s="385" t="s">
        <v>2720</v>
      </c>
      <c r="AM69" s="387" t="s">
        <v>2720</v>
      </c>
      <c r="AN69" s="385" t="s">
        <v>2720</v>
      </c>
      <c r="AO69" s="386" t="s">
        <v>2720</v>
      </c>
      <c r="AP69" s="385" t="s">
        <v>2720</v>
      </c>
      <c r="AQ69" s="387" t="s">
        <v>2720</v>
      </c>
      <c r="AR69" s="385" t="s">
        <v>2720</v>
      </c>
      <c r="AS69" s="387" t="s">
        <v>2720</v>
      </c>
      <c r="AT69" s="385" t="s">
        <v>2720</v>
      </c>
      <c r="AU69" s="387" t="s">
        <v>2720</v>
      </c>
      <c r="AV69" s="385" t="s">
        <v>2720</v>
      </c>
      <c r="AW69" s="387" t="s">
        <v>2720</v>
      </c>
      <c r="AX69" s="385" t="s">
        <v>2720</v>
      </c>
      <c r="AY69" s="384"/>
      <c r="AZ69" s="385" t="s">
        <v>2720</v>
      </c>
      <c r="BA69" s="384"/>
      <c r="BB69" s="388" t="s">
        <v>2720</v>
      </c>
      <c r="BC69" s="389" t="s">
        <v>2720</v>
      </c>
      <c r="BD69" s="390" t="s">
        <v>2720</v>
      </c>
      <c r="BE69" s="391" t="s">
        <v>2720</v>
      </c>
      <c r="BF69" s="390" t="s">
        <v>2720</v>
      </c>
      <c r="BG69" s="392"/>
      <c r="BH69" s="393" t="s">
        <v>2720</v>
      </c>
      <c r="BI69" s="394" t="s">
        <v>2720</v>
      </c>
      <c r="BJ69" s="395" t="s">
        <v>2720</v>
      </c>
      <c r="BK69" s="395" t="s">
        <v>2720</v>
      </c>
      <c r="BL69" s="395" t="s">
        <v>2720</v>
      </c>
      <c r="BM69" s="396" t="s">
        <v>2720</v>
      </c>
      <c r="BN69" s="397" t="s">
        <v>2720</v>
      </c>
      <c r="BO69" s="54" t="s">
        <v>2720</v>
      </c>
      <c r="BP69" s="397" t="s">
        <v>2720</v>
      </c>
      <c r="BQ69" s="54" t="s">
        <v>2720</v>
      </c>
      <c r="BR69" s="398" t="s">
        <v>2720</v>
      </c>
      <c r="BS69" s="399"/>
      <c r="BT69" s="400" t="s">
        <v>2720</v>
      </c>
      <c r="BU69" s="401" t="s">
        <v>2720</v>
      </c>
      <c r="BV69" s="401" t="s">
        <v>2720</v>
      </c>
      <c r="BW69" s="401" t="s">
        <v>2720</v>
      </c>
      <c r="BX69" s="402" t="s">
        <v>2720</v>
      </c>
      <c r="BY69" s="402" t="s">
        <v>2720</v>
      </c>
      <c r="BZ69" s="401" t="s">
        <v>2720</v>
      </c>
      <c r="CA69" s="401" t="s">
        <v>2720</v>
      </c>
      <c r="CB69" s="401" t="s">
        <v>2720</v>
      </c>
      <c r="CC69" s="401" t="s">
        <v>2720</v>
      </c>
      <c r="CD69" s="401" t="s">
        <v>2720</v>
      </c>
      <c r="CE69" s="401" t="s">
        <v>2720</v>
      </c>
      <c r="CF69" s="401" t="s">
        <v>2720</v>
      </c>
      <c r="CG69" s="401" t="s">
        <v>2720</v>
      </c>
      <c r="CH69" s="401" t="s">
        <v>2720</v>
      </c>
      <c r="CI69" s="401" t="s">
        <v>2720</v>
      </c>
      <c r="CJ69" s="401" t="s">
        <v>2720</v>
      </c>
      <c r="CK69" s="401" t="s">
        <v>2720</v>
      </c>
      <c r="CL69" s="401" t="s">
        <v>2720</v>
      </c>
      <c r="CM69" s="402" t="s">
        <v>2720</v>
      </c>
      <c r="CN69" s="401" t="s">
        <v>2720</v>
      </c>
      <c r="CO69" s="401" t="s">
        <v>2720</v>
      </c>
      <c r="CP69" s="401" t="s">
        <v>2720</v>
      </c>
      <c r="CQ69" s="290" t="s">
        <v>2720</v>
      </c>
      <c r="CR69" s="401" t="s">
        <v>2720</v>
      </c>
      <c r="CS69" s="401" t="s">
        <v>2720</v>
      </c>
      <c r="CT69" s="401" t="s">
        <v>2720</v>
      </c>
      <c r="CU69" s="401" t="s">
        <v>2720</v>
      </c>
      <c r="CV69" s="401" t="s">
        <v>2720</v>
      </c>
      <c r="CW69" s="401" t="s">
        <v>2720</v>
      </c>
      <c r="CX69" s="401" t="s">
        <v>2720</v>
      </c>
      <c r="CY69" s="401" t="s">
        <v>2720</v>
      </c>
      <c r="CZ69" s="401" t="s">
        <v>2720</v>
      </c>
      <c r="DA69" s="401" t="s">
        <v>2720</v>
      </c>
      <c r="DB69" s="401" t="s">
        <v>2720</v>
      </c>
      <c r="DC69" s="401" t="s">
        <v>2720</v>
      </c>
      <c r="DD69" s="401" t="s">
        <v>2720</v>
      </c>
      <c r="DE69" s="401" t="s">
        <v>2720</v>
      </c>
      <c r="DF69" s="401" t="s">
        <v>2720</v>
      </c>
      <c r="DG69" s="401" t="s">
        <v>2720</v>
      </c>
      <c r="DH69" s="401" t="s">
        <v>2720</v>
      </c>
      <c r="DI69" s="401" t="s">
        <v>2720</v>
      </c>
      <c r="DJ69" s="401" t="s">
        <v>2720</v>
      </c>
      <c r="DK69" s="401" t="s">
        <v>2720</v>
      </c>
      <c r="DL69" s="401" t="s">
        <v>2720</v>
      </c>
      <c r="DM69" s="401" t="s">
        <v>2720</v>
      </c>
      <c r="DN69" s="401" t="s">
        <v>2720</v>
      </c>
      <c r="DO69" s="403" t="s">
        <v>2720</v>
      </c>
      <c r="DP69" s="404" t="s">
        <v>2720</v>
      </c>
      <c r="DQ69" s="405" t="s">
        <v>2720</v>
      </c>
      <c r="DR69" s="405" t="s">
        <v>2720</v>
      </c>
      <c r="DS69" s="405" t="s">
        <v>2720</v>
      </c>
      <c r="DT69" s="405" t="s">
        <v>2720</v>
      </c>
      <c r="DU69" s="405" t="s">
        <v>2720</v>
      </c>
      <c r="DV69" s="405" t="s">
        <v>2720</v>
      </c>
      <c r="DW69" s="405" t="s">
        <v>2720</v>
      </c>
      <c r="DX69" s="405" t="s">
        <v>2720</v>
      </c>
      <c r="DY69" s="405" t="s">
        <v>2720</v>
      </c>
      <c r="DZ69" s="405" t="s">
        <v>2720</v>
      </c>
      <c r="EA69" s="405" t="s">
        <v>2720</v>
      </c>
      <c r="EB69" s="405" t="s">
        <v>2720</v>
      </c>
      <c r="EC69" s="405" t="s">
        <v>2720</v>
      </c>
      <c r="ED69" s="405" t="s">
        <v>2720</v>
      </c>
      <c r="EE69" s="405" t="s">
        <v>2720</v>
      </c>
      <c r="EF69" s="405" t="s">
        <v>2720</v>
      </c>
      <c r="EG69" s="405" t="s">
        <v>2720</v>
      </c>
      <c r="EH69" s="405" t="s">
        <v>2720</v>
      </c>
      <c r="EI69" s="405" t="s">
        <v>2720</v>
      </c>
      <c r="EJ69" s="405" t="s">
        <v>2720</v>
      </c>
      <c r="EK69" s="405" t="s">
        <v>2720</v>
      </c>
      <c r="EL69" s="405" t="s">
        <v>2720</v>
      </c>
      <c r="EM69" s="406" t="s">
        <v>2720</v>
      </c>
      <c r="EN69" s="405" t="s">
        <v>2720</v>
      </c>
      <c r="EO69" s="405" t="s">
        <v>2720</v>
      </c>
      <c r="EP69" s="405" t="s">
        <v>2720</v>
      </c>
      <c r="EQ69" s="405" t="s">
        <v>2720</v>
      </c>
      <c r="ER69" s="405" t="s">
        <v>2720</v>
      </c>
      <c r="ES69" s="405" t="s">
        <v>2720</v>
      </c>
      <c r="ET69" s="405" t="s">
        <v>2720</v>
      </c>
      <c r="EU69" s="405" t="s">
        <v>2720</v>
      </c>
      <c r="EV69" s="405" t="s">
        <v>2720</v>
      </c>
      <c r="EW69" s="405" t="s">
        <v>2720</v>
      </c>
      <c r="EX69" s="405" t="s">
        <v>2720</v>
      </c>
      <c r="EY69" s="405" t="s">
        <v>2720</v>
      </c>
      <c r="EZ69" s="405" t="s">
        <v>2720</v>
      </c>
      <c r="FA69" s="405" t="s">
        <v>2720</v>
      </c>
      <c r="FB69" s="405" t="s">
        <v>2720</v>
      </c>
      <c r="FC69" s="405" t="s">
        <v>2720</v>
      </c>
      <c r="FD69" s="405" t="s">
        <v>2720</v>
      </c>
      <c r="FE69" s="405" t="s">
        <v>2720</v>
      </c>
      <c r="FF69" s="405" t="s">
        <v>2720</v>
      </c>
      <c r="FG69" s="405" t="s">
        <v>2720</v>
      </c>
      <c r="FH69" s="405" t="s">
        <v>2720</v>
      </c>
      <c r="FI69" s="405" t="s">
        <v>2720</v>
      </c>
      <c r="FJ69" s="405" t="s">
        <v>2720</v>
      </c>
      <c r="FK69" s="407" t="s">
        <v>2720</v>
      </c>
      <c r="FM69" s="408"/>
    </row>
    <row r="70" spans="1:169" hidden="1">
      <c r="A70" s="150" t="s">
        <v>2720</v>
      </c>
      <c r="B70" s="375" t="s">
        <v>2720</v>
      </c>
      <c r="C70" s="376" t="s">
        <v>2720</v>
      </c>
      <c r="D70" s="377" t="s">
        <v>2720</v>
      </c>
      <c r="E70" s="378"/>
      <c r="F70" s="379" t="s">
        <v>2720</v>
      </c>
      <c r="G70" s="380" t="s">
        <v>2720</v>
      </c>
      <c r="H70" s="381" t="s">
        <v>2720</v>
      </c>
      <c r="I70" s="382" t="s">
        <v>2720</v>
      </c>
      <c r="J70" s="381" t="s">
        <v>2720</v>
      </c>
      <c r="K70" s="382" t="s">
        <v>2720</v>
      </c>
      <c r="L70" s="381" t="s">
        <v>2720</v>
      </c>
      <c r="M70" s="382" t="s">
        <v>2720</v>
      </c>
      <c r="N70" s="381" t="s">
        <v>2720</v>
      </c>
      <c r="O70" s="382" t="s">
        <v>2720</v>
      </c>
      <c r="P70" s="381" t="s">
        <v>2720</v>
      </c>
      <c r="Q70" s="382" t="s">
        <v>2720</v>
      </c>
      <c r="R70" s="381" t="s">
        <v>2720</v>
      </c>
      <c r="S70" s="382" t="s">
        <v>2720</v>
      </c>
      <c r="T70" s="381" t="s">
        <v>2720</v>
      </c>
      <c r="U70" s="382" t="s">
        <v>2720</v>
      </c>
      <c r="V70" s="381" t="s">
        <v>2720</v>
      </c>
      <c r="W70" s="382" t="s">
        <v>2720</v>
      </c>
      <c r="X70" s="383" t="s">
        <v>2720</v>
      </c>
      <c r="Y70" s="384"/>
      <c r="Z70" s="385" t="s">
        <v>2720</v>
      </c>
      <c r="AA70" s="386" t="s">
        <v>2720</v>
      </c>
      <c r="AB70" s="385" t="s">
        <v>2720</v>
      </c>
      <c r="AC70" s="386" t="s">
        <v>2720</v>
      </c>
      <c r="AD70" s="385" t="s">
        <v>2720</v>
      </c>
      <c r="AE70" s="386" t="s">
        <v>2720</v>
      </c>
      <c r="AF70" s="385" t="s">
        <v>2720</v>
      </c>
      <c r="AG70" s="386" t="s">
        <v>2720</v>
      </c>
      <c r="AH70" s="385" t="s">
        <v>2720</v>
      </c>
      <c r="AI70" s="386" t="s">
        <v>2720</v>
      </c>
      <c r="AJ70" s="385" t="s">
        <v>2720</v>
      </c>
      <c r="AK70" s="386" t="s">
        <v>2720</v>
      </c>
      <c r="AL70" s="385" t="s">
        <v>2720</v>
      </c>
      <c r="AM70" s="387" t="s">
        <v>2720</v>
      </c>
      <c r="AN70" s="385" t="s">
        <v>2720</v>
      </c>
      <c r="AO70" s="386" t="s">
        <v>2720</v>
      </c>
      <c r="AP70" s="385" t="s">
        <v>2720</v>
      </c>
      <c r="AQ70" s="387" t="s">
        <v>2720</v>
      </c>
      <c r="AR70" s="385" t="s">
        <v>2720</v>
      </c>
      <c r="AS70" s="387" t="s">
        <v>2720</v>
      </c>
      <c r="AT70" s="385" t="s">
        <v>2720</v>
      </c>
      <c r="AU70" s="387" t="s">
        <v>2720</v>
      </c>
      <c r="AV70" s="385" t="s">
        <v>2720</v>
      </c>
      <c r="AW70" s="387" t="s">
        <v>2720</v>
      </c>
      <c r="AX70" s="385" t="s">
        <v>2720</v>
      </c>
      <c r="AY70" s="384"/>
      <c r="AZ70" s="385" t="s">
        <v>2720</v>
      </c>
      <c r="BA70" s="384"/>
      <c r="BB70" s="388" t="s">
        <v>2720</v>
      </c>
      <c r="BC70" s="389" t="s">
        <v>2720</v>
      </c>
      <c r="BD70" s="390" t="s">
        <v>2720</v>
      </c>
      <c r="BE70" s="391" t="s">
        <v>2720</v>
      </c>
      <c r="BF70" s="390" t="s">
        <v>2720</v>
      </c>
      <c r="BG70" s="392"/>
      <c r="BH70" s="393" t="s">
        <v>2720</v>
      </c>
      <c r="BI70" s="394" t="s">
        <v>2720</v>
      </c>
      <c r="BJ70" s="395" t="s">
        <v>2720</v>
      </c>
      <c r="BK70" s="395" t="s">
        <v>2720</v>
      </c>
      <c r="BL70" s="395" t="s">
        <v>2720</v>
      </c>
      <c r="BM70" s="396" t="s">
        <v>2720</v>
      </c>
      <c r="BN70" s="397" t="s">
        <v>2720</v>
      </c>
      <c r="BO70" s="54" t="s">
        <v>2720</v>
      </c>
      <c r="BP70" s="397" t="s">
        <v>2720</v>
      </c>
      <c r="BQ70" s="54" t="s">
        <v>2720</v>
      </c>
      <c r="BR70" s="398" t="s">
        <v>2720</v>
      </c>
      <c r="BS70" s="399"/>
      <c r="BT70" s="400" t="s">
        <v>2720</v>
      </c>
      <c r="BU70" s="401" t="s">
        <v>2720</v>
      </c>
      <c r="BV70" s="401" t="s">
        <v>2720</v>
      </c>
      <c r="BW70" s="401" t="s">
        <v>2720</v>
      </c>
      <c r="BX70" s="402" t="s">
        <v>2720</v>
      </c>
      <c r="BY70" s="402" t="s">
        <v>2720</v>
      </c>
      <c r="BZ70" s="401" t="s">
        <v>2720</v>
      </c>
      <c r="CA70" s="401" t="s">
        <v>2720</v>
      </c>
      <c r="CB70" s="401" t="s">
        <v>2720</v>
      </c>
      <c r="CC70" s="401" t="s">
        <v>2720</v>
      </c>
      <c r="CD70" s="401" t="s">
        <v>2720</v>
      </c>
      <c r="CE70" s="401" t="s">
        <v>2720</v>
      </c>
      <c r="CF70" s="401" t="s">
        <v>2720</v>
      </c>
      <c r="CG70" s="401" t="s">
        <v>2720</v>
      </c>
      <c r="CH70" s="401" t="s">
        <v>2720</v>
      </c>
      <c r="CI70" s="401" t="s">
        <v>2720</v>
      </c>
      <c r="CJ70" s="401" t="s">
        <v>2720</v>
      </c>
      <c r="CK70" s="401" t="s">
        <v>2720</v>
      </c>
      <c r="CL70" s="401" t="s">
        <v>2720</v>
      </c>
      <c r="CM70" s="402" t="s">
        <v>2720</v>
      </c>
      <c r="CN70" s="401" t="s">
        <v>2720</v>
      </c>
      <c r="CO70" s="401" t="s">
        <v>2720</v>
      </c>
      <c r="CP70" s="401" t="s">
        <v>2720</v>
      </c>
      <c r="CQ70" s="290" t="s">
        <v>2720</v>
      </c>
      <c r="CR70" s="401" t="s">
        <v>2720</v>
      </c>
      <c r="CS70" s="401" t="s">
        <v>2720</v>
      </c>
      <c r="CT70" s="401" t="s">
        <v>2720</v>
      </c>
      <c r="CU70" s="401" t="s">
        <v>2720</v>
      </c>
      <c r="CV70" s="401" t="s">
        <v>2720</v>
      </c>
      <c r="CW70" s="401" t="s">
        <v>2720</v>
      </c>
      <c r="CX70" s="401" t="s">
        <v>2720</v>
      </c>
      <c r="CY70" s="401" t="s">
        <v>2720</v>
      </c>
      <c r="CZ70" s="401" t="s">
        <v>2720</v>
      </c>
      <c r="DA70" s="401" t="s">
        <v>2720</v>
      </c>
      <c r="DB70" s="401" t="s">
        <v>2720</v>
      </c>
      <c r="DC70" s="401" t="s">
        <v>2720</v>
      </c>
      <c r="DD70" s="401" t="s">
        <v>2720</v>
      </c>
      <c r="DE70" s="401" t="s">
        <v>2720</v>
      </c>
      <c r="DF70" s="401" t="s">
        <v>2720</v>
      </c>
      <c r="DG70" s="401" t="s">
        <v>2720</v>
      </c>
      <c r="DH70" s="401" t="s">
        <v>2720</v>
      </c>
      <c r="DI70" s="401" t="s">
        <v>2720</v>
      </c>
      <c r="DJ70" s="401" t="s">
        <v>2720</v>
      </c>
      <c r="DK70" s="401" t="s">
        <v>2720</v>
      </c>
      <c r="DL70" s="401" t="s">
        <v>2720</v>
      </c>
      <c r="DM70" s="401" t="s">
        <v>2720</v>
      </c>
      <c r="DN70" s="401" t="s">
        <v>2720</v>
      </c>
      <c r="DO70" s="403" t="s">
        <v>2720</v>
      </c>
      <c r="DP70" s="404" t="s">
        <v>2720</v>
      </c>
      <c r="DQ70" s="405" t="s">
        <v>2720</v>
      </c>
      <c r="DR70" s="405" t="s">
        <v>2720</v>
      </c>
      <c r="DS70" s="405" t="s">
        <v>2720</v>
      </c>
      <c r="DT70" s="405" t="s">
        <v>2720</v>
      </c>
      <c r="DU70" s="405" t="s">
        <v>2720</v>
      </c>
      <c r="DV70" s="405" t="s">
        <v>2720</v>
      </c>
      <c r="DW70" s="405" t="s">
        <v>2720</v>
      </c>
      <c r="DX70" s="405" t="s">
        <v>2720</v>
      </c>
      <c r="DY70" s="405" t="s">
        <v>2720</v>
      </c>
      <c r="DZ70" s="405" t="s">
        <v>2720</v>
      </c>
      <c r="EA70" s="405" t="s">
        <v>2720</v>
      </c>
      <c r="EB70" s="405" t="s">
        <v>2720</v>
      </c>
      <c r="EC70" s="405" t="s">
        <v>2720</v>
      </c>
      <c r="ED70" s="405" t="s">
        <v>2720</v>
      </c>
      <c r="EE70" s="405" t="s">
        <v>2720</v>
      </c>
      <c r="EF70" s="405" t="s">
        <v>2720</v>
      </c>
      <c r="EG70" s="405" t="s">
        <v>2720</v>
      </c>
      <c r="EH70" s="405" t="s">
        <v>2720</v>
      </c>
      <c r="EI70" s="405" t="s">
        <v>2720</v>
      </c>
      <c r="EJ70" s="405" t="s">
        <v>2720</v>
      </c>
      <c r="EK70" s="405" t="s">
        <v>2720</v>
      </c>
      <c r="EL70" s="405" t="s">
        <v>2720</v>
      </c>
      <c r="EM70" s="406" t="s">
        <v>2720</v>
      </c>
      <c r="EN70" s="405" t="s">
        <v>2720</v>
      </c>
      <c r="EO70" s="405" t="s">
        <v>2720</v>
      </c>
      <c r="EP70" s="405" t="s">
        <v>2720</v>
      </c>
      <c r="EQ70" s="405" t="s">
        <v>2720</v>
      </c>
      <c r="ER70" s="405" t="s">
        <v>2720</v>
      </c>
      <c r="ES70" s="405" t="s">
        <v>2720</v>
      </c>
      <c r="ET70" s="405" t="s">
        <v>2720</v>
      </c>
      <c r="EU70" s="405" t="s">
        <v>2720</v>
      </c>
      <c r="EV70" s="405" t="s">
        <v>2720</v>
      </c>
      <c r="EW70" s="405" t="s">
        <v>2720</v>
      </c>
      <c r="EX70" s="405" t="s">
        <v>2720</v>
      </c>
      <c r="EY70" s="405" t="s">
        <v>2720</v>
      </c>
      <c r="EZ70" s="405" t="s">
        <v>2720</v>
      </c>
      <c r="FA70" s="405" t="s">
        <v>2720</v>
      </c>
      <c r="FB70" s="405" t="s">
        <v>2720</v>
      </c>
      <c r="FC70" s="405" t="s">
        <v>2720</v>
      </c>
      <c r="FD70" s="405" t="s">
        <v>2720</v>
      </c>
      <c r="FE70" s="405" t="s">
        <v>2720</v>
      </c>
      <c r="FF70" s="405" t="s">
        <v>2720</v>
      </c>
      <c r="FG70" s="405" t="s">
        <v>2720</v>
      </c>
      <c r="FH70" s="405" t="s">
        <v>2720</v>
      </c>
      <c r="FI70" s="405" t="s">
        <v>2720</v>
      </c>
      <c r="FJ70" s="405" t="s">
        <v>2720</v>
      </c>
      <c r="FK70" s="407" t="s">
        <v>2720</v>
      </c>
      <c r="FM70" s="408"/>
    </row>
    <row r="71" spans="1:169" hidden="1">
      <c r="A71" s="150" t="s">
        <v>2720</v>
      </c>
      <c r="B71" s="375" t="s">
        <v>2720</v>
      </c>
      <c r="C71" s="376" t="s">
        <v>2720</v>
      </c>
      <c r="D71" s="377" t="s">
        <v>2720</v>
      </c>
      <c r="E71" s="378"/>
      <c r="F71" s="379" t="s">
        <v>2720</v>
      </c>
      <c r="G71" s="380" t="s">
        <v>2720</v>
      </c>
      <c r="H71" s="381" t="s">
        <v>2720</v>
      </c>
      <c r="I71" s="382" t="s">
        <v>2720</v>
      </c>
      <c r="J71" s="381" t="s">
        <v>2720</v>
      </c>
      <c r="K71" s="382" t="s">
        <v>2720</v>
      </c>
      <c r="L71" s="381" t="s">
        <v>2720</v>
      </c>
      <c r="M71" s="382" t="s">
        <v>2720</v>
      </c>
      <c r="N71" s="381" t="s">
        <v>2720</v>
      </c>
      <c r="O71" s="382" t="s">
        <v>2720</v>
      </c>
      <c r="P71" s="381" t="s">
        <v>2720</v>
      </c>
      <c r="Q71" s="382" t="s">
        <v>2720</v>
      </c>
      <c r="R71" s="381" t="s">
        <v>2720</v>
      </c>
      <c r="S71" s="382" t="s">
        <v>2720</v>
      </c>
      <c r="T71" s="381" t="s">
        <v>2720</v>
      </c>
      <c r="U71" s="382" t="s">
        <v>2720</v>
      </c>
      <c r="V71" s="381" t="s">
        <v>2720</v>
      </c>
      <c r="W71" s="382" t="s">
        <v>2720</v>
      </c>
      <c r="X71" s="383" t="s">
        <v>2720</v>
      </c>
      <c r="Y71" s="384"/>
      <c r="Z71" s="385" t="s">
        <v>2720</v>
      </c>
      <c r="AA71" s="386" t="s">
        <v>2720</v>
      </c>
      <c r="AB71" s="385" t="s">
        <v>2720</v>
      </c>
      <c r="AC71" s="386" t="s">
        <v>2720</v>
      </c>
      <c r="AD71" s="385" t="s">
        <v>2720</v>
      </c>
      <c r="AE71" s="386" t="s">
        <v>2720</v>
      </c>
      <c r="AF71" s="385" t="s">
        <v>2720</v>
      </c>
      <c r="AG71" s="386" t="s">
        <v>2720</v>
      </c>
      <c r="AH71" s="385" t="s">
        <v>2720</v>
      </c>
      <c r="AI71" s="386" t="s">
        <v>2720</v>
      </c>
      <c r="AJ71" s="385" t="s">
        <v>2720</v>
      </c>
      <c r="AK71" s="386" t="s">
        <v>2720</v>
      </c>
      <c r="AL71" s="385" t="s">
        <v>2720</v>
      </c>
      <c r="AM71" s="387" t="s">
        <v>2720</v>
      </c>
      <c r="AN71" s="385" t="s">
        <v>2720</v>
      </c>
      <c r="AO71" s="386" t="s">
        <v>2720</v>
      </c>
      <c r="AP71" s="385" t="s">
        <v>2720</v>
      </c>
      <c r="AQ71" s="387" t="s">
        <v>2720</v>
      </c>
      <c r="AR71" s="385" t="s">
        <v>2720</v>
      </c>
      <c r="AS71" s="387" t="s">
        <v>2720</v>
      </c>
      <c r="AT71" s="385" t="s">
        <v>2720</v>
      </c>
      <c r="AU71" s="387" t="s">
        <v>2720</v>
      </c>
      <c r="AV71" s="385" t="s">
        <v>2720</v>
      </c>
      <c r="AW71" s="387" t="s">
        <v>2720</v>
      </c>
      <c r="AX71" s="385" t="s">
        <v>2720</v>
      </c>
      <c r="AY71" s="384"/>
      <c r="AZ71" s="385" t="s">
        <v>2720</v>
      </c>
      <c r="BA71" s="384"/>
      <c r="BB71" s="388" t="s">
        <v>2720</v>
      </c>
      <c r="BC71" s="389" t="s">
        <v>2720</v>
      </c>
      <c r="BD71" s="390" t="s">
        <v>2720</v>
      </c>
      <c r="BE71" s="391" t="s">
        <v>2720</v>
      </c>
      <c r="BF71" s="390" t="s">
        <v>2720</v>
      </c>
      <c r="BG71" s="392"/>
      <c r="BH71" s="393" t="s">
        <v>2720</v>
      </c>
      <c r="BI71" s="394" t="s">
        <v>2720</v>
      </c>
      <c r="BJ71" s="395" t="s">
        <v>2720</v>
      </c>
      <c r="BK71" s="395" t="s">
        <v>2720</v>
      </c>
      <c r="BL71" s="395" t="s">
        <v>2720</v>
      </c>
      <c r="BM71" s="396" t="s">
        <v>2720</v>
      </c>
      <c r="BN71" s="397" t="s">
        <v>2720</v>
      </c>
      <c r="BO71" s="54" t="s">
        <v>2720</v>
      </c>
      <c r="BP71" s="397" t="s">
        <v>2720</v>
      </c>
      <c r="BQ71" s="54" t="s">
        <v>2720</v>
      </c>
      <c r="BR71" s="398" t="s">
        <v>2720</v>
      </c>
      <c r="BS71" s="399"/>
      <c r="BT71" s="400" t="s">
        <v>2720</v>
      </c>
      <c r="BU71" s="401" t="s">
        <v>2720</v>
      </c>
      <c r="BV71" s="401" t="s">
        <v>2720</v>
      </c>
      <c r="BW71" s="401" t="s">
        <v>2720</v>
      </c>
      <c r="BX71" s="402" t="s">
        <v>2720</v>
      </c>
      <c r="BY71" s="402" t="s">
        <v>2720</v>
      </c>
      <c r="BZ71" s="401" t="s">
        <v>2720</v>
      </c>
      <c r="CA71" s="401" t="s">
        <v>2720</v>
      </c>
      <c r="CB71" s="401" t="s">
        <v>2720</v>
      </c>
      <c r="CC71" s="401" t="s">
        <v>2720</v>
      </c>
      <c r="CD71" s="401" t="s">
        <v>2720</v>
      </c>
      <c r="CE71" s="401" t="s">
        <v>2720</v>
      </c>
      <c r="CF71" s="401" t="s">
        <v>2720</v>
      </c>
      <c r="CG71" s="401" t="s">
        <v>2720</v>
      </c>
      <c r="CH71" s="401" t="s">
        <v>2720</v>
      </c>
      <c r="CI71" s="401" t="s">
        <v>2720</v>
      </c>
      <c r="CJ71" s="401" t="s">
        <v>2720</v>
      </c>
      <c r="CK71" s="401" t="s">
        <v>2720</v>
      </c>
      <c r="CL71" s="401" t="s">
        <v>2720</v>
      </c>
      <c r="CM71" s="402" t="s">
        <v>2720</v>
      </c>
      <c r="CN71" s="401" t="s">
        <v>2720</v>
      </c>
      <c r="CO71" s="401" t="s">
        <v>2720</v>
      </c>
      <c r="CP71" s="401" t="s">
        <v>2720</v>
      </c>
      <c r="CQ71" s="290" t="s">
        <v>2720</v>
      </c>
      <c r="CR71" s="401" t="s">
        <v>2720</v>
      </c>
      <c r="CS71" s="401" t="s">
        <v>2720</v>
      </c>
      <c r="CT71" s="401" t="s">
        <v>2720</v>
      </c>
      <c r="CU71" s="401" t="s">
        <v>2720</v>
      </c>
      <c r="CV71" s="401" t="s">
        <v>2720</v>
      </c>
      <c r="CW71" s="401" t="s">
        <v>2720</v>
      </c>
      <c r="CX71" s="401" t="s">
        <v>2720</v>
      </c>
      <c r="CY71" s="401" t="s">
        <v>2720</v>
      </c>
      <c r="CZ71" s="401" t="s">
        <v>2720</v>
      </c>
      <c r="DA71" s="401" t="s">
        <v>2720</v>
      </c>
      <c r="DB71" s="401" t="s">
        <v>2720</v>
      </c>
      <c r="DC71" s="401" t="s">
        <v>2720</v>
      </c>
      <c r="DD71" s="401" t="s">
        <v>2720</v>
      </c>
      <c r="DE71" s="401" t="s">
        <v>2720</v>
      </c>
      <c r="DF71" s="401" t="s">
        <v>2720</v>
      </c>
      <c r="DG71" s="401" t="s">
        <v>2720</v>
      </c>
      <c r="DH71" s="401" t="s">
        <v>2720</v>
      </c>
      <c r="DI71" s="401" t="s">
        <v>2720</v>
      </c>
      <c r="DJ71" s="401" t="s">
        <v>2720</v>
      </c>
      <c r="DK71" s="401" t="s">
        <v>2720</v>
      </c>
      <c r="DL71" s="401" t="s">
        <v>2720</v>
      </c>
      <c r="DM71" s="401" t="s">
        <v>2720</v>
      </c>
      <c r="DN71" s="401" t="s">
        <v>2720</v>
      </c>
      <c r="DO71" s="403" t="s">
        <v>2720</v>
      </c>
      <c r="DP71" s="404" t="s">
        <v>2720</v>
      </c>
      <c r="DQ71" s="405" t="s">
        <v>2720</v>
      </c>
      <c r="DR71" s="405" t="s">
        <v>2720</v>
      </c>
      <c r="DS71" s="405" t="s">
        <v>2720</v>
      </c>
      <c r="DT71" s="405" t="s">
        <v>2720</v>
      </c>
      <c r="DU71" s="405" t="s">
        <v>2720</v>
      </c>
      <c r="DV71" s="405" t="s">
        <v>2720</v>
      </c>
      <c r="DW71" s="405" t="s">
        <v>2720</v>
      </c>
      <c r="DX71" s="405" t="s">
        <v>2720</v>
      </c>
      <c r="DY71" s="405" t="s">
        <v>2720</v>
      </c>
      <c r="DZ71" s="405" t="s">
        <v>2720</v>
      </c>
      <c r="EA71" s="405" t="s">
        <v>2720</v>
      </c>
      <c r="EB71" s="405" t="s">
        <v>2720</v>
      </c>
      <c r="EC71" s="405" t="s">
        <v>2720</v>
      </c>
      <c r="ED71" s="405" t="s">
        <v>2720</v>
      </c>
      <c r="EE71" s="405" t="s">
        <v>2720</v>
      </c>
      <c r="EF71" s="405" t="s">
        <v>2720</v>
      </c>
      <c r="EG71" s="405" t="s">
        <v>2720</v>
      </c>
      <c r="EH71" s="405" t="s">
        <v>2720</v>
      </c>
      <c r="EI71" s="405" t="s">
        <v>2720</v>
      </c>
      <c r="EJ71" s="405" t="s">
        <v>2720</v>
      </c>
      <c r="EK71" s="405" t="s">
        <v>2720</v>
      </c>
      <c r="EL71" s="405" t="s">
        <v>2720</v>
      </c>
      <c r="EM71" s="406" t="s">
        <v>2720</v>
      </c>
      <c r="EN71" s="405" t="s">
        <v>2720</v>
      </c>
      <c r="EO71" s="405" t="s">
        <v>2720</v>
      </c>
      <c r="EP71" s="405" t="s">
        <v>2720</v>
      </c>
      <c r="EQ71" s="405" t="s">
        <v>2720</v>
      </c>
      <c r="ER71" s="405" t="s">
        <v>2720</v>
      </c>
      <c r="ES71" s="405" t="s">
        <v>2720</v>
      </c>
      <c r="ET71" s="405" t="s">
        <v>2720</v>
      </c>
      <c r="EU71" s="405" t="s">
        <v>2720</v>
      </c>
      <c r="EV71" s="405" t="s">
        <v>2720</v>
      </c>
      <c r="EW71" s="405" t="s">
        <v>2720</v>
      </c>
      <c r="EX71" s="405" t="s">
        <v>2720</v>
      </c>
      <c r="EY71" s="405" t="s">
        <v>2720</v>
      </c>
      <c r="EZ71" s="405" t="s">
        <v>2720</v>
      </c>
      <c r="FA71" s="405" t="s">
        <v>2720</v>
      </c>
      <c r="FB71" s="405" t="s">
        <v>2720</v>
      </c>
      <c r="FC71" s="405" t="s">
        <v>2720</v>
      </c>
      <c r="FD71" s="405" t="s">
        <v>2720</v>
      </c>
      <c r="FE71" s="405" t="s">
        <v>2720</v>
      </c>
      <c r="FF71" s="405" t="s">
        <v>2720</v>
      </c>
      <c r="FG71" s="405" t="s">
        <v>2720</v>
      </c>
      <c r="FH71" s="405" t="s">
        <v>2720</v>
      </c>
      <c r="FI71" s="405" t="s">
        <v>2720</v>
      </c>
      <c r="FJ71" s="405" t="s">
        <v>2720</v>
      </c>
      <c r="FK71" s="407" t="s">
        <v>2720</v>
      </c>
      <c r="FM71" s="408"/>
    </row>
    <row r="72" spans="1:169" hidden="1">
      <c r="A72" s="150" t="s">
        <v>2720</v>
      </c>
      <c r="B72" s="375" t="s">
        <v>2720</v>
      </c>
      <c r="C72" s="376" t="s">
        <v>2720</v>
      </c>
      <c r="D72" s="377" t="s">
        <v>2720</v>
      </c>
      <c r="E72" s="378"/>
      <c r="F72" s="379" t="s">
        <v>2720</v>
      </c>
      <c r="G72" s="380" t="s">
        <v>2720</v>
      </c>
      <c r="H72" s="381" t="s">
        <v>2720</v>
      </c>
      <c r="I72" s="382" t="s">
        <v>2720</v>
      </c>
      <c r="J72" s="381" t="s">
        <v>2720</v>
      </c>
      <c r="K72" s="382" t="s">
        <v>2720</v>
      </c>
      <c r="L72" s="381" t="s">
        <v>2720</v>
      </c>
      <c r="M72" s="382" t="s">
        <v>2720</v>
      </c>
      <c r="N72" s="381" t="s">
        <v>2720</v>
      </c>
      <c r="O72" s="382" t="s">
        <v>2720</v>
      </c>
      <c r="P72" s="381" t="s">
        <v>2720</v>
      </c>
      <c r="Q72" s="382" t="s">
        <v>2720</v>
      </c>
      <c r="R72" s="381" t="s">
        <v>2720</v>
      </c>
      <c r="S72" s="382" t="s">
        <v>2720</v>
      </c>
      <c r="T72" s="381" t="s">
        <v>2720</v>
      </c>
      <c r="U72" s="382" t="s">
        <v>2720</v>
      </c>
      <c r="V72" s="381" t="s">
        <v>2720</v>
      </c>
      <c r="W72" s="382" t="s">
        <v>2720</v>
      </c>
      <c r="X72" s="383" t="s">
        <v>2720</v>
      </c>
      <c r="Y72" s="384"/>
      <c r="Z72" s="385" t="s">
        <v>2720</v>
      </c>
      <c r="AA72" s="386" t="s">
        <v>2720</v>
      </c>
      <c r="AB72" s="385" t="s">
        <v>2720</v>
      </c>
      <c r="AC72" s="386" t="s">
        <v>2720</v>
      </c>
      <c r="AD72" s="385" t="s">
        <v>2720</v>
      </c>
      <c r="AE72" s="386" t="s">
        <v>2720</v>
      </c>
      <c r="AF72" s="385" t="s">
        <v>2720</v>
      </c>
      <c r="AG72" s="386" t="s">
        <v>2720</v>
      </c>
      <c r="AH72" s="385" t="s">
        <v>2720</v>
      </c>
      <c r="AI72" s="386" t="s">
        <v>2720</v>
      </c>
      <c r="AJ72" s="385" t="s">
        <v>2720</v>
      </c>
      <c r="AK72" s="386" t="s">
        <v>2720</v>
      </c>
      <c r="AL72" s="385" t="s">
        <v>2720</v>
      </c>
      <c r="AM72" s="387" t="s">
        <v>2720</v>
      </c>
      <c r="AN72" s="385" t="s">
        <v>2720</v>
      </c>
      <c r="AO72" s="386" t="s">
        <v>2720</v>
      </c>
      <c r="AP72" s="385" t="s">
        <v>2720</v>
      </c>
      <c r="AQ72" s="387" t="s">
        <v>2720</v>
      </c>
      <c r="AR72" s="385" t="s">
        <v>2720</v>
      </c>
      <c r="AS72" s="387" t="s">
        <v>2720</v>
      </c>
      <c r="AT72" s="385" t="s">
        <v>2720</v>
      </c>
      <c r="AU72" s="387" t="s">
        <v>2720</v>
      </c>
      <c r="AV72" s="385" t="s">
        <v>2720</v>
      </c>
      <c r="AW72" s="387" t="s">
        <v>2720</v>
      </c>
      <c r="AX72" s="385" t="s">
        <v>2720</v>
      </c>
      <c r="AY72" s="384"/>
      <c r="AZ72" s="385" t="s">
        <v>2720</v>
      </c>
      <c r="BA72" s="384"/>
      <c r="BB72" s="388" t="s">
        <v>2720</v>
      </c>
      <c r="BC72" s="389" t="s">
        <v>2720</v>
      </c>
      <c r="BD72" s="390" t="s">
        <v>2720</v>
      </c>
      <c r="BE72" s="391" t="s">
        <v>2720</v>
      </c>
      <c r="BF72" s="390" t="s">
        <v>2720</v>
      </c>
      <c r="BG72" s="392"/>
      <c r="BH72" s="393" t="s">
        <v>2720</v>
      </c>
      <c r="BI72" s="394" t="s">
        <v>2720</v>
      </c>
      <c r="BJ72" s="395" t="s">
        <v>2720</v>
      </c>
      <c r="BK72" s="395" t="s">
        <v>2720</v>
      </c>
      <c r="BL72" s="395" t="s">
        <v>2720</v>
      </c>
      <c r="BM72" s="396" t="s">
        <v>2720</v>
      </c>
      <c r="BN72" s="397" t="s">
        <v>2720</v>
      </c>
      <c r="BO72" s="54" t="s">
        <v>2720</v>
      </c>
      <c r="BP72" s="397" t="s">
        <v>2720</v>
      </c>
      <c r="BQ72" s="54" t="s">
        <v>2720</v>
      </c>
      <c r="BR72" s="398" t="s">
        <v>2720</v>
      </c>
      <c r="BS72" s="399"/>
      <c r="BT72" s="400" t="s">
        <v>2720</v>
      </c>
      <c r="BU72" s="401" t="s">
        <v>2720</v>
      </c>
      <c r="BV72" s="401" t="s">
        <v>2720</v>
      </c>
      <c r="BW72" s="401" t="s">
        <v>2720</v>
      </c>
      <c r="BX72" s="402" t="s">
        <v>2720</v>
      </c>
      <c r="BY72" s="402" t="s">
        <v>2720</v>
      </c>
      <c r="BZ72" s="401" t="s">
        <v>2720</v>
      </c>
      <c r="CA72" s="401" t="s">
        <v>2720</v>
      </c>
      <c r="CB72" s="401" t="s">
        <v>2720</v>
      </c>
      <c r="CC72" s="401" t="s">
        <v>2720</v>
      </c>
      <c r="CD72" s="401" t="s">
        <v>2720</v>
      </c>
      <c r="CE72" s="401" t="s">
        <v>2720</v>
      </c>
      <c r="CF72" s="401" t="s">
        <v>2720</v>
      </c>
      <c r="CG72" s="401" t="s">
        <v>2720</v>
      </c>
      <c r="CH72" s="401" t="s">
        <v>2720</v>
      </c>
      <c r="CI72" s="401" t="s">
        <v>2720</v>
      </c>
      <c r="CJ72" s="401" t="s">
        <v>2720</v>
      </c>
      <c r="CK72" s="401" t="s">
        <v>2720</v>
      </c>
      <c r="CL72" s="401" t="s">
        <v>2720</v>
      </c>
      <c r="CM72" s="402" t="s">
        <v>2720</v>
      </c>
      <c r="CN72" s="401" t="s">
        <v>2720</v>
      </c>
      <c r="CO72" s="401" t="s">
        <v>2720</v>
      </c>
      <c r="CP72" s="401" t="s">
        <v>2720</v>
      </c>
      <c r="CQ72" s="290" t="s">
        <v>2720</v>
      </c>
      <c r="CR72" s="401" t="s">
        <v>2720</v>
      </c>
      <c r="CS72" s="401" t="s">
        <v>2720</v>
      </c>
      <c r="CT72" s="401" t="s">
        <v>2720</v>
      </c>
      <c r="CU72" s="401" t="s">
        <v>2720</v>
      </c>
      <c r="CV72" s="401" t="s">
        <v>2720</v>
      </c>
      <c r="CW72" s="401" t="s">
        <v>2720</v>
      </c>
      <c r="CX72" s="401" t="s">
        <v>2720</v>
      </c>
      <c r="CY72" s="401" t="s">
        <v>2720</v>
      </c>
      <c r="CZ72" s="401" t="s">
        <v>2720</v>
      </c>
      <c r="DA72" s="401" t="s">
        <v>2720</v>
      </c>
      <c r="DB72" s="401" t="s">
        <v>2720</v>
      </c>
      <c r="DC72" s="401" t="s">
        <v>2720</v>
      </c>
      <c r="DD72" s="401" t="s">
        <v>2720</v>
      </c>
      <c r="DE72" s="401" t="s">
        <v>2720</v>
      </c>
      <c r="DF72" s="401" t="s">
        <v>2720</v>
      </c>
      <c r="DG72" s="401" t="s">
        <v>2720</v>
      </c>
      <c r="DH72" s="401" t="s">
        <v>2720</v>
      </c>
      <c r="DI72" s="401" t="s">
        <v>2720</v>
      </c>
      <c r="DJ72" s="401" t="s">
        <v>2720</v>
      </c>
      <c r="DK72" s="401" t="s">
        <v>2720</v>
      </c>
      <c r="DL72" s="401" t="s">
        <v>2720</v>
      </c>
      <c r="DM72" s="401" t="s">
        <v>2720</v>
      </c>
      <c r="DN72" s="401" t="s">
        <v>2720</v>
      </c>
      <c r="DO72" s="403" t="s">
        <v>2720</v>
      </c>
      <c r="DP72" s="404" t="s">
        <v>2720</v>
      </c>
      <c r="DQ72" s="405" t="s">
        <v>2720</v>
      </c>
      <c r="DR72" s="405" t="s">
        <v>2720</v>
      </c>
      <c r="DS72" s="405" t="s">
        <v>2720</v>
      </c>
      <c r="DT72" s="405" t="s">
        <v>2720</v>
      </c>
      <c r="DU72" s="405" t="s">
        <v>2720</v>
      </c>
      <c r="DV72" s="405" t="s">
        <v>2720</v>
      </c>
      <c r="DW72" s="405" t="s">
        <v>2720</v>
      </c>
      <c r="DX72" s="405" t="s">
        <v>2720</v>
      </c>
      <c r="DY72" s="405" t="s">
        <v>2720</v>
      </c>
      <c r="DZ72" s="405" t="s">
        <v>2720</v>
      </c>
      <c r="EA72" s="405" t="s">
        <v>2720</v>
      </c>
      <c r="EB72" s="405" t="s">
        <v>2720</v>
      </c>
      <c r="EC72" s="405" t="s">
        <v>2720</v>
      </c>
      <c r="ED72" s="405" t="s">
        <v>2720</v>
      </c>
      <c r="EE72" s="405" t="s">
        <v>2720</v>
      </c>
      <c r="EF72" s="405" t="s">
        <v>2720</v>
      </c>
      <c r="EG72" s="405" t="s">
        <v>2720</v>
      </c>
      <c r="EH72" s="405" t="s">
        <v>2720</v>
      </c>
      <c r="EI72" s="405" t="s">
        <v>2720</v>
      </c>
      <c r="EJ72" s="405" t="s">
        <v>2720</v>
      </c>
      <c r="EK72" s="405" t="s">
        <v>2720</v>
      </c>
      <c r="EL72" s="405" t="s">
        <v>2720</v>
      </c>
      <c r="EM72" s="406" t="s">
        <v>2720</v>
      </c>
      <c r="EN72" s="405" t="s">
        <v>2720</v>
      </c>
      <c r="EO72" s="405" t="s">
        <v>2720</v>
      </c>
      <c r="EP72" s="405" t="s">
        <v>2720</v>
      </c>
      <c r="EQ72" s="405" t="s">
        <v>2720</v>
      </c>
      <c r="ER72" s="405" t="s">
        <v>2720</v>
      </c>
      <c r="ES72" s="405" t="s">
        <v>2720</v>
      </c>
      <c r="ET72" s="405" t="s">
        <v>2720</v>
      </c>
      <c r="EU72" s="405" t="s">
        <v>2720</v>
      </c>
      <c r="EV72" s="405" t="s">
        <v>2720</v>
      </c>
      <c r="EW72" s="405" t="s">
        <v>2720</v>
      </c>
      <c r="EX72" s="405" t="s">
        <v>2720</v>
      </c>
      <c r="EY72" s="405" t="s">
        <v>2720</v>
      </c>
      <c r="EZ72" s="405" t="s">
        <v>2720</v>
      </c>
      <c r="FA72" s="405" t="s">
        <v>2720</v>
      </c>
      <c r="FB72" s="405" t="s">
        <v>2720</v>
      </c>
      <c r="FC72" s="405" t="s">
        <v>2720</v>
      </c>
      <c r="FD72" s="405" t="s">
        <v>2720</v>
      </c>
      <c r="FE72" s="405" t="s">
        <v>2720</v>
      </c>
      <c r="FF72" s="405" t="s">
        <v>2720</v>
      </c>
      <c r="FG72" s="405" t="s">
        <v>2720</v>
      </c>
      <c r="FH72" s="405" t="s">
        <v>2720</v>
      </c>
      <c r="FI72" s="405" t="s">
        <v>2720</v>
      </c>
      <c r="FJ72" s="405" t="s">
        <v>2720</v>
      </c>
      <c r="FK72" s="407" t="s">
        <v>2720</v>
      </c>
      <c r="FM72" s="408"/>
    </row>
    <row r="73" spans="1:169" hidden="1">
      <c r="A73" s="150" t="s">
        <v>2720</v>
      </c>
      <c r="B73" s="375" t="s">
        <v>2720</v>
      </c>
      <c r="C73" s="376" t="s">
        <v>2720</v>
      </c>
      <c r="D73" s="377" t="s">
        <v>2720</v>
      </c>
      <c r="E73" s="378"/>
      <c r="F73" s="379" t="s">
        <v>2720</v>
      </c>
      <c r="G73" s="380" t="s">
        <v>2720</v>
      </c>
      <c r="H73" s="381" t="s">
        <v>2720</v>
      </c>
      <c r="I73" s="382" t="s">
        <v>2720</v>
      </c>
      <c r="J73" s="381" t="s">
        <v>2720</v>
      </c>
      <c r="K73" s="382" t="s">
        <v>2720</v>
      </c>
      <c r="L73" s="381" t="s">
        <v>2720</v>
      </c>
      <c r="M73" s="382" t="s">
        <v>2720</v>
      </c>
      <c r="N73" s="381" t="s">
        <v>2720</v>
      </c>
      <c r="O73" s="382" t="s">
        <v>2720</v>
      </c>
      <c r="P73" s="381" t="s">
        <v>2720</v>
      </c>
      <c r="Q73" s="382" t="s">
        <v>2720</v>
      </c>
      <c r="R73" s="381" t="s">
        <v>2720</v>
      </c>
      <c r="S73" s="382" t="s">
        <v>2720</v>
      </c>
      <c r="T73" s="381" t="s">
        <v>2720</v>
      </c>
      <c r="U73" s="382" t="s">
        <v>2720</v>
      </c>
      <c r="V73" s="381" t="s">
        <v>2720</v>
      </c>
      <c r="W73" s="382" t="s">
        <v>2720</v>
      </c>
      <c r="X73" s="383" t="s">
        <v>2720</v>
      </c>
      <c r="Y73" s="384"/>
      <c r="Z73" s="385" t="s">
        <v>2720</v>
      </c>
      <c r="AA73" s="386" t="s">
        <v>2720</v>
      </c>
      <c r="AB73" s="385" t="s">
        <v>2720</v>
      </c>
      <c r="AC73" s="386" t="s">
        <v>2720</v>
      </c>
      <c r="AD73" s="385" t="s">
        <v>2720</v>
      </c>
      <c r="AE73" s="386" t="s">
        <v>2720</v>
      </c>
      <c r="AF73" s="385" t="s">
        <v>2720</v>
      </c>
      <c r="AG73" s="386" t="s">
        <v>2720</v>
      </c>
      <c r="AH73" s="385" t="s">
        <v>2720</v>
      </c>
      <c r="AI73" s="386" t="s">
        <v>2720</v>
      </c>
      <c r="AJ73" s="385" t="s">
        <v>2720</v>
      </c>
      <c r="AK73" s="386" t="s">
        <v>2720</v>
      </c>
      <c r="AL73" s="385" t="s">
        <v>2720</v>
      </c>
      <c r="AM73" s="387" t="s">
        <v>2720</v>
      </c>
      <c r="AN73" s="385" t="s">
        <v>2720</v>
      </c>
      <c r="AO73" s="386" t="s">
        <v>2720</v>
      </c>
      <c r="AP73" s="385" t="s">
        <v>2720</v>
      </c>
      <c r="AQ73" s="387" t="s">
        <v>2720</v>
      </c>
      <c r="AR73" s="385" t="s">
        <v>2720</v>
      </c>
      <c r="AS73" s="387" t="s">
        <v>2720</v>
      </c>
      <c r="AT73" s="385" t="s">
        <v>2720</v>
      </c>
      <c r="AU73" s="387" t="s">
        <v>2720</v>
      </c>
      <c r="AV73" s="385" t="s">
        <v>2720</v>
      </c>
      <c r="AW73" s="387" t="s">
        <v>2720</v>
      </c>
      <c r="AX73" s="385" t="s">
        <v>2720</v>
      </c>
      <c r="AY73" s="384"/>
      <c r="AZ73" s="385" t="s">
        <v>2720</v>
      </c>
      <c r="BA73" s="384"/>
      <c r="BB73" s="388" t="s">
        <v>2720</v>
      </c>
      <c r="BC73" s="389" t="s">
        <v>2720</v>
      </c>
      <c r="BD73" s="390" t="s">
        <v>2720</v>
      </c>
      <c r="BE73" s="391" t="s">
        <v>2720</v>
      </c>
      <c r="BF73" s="390" t="s">
        <v>2720</v>
      </c>
      <c r="BG73" s="392"/>
      <c r="BH73" s="393" t="s">
        <v>2720</v>
      </c>
      <c r="BI73" s="394" t="s">
        <v>2720</v>
      </c>
      <c r="BJ73" s="395" t="s">
        <v>2720</v>
      </c>
      <c r="BK73" s="395" t="s">
        <v>2720</v>
      </c>
      <c r="BL73" s="395" t="s">
        <v>2720</v>
      </c>
      <c r="BM73" s="396" t="s">
        <v>2720</v>
      </c>
      <c r="BN73" s="397" t="s">
        <v>2720</v>
      </c>
      <c r="BO73" s="54" t="s">
        <v>2720</v>
      </c>
      <c r="BP73" s="397" t="s">
        <v>2720</v>
      </c>
      <c r="BQ73" s="54" t="s">
        <v>2720</v>
      </c>
      <c r="BR73" s="398" t="s">
        <v>2720</v>
      </c>
      <c r="BS73" s="399"/>
      <c r="BT73" s="400" t="s">
        <v>2720</v>
      </c>
      <c r="BU73" s="401" t="s">
        <v>2720</v>
      </c>
      <c r="BV73" s="401" t="s">
        <v>2720</v>
      </c>
      <c r="BW73" s="401" t="s">
        <v>2720</v>
      </c>
      <c r="BX73" s="402" t="s">
        <v>2720</v>
      </c>
      <c r="BY73" s="402" t="s">
        <v>2720</v>
      </c>
      <c r="BZ73" s="401" t="s">
        <v>2720</v>
      </c>
      <c r="CA73" s="401" t="s">
        <v>2720</v>
      </c>
      <c r="CB73" s="401" t="s">
        <v>2720</v>
      </c>
      <c r="CC73" s="401" t="s">
        <v>2720</v>
      </c>
      <c r="CD73" s="401" t="s">
        <v>2720</v>
      </c>
      <c r="CE73" s="401" t="s">
        <v>2720</v>
      </c>
      <c r="CF73" s="401" t="s">
        <v>2720</v>
      </c>
      <c r="CG73" s="401" t="s">
        <v>2720</v>
      </c>
      <c r="CH73" s="401" t="s">
        <v>2720</v>
      </c>
      <c r="CI73" s="401" t="s">
        <v>2720</v>
      </c>
      <c r="CJ73" s="401" t="s">
        <v>2720</v>
      </c>
      <c r="CK73" s="401" t="s">
        <v>2720</v>
      </c>
      <c r="CL73" s="401" t="s">
        <v>2720</v>
      </c>
      <c r="CM73" s="402" t="s">
        <v>2720</v>
      </c>
      <c r="CN73" s="401" t="s">
        <v>2720</v>
      </c>
      <c r="CO73" s="401" t="s">
        <v>2720</v>
      </c>
      <c r="CP73" s="401" t="s">
        <v>2720</v>
      </c>
      <c r="CQ73" s="290" t="s">
        <v>2720</v>
      </c>
      <c r="CR73" s="401" t="s">
        <v>2720</v>
      </c>
      <c r="CS73" s="401" t="s">
        <v>2720</v>
      </c>
      <c r="CT73" s="401" t="s">
        <v>2720</v>
      </c>
      <c r="CU73" s="401" t="s">
        <v>2720</v>
      </c>
      <c r="CV73" s="401" t="s">
        <v>2720</v>
      </c>
      <c r="CW73" s="401" t="s">
        <v>2720</v>
      </c>
      <c r="CX73" s="401" t="s">
        <v>2720</v>
      </c>
      <c r="CY73" s="401" t="s">
        <v>2720</v>
      </c>
      <c r="CZ73" s="401" t="s">
        <v>2720</v>
      </c>
      <c r="DA73" s="401" t="s">
        <v>2720</v>
      </c>
      <c r="DB73" s="401" t="s">
        <v>2720</v>
      </c>
      <c r="DC73" s="401" t="s">
        <v>2720</v>
      </c>
      <c r="DD73" s="401" t="s">
        <v>2720</v>
      </c>
      <c r="DE73" s="401" t="s">
        <v>2720</v>
      </c>
      <c r="DF73" s="401" t="s">
        <v>2720</v>
      </c>
      <c r="DG73" s="401" t="s">
        <v>2720</v>
      </c>
      <c r="DH73" s="401" t="s">
        <v>2720</v>
      </c>
      <c r="DI73" s="401" t="s">
        <v>2720</v>
      </c>
      <c r="DJ73" s="401" t="s">
        <v>2720</v>
      </c>
      <c r="DK73" s="401" t="s">
        <v>2720</v>
      </c>
      <c r="DL73" s="401" t="s">
        <v>2720</v>
      </c>
      <c r="DM73" s="401" t="s">
        <v>2720</v>
      </c>
      <c r="DN73" s="401" t="s">
        <v>2720</v>
      </c>
      <c r="DO73" s="403" t="s">
        <v>2720</v>
      </c>
      <c r="DP73" s="404" t="s">
        <v>2720</v>
      </c>
      <c r="DQ73" s="405" t="s">
        <v>2720</v>
      </c>
      <c r="DR73" s="405" t="s">
        <v>2720</v>
      </c>
      <c r="DS73" s="405" t="s">
        <v>2720</v>
      </c>
      <c r="DT73" s="405" t="s">
        <v>2720</v>
      </c>
      <c r="DU73" s="405" t="s">
        <v>2720</v>
      </c>
      <c r="DV73" s="405" t="s">
        <v>2720</v>
      </c>
      <c r="DW73" s="405" t="s">
        <v>2720</v>
      </c>
      <c r="DX73" s="405" t="s">
        <v>2720</v>
      </c>
      <c r="DY73" s="405" t="s">
        <v>2720</v>
      </c>
      <c r="DZ73" s="405" t="s">
        <v>2720</v>
      </c>
      <c r="EA73" s="405" t="s">
        <v>2720</v>
      </c>
      <c r="EB73" s="405" t="s">
        <v>2720</v>
      </c>
      <c r="EC73" s="405" t="s">
        <v>2720</v>
      </c>
      <c r="ED73" s="405" t="s">
        <v>2720</v>
      </c>
      <c r="EE73" s="405" t="s">
        <v>2720</v>
      </c>
      <c r="EF73" s="405" t="s">
        <v>2720</v>
      </c>
      <c r="EG73" s="405" t="s">
        <v>2720</v>
      </c>
      <c r="EH73" s="405" t="s">
        <v>2720</v>
      </c>
      <c r="EI73" s="405" t="s">
        <v>2720</v>
      </c>
      <c r="EJ73" s="405" t="s">
        <v>2720</v>
      </c>
      <c r="EK73" s="405" t="s">
        <v>2720</v>
      </c>
      <c r="EL73" s="405" t="s">
        <v>2720</v>
      </c>
      <c r="EM73" s="406" t="s">
        <v>2720</v>
      </c>
      <c r="EN73" s="405" t="s">
        <v>2720</v>
      </c>
      <c r="EO73" s="405" t="s">
        <v>2720</v>
      </c>
      <c r="EP73" s="405" t="s">
        <v>2720</v>
      </c>
      <c r="EQ73" s="405" t="s">
        <v>2720</v>
      </c>
      <c r="ER73" s="405" t="s">
        <v>2720</v>
      </c>
      <c r="ES73" s="405" t="s">
        <v>2720</v>
      </c>
      <c r="ET73" s="405" t="s">
        <v>2720</v>
      </c>
      <c r="EU73" s="405" t="s">
        <v>2720</v>
      </c>
      <c r="EV73" s="405" t="s">
        <v>2720</v>
      </c>
      <c r="EW73" s="405" t="s">
        <v>2720</v>
      </c>
      <c r="EX73" s="405" t="s">
        <v>2720</v>
      </c>
      <c r="EY73" s="405" t="s">
        <v>2720</v>
      </c>
      <c r="EZ73" s="405" t="s">
        <v>2720</v>
      </c>
      <c r="FA73" s="405" t="s">
        <v>2720</v>
      </c>
      <c r="FB73" s="405" t="s">
        <v>2720</v>
      </c>
      <c r="FC73" s="405" t="s">
        <v>2720</v>
      </c>
      <c r="FD73" s="405" t="s">
        <v>2720</v>
      </c>
      <c r="FE73" s="405" t="s">
        <v>2720</v>
      </c>
      <c r="FF73" s="405" t="s">
        <v>2720</v>
      </c>
      <c r="FG73" s="405" t="s">
        <v>2720</v>
      </c>
      <c r="FH73" s="405" t="s">
        <v>2720</v>
      </c>
      <c r="FI73" s="405" t="s">
        <v>2720</v>
      </c>
      <c r="FJ73" s="405" t="s">
        <v>2720</v>
      </c>
      <c r="FK73" s="407" t="s">
        <v>2720</v>
      </c>
      <c r="FM73" s="408"/>
    </row>
    <row r="74" spans="1:169" hidden="1">
      <c r="A74" s="150" t="s">
        <v>2720</v>
      </c>
      <c r="B74" s="375" t="s">
        <v>2720</v>
      </c>
      <c r="C74" s="376" t="s">
        <v>2720</v>
      </c>
      <c r="D74" s="377" t="s">
        <v>2720</v>
      </c>
      <c r="E74" s="378"/>
      <c r="F74" s="379" t="s">
        <v>2720</v>
      </c>
      <c r="G74" s="380" t="s">
        <v>2720</v>
      </c>
      <c r="H74" s="381" t="s">
        <v>2720</v>
      </c>
      <c r="I74" s="382" t="s">
        <v>2720</v>
      </c>
      <c r="J74" s="381" t="s">
        <v>2720</v>
      </c>
      <c r="K74" s="382" t="s">
        <v>2720</v>
      </c>
      <c r="L74" s="381" t="s">
        <v>2720</v>
      </c>
      <c r="M74" s="382" t="s">
        <v>2720</v>
      </c>
      <c r="N74" s="381" t="s">
        <v>2720</v>
      </c>
      <c r="O74" s="382" t="s">
        <v>2720</v>
      </c>
      <c r="P74" s="381" t="s">
        <v>2720</v>
      </c>
      <c r="Q74" s="382" t="s">
        <v>2720</v>
      </c>
      <c r="R74" s="381" t="s">
        <v>2720</v>
      </c>
      <c r="S74" s="382" t="s">
        <v>2720</v>
      </c>
      <c r="T74" s="381" t="s">
        <v>2720</v>
      </c>
      <c r="U74" s="382" t="s">
        <v>2720</v>
      </c>
      <c r="V74" s="381" t="s">
        <v>2720</v>
      </c>
      <c r="W74" s="382" t="s">
        <v>2720</v>
      </c>
      <c r="X74" s="383" t="s">
        <v>2720</v>
      </c>
      <c r="Y74" s="384"/>
      <c r="Z74" s="385" t="s">
        <v>2720</v>
      </c>
      <c r="AA74" s="386" t="s">
        <v>2720</v>
      </c>
      <c r="AB74" s="385" t="s">
        <v>2720</v>
      </c>
      <c r="AC74" s="386" t="s">
        <v>2720</v>
      </c>
      <c r="AD74" s="385" t="s">
        <v>2720</v>
      </c>
      <c r="AE74" s="386" t="s">
        <v>2720</v>
      </c>
      <c r="AF74" s="385" t="s">
        <v>2720</v>
      </c>
      <c r="AG74" s="386" t="s">
        <v>2720</v>
      </c>
      <c r="AH74" s="385" t="s">
        <v>2720</v>
      </c>
      <c r="AI74" s="386" t="s">
        <v>2720</v>
      </c>
      <c r="AJ74" s="385" t="s">
        <v>2720</v>
      </c>
      <c r="AK74" s="386" t="s">
        <v>2720</v>
      </c>
      <c r="AL74" s="385" t="s">
        <v>2720</v>
      </c>
      <c r="AM74" s="387" t="s">
        <v>2720</v>
      </c>
      <c r="AN74" s="385" t="s">
        <v>2720</v>
      </c>
      <c r="AO74" s="386" t="s">
        <v>2720</v>
      </c>
      <c r="AP74" s="385" t="s">
        <v>2720</v>
      </c>
      <c r="AQ74" s="387" t="s">
        <v>2720</v>
      </c>
      <c r="AR74" s="385" t="s">
        <v>2720</v>
      </c>
      <c r="AS74" s="387" t="s">
        <v>2720</v>
      </c>
      <c r="AT74" s="385" t="s">
        <v>2720</v>
      </c>
      <c r="AU74" s="387" t="s">
        <v>2720</v>
      </c>
      <c r="AV74" s="385" t="s">
        <v>2720</v>
      </c>
      <c r="AW74" s="387" t="s">
        <v>2720</v>
      </c>
      <c r="AX74" s="385" t="s">
        <v>2720</v>
      </c>
      <c r="AY74" s="384"/>
      <c r="AZ74" s="385" t="s">
        <v>2720</v>
      </c>
      <c r="BA74" s="384"/>
      <c r="BB74" s="388" t="s">
        <v>2720</v>
      </c>
      <c r="BC74" s="389" t="s">
        <v>2720</v>
      </c>
      <c r="BD74" s="390" t="s">
        <v>2720</v>
      </c>
      <c r="BE74" s="391" t="s">
        <v>2720</v>
      </c>
      <c r="BF74" s="390" t="s">
        <v>2720</v>
      </c>
      <c r="BG74" s="392"/>
      <c r="BH74" s="393" t="s">
        <v>2720</v>
      </c>
      <c r="BI74" s="394" t="s">
        <v>2720</v>
      </c>
      <c r="BJ74" s="395" t="s">
        <v>2720</v>
      </c>
      <c r="BK74" s="395" t="s">
        <v>2720</v>
      </c>
      <c r="BL74" s="395" t="s">
        <v>2720</v>
      </c>
      <c r="BM74" s="396" t="s">
        <v>2720</v>
      </c>
      <c r="BN74" s="397" t="s">
        <v>2720</v>
      </c>
      <c r="BO74" s="54" t="s">
        <v>2720</v>
      </c>
      <c r="BP74" s="397" t="s">
        <v>2720</v>
      </c>
      <c r="BQ74" s="54" t="s">
        <v>2720</v>
      </c>
      <c r="BR74" s="398" t="s">
        <v>2720</v>
      </c>
      <c r="BS74" s="399"/>
      <c r="BT74" s="400" t="s">
        <v>2720</v>
      </c>
      <c r="BU74" s="401" t="s">
        <v>2720</v>
      </c>
      <c r="BV74" s="401" t="s">
        <v>2720</v>
      </c>
      <c r="BW74" s="401" t="s">
        <v>2720</v>
      </c>
      <c r="BX74" s="402" t="s">
        <v>2720</v>
      </c>
      <c r="BY74" s="402" t="s">
        <v>2720</v>
      </c>
      <c r="BZ74" s="401" t="s">
        <v>2720</v>
      </c>
      <c r="CA74" s="401" t="s">
        <v>2720</v>
      </c>
      <c r="CB74" s="401" t="s">
        <v>2720</v>
      </c>
      <c r="CC74" s="401" t="s">
        <v>2720</v>
      </c>
      <c r="CD74" s="401" t="s">
        <v>2720</v>
      </c>
      <c r="CE74" s="401" t="s">
        <v>2720</v>
      </c>
      <c r="CF74" s="401" t="s">
        <v>2720</v>
      </c>
      <c r="CG74" s="401" t="s">
        <v>2720</v>
      </c>
      <c r="CH74" s="401" t="s">
        <v>2720</v>
      </c>
      <c r="CI74" s="401" t="s">
        <v>2720</v>
      </c>
      <c r="CJ74" s="401" t="s">
        <v>2720</v>
      </c>
      <c r="CK74" s="401" t="s">
        <v>2720</v>
      </c>
      <c r="CL74" s="401" t="s">
        <v>2720</v>
      </c>
      <c r="CM74" s="402" t="s">
        <v>2720</v>
      </c>
      <c r="CN74" s="401" t="s">
        <v>2720</v>
      </c>
      <c r="CO74" s="401" t="s">
        <v>2720</v>
      </c>
      <c r="CP74" s="401" t="s">
        <v>2720</v>
      </c>
      <c r="CQ74" s="290" t="s">
        <v>2720</v>
      </c>
      <c r="CR74" s="401" t="s">
        <v>2720</v>
      </c>
      <c r="CS74" s="401" t="s">
        <v>2720</v>
      </c>
      <c r="CT74" s="401" t="s">
        <v>2720</v>
      </c>
      <c r="CU74" s="401" t="s">
        <v>2720</v>
      </c>
      <c r="CV74" s="401" t="s">
        <v>2720</v>
      </c>
      <c r="CW74" s="401" t="s">
        <v>2720</v>
      </c>
      <c r="CX74" s="401" t="s">
        <v>2720</v>
      </c>
      <c r="CY74" s="401" t="s">
        <v>2720</v>
      </c>
      <c r="CZ74" s="401" t="s">
        <v>2720</v>
      </c>
      <c r="DA74" s="401" t="s">
        <v>2720</v>
      </c>
      <c r="DB74" s="401" t="s">
        <v>2720</v>
      </c>
      <c r="DC74" s="401" t="s">
        <v>2720</v>
      </c>
      <c r="DD74" s="401" t="s">
        <v>2720</v>
      </c>
      <c r="DE74" s="401" t="s">
        <v>2720</v>
      </c>
      <c r="DF74" s="401" t="s">
        <v>2720</v>
      </c>
      <c r="DG74" s="401" t="s">
        <v>2720</v>
      </c>
      <c r="DH74" s="401" t="s">
        <v>2720</v>
      </c>
      <c r="DI74" s="401" t="s">
        <v>2720</v>
      </c>
      <c r="DJ74" s="401" t="s">
        <v>2720</v>
      </c>
      <c r="DK74" s="401" t="s">
        <v>2720</v>
      </c>
      <c r="DL74" s="401" t="s">
        <v>2720</v>
      </c>
      <c r="DM74" s="401" t="s">
        <v>2720</v>
      </c>
      <c r="DN74" s="401" t="s">
        <v>2720</v>
      </c>
      <c r="DO74" s="403" t="s">
        <v>2720</v>
      </c>
      <c r="DP74" s="404" t="s">
        <v>2720</v>
      </c>
      <c r="DQ74" s="405" t="s">
        <v>2720</v>
      </c>
      <c r="DR74" s="405" t="s">
        <v>2720</v>
      </c>
      <c r="DS74" s="405" t="s">
        <v>2720</v>
      </c>
      <c r="DT74" s="405" t="s">
        <v>2720</v>
      </c>
      <c r="DU74" s="405" t="s">
        <v>2720</v>
      </c>
      <c r="DV74" s="405" t="s">
        <v>2720</v>
      </c>
      <c r="DW74" s="405" t="s">
        <v>2720</v>
      </c>
      <c r="DX74" s="405" t="s">
        <v>2720</v>
      </c>
      <c r="DY74" s="405" t="s">
        <v>2720</v>
      </c>
      <c r="DZ74" s="405" t="s">
        <v>2720</v>
      </c>
      <c r="EA74" s="405" t="s">
        <v>2720</v>
      </c>
      <c r="EB74" s="405" t="s">
        <v>2720</v>
      </c>
      <c r="EC74" s="405" t="s">
        <v>2720</v>
      </c>
      <c r="ED74" s="405" t="s">
        <v>2720</v>
      </c>
      <c r="EE74" s="405" t="s">
        <v>2720</v>
      </c>
      <c r="EF74" s="405" t="s">
        <v>2720</v>
      </c>
      <c r="EG74" s="405" t="s">
        <v>2720</v>
      </c>
      <c r="EH74" s="405" t="s">
        <v>2720</v>
      </c>
      <c r="EI74" s="405" t="s">
        <v>2720</v>
      </c>
      <c r="EJ74" s="405" t="s">
        <v>2720</v>
      </c>
      <c r="EK74" s="405" t="s">
        <v>2720</v>
      </c>
      <c r="EL74" s="405" t="s">
        <v>2720</v>
      </c>
      <c r="EM74" s="406" t="s">
        <v>2720</v>
      </c>
      <c r="EN74" s="405" t="s">
        <v>2720</v>
      </c>
      <c r="EO74" s="405" t="s">
        <v>2720</v>
      </c>
      <c r="EP74" s="405" t="s">
        <v>2720</v>
      </c>
      <c r="EQ74" s="405" t="s">
        <v>2720</v>
      </c>
      <c r="ER74" s="405" t="s">
        <v>2720</v>
      </c>
      <c r="ES74" s="405" t="s">
        <v>2720</v>
      </c>
      <c r="ET74" s="405" t="s">
        <v>2720</v>
      </c>
      <c r="EU74" s="405" t="s">
        <v>2720</v>
      </c>
      <c r="EV74" s="405" t="s">
        <v>2720</v>
      </c>
      <c r="EW74" s="405" t="s">
        <v>2720</v>
      </c>
      <c r="EX74" s="405" t="s">
        <v>2720</v>
      </c>
      <c r="EY74" s="405" t="s">
        <v>2720</v>
      </c>
      <c r="EZ74" s="405" t="s">
        <v>2720</v>
      </c>
      <c r="FA74" s="405" t="s">
        <v>2720</v>
      </c>
      <c r="FB74" s="405" t="s">
        <v>2720</v>
      </c>
      <c r="FC74" s="405" t="s">
        <v>2720</v>
      </c>
      <c r="FD74" s="405" t="s">
        <v>2720</v>
      </c>
      <c r="FE74" s="405" t="s">
        <v>2720</v>
      </c>
      <c r="FF74" s="405" t="s">
        <v>2720</v>
      </c>
      <c r="FG74" s="405" t="s">
        <v>2720</v>
      </c>
      <c r="FH74" s="405" t="s">
        <v>2720</v>
      </c>
      <c r="FI74" s="405" t="s">
        <v>2720</v>
      </c>
      <c r="FJ74" s="405" t="s">
        <v>2720</v>
      </c>
      <c r="FK74" s="407" t="s">
        <v>2720</v>
      </c>
      <c r="FM74" s="408"/>
    </row>
    <row r="75" spans="1:169" hidden="1">
      <c r="A75" s="150" t="s">
        <v>2720</v>
      </c>
      <c r="B75" s="375" t="s">
        <v>2720</v>
      </c>
      <c r="C75" s="376" t="s">
        <v>2720</v>
      </c>
      <c r="D75" s="377" t="s">
        <v>2720</v>
      </c>
      <c r="E75" s="378"/>
      <c r="F75" s="379" t="s">
        <v>2720</v>
      </c>
      <c r="G75" s="380" t="s">
        <v>2720</v>
      </c>
      <c r="H75" s="381" t="s">
        <v>2720</v>
      </c>
      <c r="I75" s="382" t="s">
        <v>2720</v>
      </c>
      <c r="J75" s="381" t="s">
        <v>2720</v>
      </c>
      <c r="K75" s="382" t="s">
        <v>2720</v>
      </c>
      <c r="L75" s="381" t="s">
        <v>2720</v>
      </c>
      <c r="M75" s="382" t="s">
        <v>2720</v>
      </c>
      <c r="N75" s="381" t="s">
        <v>2720</v>
      </c>
      <c r="O75" s="382" t="s">
        <v>2720</v>
      </c>
      <c r="P75" s="381" t="s">
        <v>2720</v>
      </c>
      <c r="Q75" s="382" t="s">
        <v>2720</v>
      </c>
      <c r="R75" s="381" t="s">
        <v>2720</v>
      </c>
      <c r="S75" s="382" t="s">
        <v>2720</v>
      </c>
      <c r="T75" s="381" t="s">
        <v>2720</v>
      </c>
      <c r="U75" s="382" t="s">
        <v>2720</v>
      </c>
      <c r="V75" s="381" t="s">
        <v>2720</v>
      </c>
      <c r="W75" s="382" t="s">
        <v>2720</v>
      </c>
      <c r="X75" s="383" t="s">
        <v>2720</v>
      </c>
      <c r="Y75" s="384"/>
      <c r="Z75" s="385" t="s">
        <v>2720</v>
      </c>
      <c r="AA75" s="386" t="s">
        <v>2720</v>
      </c>
      <c r="AB75" s="385" t="s">
        <v>2720</v>
      </c>
      <c r="AC75" s="386" t="s">
        <v>2720</v>
      </c>
      <c r="AD75" s="385" t="s">
        <v>2720</v>
      </c>
      <c r="AE75" s="386" t="s">
        <v>2720</v>
      </c>
      <c r="AF75" s="385" t="s">
        <v>2720</v>
      </c>
      <c r="AG75" s="386" t="s">
        <v>2720</v>
      </c>
      <c r="AH75" s="385" t="s">
        <v>2720</v>
      </c>
      <c r="AI75" s="386" t="s">
        <v>2720</v>
      </c>
      <c r="AJ75" s="385" t="s">
        <v>2720</v>
      </c>
      <c r="AK75" s="386" t="s">
        <v>2720</v>
      </c>
      <c r="AL75" s="385" t="s">
        <v>2720</v>
      </c>
      <c r="AM75" s="387" t="s">
        <v>2720</v>
      </c>
      <c r="AN75" s="385" t="s">
        <v>2720</v>
      </c>
      <c r="AO75" s="386" t="s">
        <v>2720</v>
      </c>
      <c r="AP75" s="385" t="s">
        <v>2720</v>
      </c>
      <c r="AQ75" s="387" t="s">
        <v>2720</v>
      </c>
      <c r="AR75" s="385" t="s">
        <v>2720</v>
      </c>
      <c r="AS75" s="387" t="s">
        <v>2720</v>
      </c>
      <c r="AT75" s="385" t="s">
        <v>2720</v>
      </c>
      <c r="AU75" s="387" t="s">
        <v>2720</v>
      </c>
      <c r="AV75" s="385" t="s">
        <v>2720</v>
      </c>
      <c r="AW75" s="387" t="s">
        <v>2720</v>
      </c>
      <c r="AX75" s="385" t="s">
        <v>2720</v>
      </c>
      <c r="AY75" s="384"/>
      <c r="AZ75" s="385" t="s">
        <v>2720</v>
      </c>
      <c r="BA75" s="384"/>
      <c r="BB75" s="388" t="s">
        <v>2720</v>
      </c>
      <c r="BC75" s="389" t="s">
        <v>2720</v>
      </c>
      <c r="BD75" s="390" t="s">
        <v>2720</v>
      </c>
      <c r="BE75" s="391" t="s">
        <v>2720</v>
      </c>
      <c r="BF75" s="390" t="s">
        <v>2720</v>
      </c>
      <c r="BG75" s="392"/>
      <c r="BH75" s="393" t="s">
        <v>2720</v>
      </c>
      <c r="BI75" s="394" t="s">
        <v>2720</v>
      </c>
      <c r="BJ75" s="395" t="s">
        <v>2720</v>
      </c>
      <c r="BK75" s="395" t="s">
        <v>2720</v>
      </c>
      <c r="BL75" s="395" t="s">
        <v>2720</v>
      </c>
      <c r="BM75" s="396" t="s">
        <v>2720</v>
      </c>
      <c r="BN75" s="397" t="s">
        <v>2720</v>
      </c>
      <c r="BO75" s="54" t="s">
        <v>2720</v>
      </c>
      <c r="BP75" s="397" t="s">
        <v>2720</v>
      </c>
      <c r="BQ75" s="54" t="s">
        <v>2720</v>
      </c>
      <c r="BR75" s="398" t="s">
        <v>2720</v>
      </c>
      <c r="BS75" s="399"/>
      <c r="BT75" s="400" t="s">
        <v>2720</v>
      </c>
      <c r="BU75" s="401" t="s">
        <v>2720</v>
      </c>
      <c r="BV75" s="401" t="s">
        <v>2720</v>
      </c>
      <c r="BW75" s="401" t="s">
        <v>2720</v>
      </c>
      <c r="BX75" s="402" t="s">
        <v>2720</v>
      </c>
      <c r="BY75" s="402" t="s">
        <v>2720</v>
      </c>
      <c r="BZ75" s="401" t="s">
        <v>2720</v>
      </c>
      <c r="CA75" s="401" t="s">
        <v>2720</v>
      </c>
      <c r="CB75" s="401" t="s">
        <v>2720</v>
      </c>
      <c r="CC75" s="401" t="s">
        <v>2720</v>
      </c>
      <c r="CD75" s="401" t="s">
        <v>2720</v>
      </c>
      <c r="CE75" s="401" t="s">
        <v>2720</v>
      </c>
      <c r="CF75" s="401" t="s">
        <v>2720</v>
      </c>
      <c r="CG75" s="401" t="s">
        <v>2720</v>
      </c>
      <c r="CH75" s="401" t="s">
        <v>2720</v>
      </c>
      <c r="CI75" s="401" t="s">
        <v>2720</v>
      </c>
      <c r="CJ75" s="401" t="s">
        <v>2720</v>
      </c>
      <c r="CK75" s="401" t="s">
        <v>2720</v>
      </c>
      <c r="CL75" s="401" t="s">
        <v>2720</v>
      </c>
      <c r="CM75" s="402" t="s">
        <v>2720</v>
      </c>
      <c r="CN75" s="401" t="s">
        <v>2720</v>
      </c>
      <c r="CO75" s="401" t="s">
        <v>2720</v>
      </c>
      <c r="CP75" s="401" t="s">
        <v>2720</v>
      </c>
      <c r="CQ75" s="290" t="s">
        <v>2720</v>
      </c>
      <c r="CR75" s="401" t="s">
        <v>2720</v>
      </c>
      <c r="CS75" s="401" t="s">
        <v>2720</v>
      </c>
      <c r="CT75" s="401" t="s">
        <v>2720</v>
      </c>
      <c r="CU75" s="401" t="s">
        <v>2720</v>
      </c>
      <c r="CV75" s="401" t="s">
        <v>2720</v>
      </c>
      <c r="CW75" s="401" t="s">
        <v>2720</v>
      </c>
      <c r="CX75" s="401" t="s">
        <v>2720</v>
      </c>
      <c r="CY75" s="401" t="s">
        <v>2720</v>
      </c>
      <c r="CZ75" s="401" t="s">
        <v>2720</v>
      </c>
      <c r="DA75" s="401" t="s">
        <v>2720</v>
      </c>
      <c r="DB75" s="401" t="s">
        <v>2720</v>
      </c>
      <c r="DC75" s="401" t="s">
        <v>2720</v>
      </c>
      <c r="DD75" s="401" t="s">
        <v>2720</v>
      </c>
      <c r="DE75" s="401" t="s">
        <v>2720</v>
      </c>
      <c r="DF75" s="401" t="s">
        <v>2720</v>
      </c>
      <c r="DG75" s="401" t="s">
        <v>2720</v>
      </c>
      <c r="DH75" s="401" t="s">
        <v>2720</v>
      </c>
      <c r="DI75" s="401" t="s">
        <v>2720</v>
      </c>
      <c r="DJ75" s="401" t="s">
        <v>2720</v>
      </c>
      <c r="DK75" s="401" t="s">
        <v>2720</v>
      </c>
      <c r="DL75" s="401" t="s">
        <v>2720</v>
      </c>
      <c r="DM75" s="401" t="s">
        <v>2720</v>
      </c>
      <c r="DN75" s="401" t="s">
        <v>2720</v>
      </c>
      <c r="DO75" s="403" t="s">
        <v>2720</v>
      </c>
      <c r="DP75" s="404" t="s">
        <v>2720</v>
      </c>
      <c r="DQ75" s="405" t="s">
        <v>2720</v>
      </c>
      <c r="DR75" s="405" t="s">
        <v>2720</v>
      </c>
      <c r="DS75" s="405" t="s">
        <v>2720</v>
      </c>
      <c r="DT75" s="405" t="s">
        <v>2720</v>
      </c>
      <c r="DU75" s="405" t="s">
        <v>2720</v>
      </c>
      <c r="DV75" s="405" t="s">
        <v>2720</v>
      </c>
      <c r="DW75" s="405" t="s">
        <v>2720</v>
      </c>
      <c r="DX75" s="405" t="s">
        <v>2720</v>
      </c>
      <c r="DY75" s="405" t="s">
        <v>2720</v>
      </c>
      <c r="DZ75" s="405" t="s">
        <v>2720</v>
      </c>
      <c r="EA75" s="405" t="s">
        <v>2720</v>
      </c>
      <c r="EB75" s="405" t="s">
        <v>2720</v>
      </c>
      <c r="EC75" s="405" t="s">
        <v>2720</v>
      </c>
      <c r="ED75" s="405" t="s">
        <v>2720</v>
      </c>
      <c r="EE75" s="405" t="s">
        <v>2720</v>
      </c>
      <c r="EF75" s="405" t="s">
        <v>2720</v>
      </c>
      <c r="EG75" s="405" t="s">
        <v>2720</v>
      </c>
      <c r="EH75" s="405" t="s">
        <v>2720</v>
      </c>
      <c r="EI75" s="405" t="s">
        <v>2720</v>
      </c>
      <c r="EJ75" s="405" t="s">
        <v>2720</v>
      </c>
      <c r="EK75" s="405" t="s">
        <v>2720</v>
      </c>
      <c r="EL75" s="405" t="s">
        <v>2720</v>
      </c>
      <c r="EM75" s="406" t="s">
        <v>2720</v>
      </c>
      <c r="EN75" s="405" t="s">
        <v>2720</v>
      </c>
      <c r="EO75" s="405" t="s">
        <v>2720</v>
      </c>
      <c r="EP75" s="405" t="s">
        <v>2720</v>
      </c>
      <c r="EQ75" s="405" t="s">
        <v>2720</v>
      </c>
      <c r="ER75" s="405" t="s">
        <v>2720</v>
      </c>
      <c r="ES75" s="405" t="s">
        <v>2720</v>
      </c>
      <c r="ET75" s="405" t="s">
        <v>2720</v>
      </c>
      <c r="EU75" s="405" t="s">
        <v>2720</v>
      </c>
      <c r="EV75" s="405" t="s">
        <v>2720</v>
      </c>
      <c r="EW75" s="405" t="s">
        <v>2720</v>
      </c>
      <c r="EX75" s="405" t="s">
        <v>2720</v>
      </c>
      <c r="EY75" s="405" t="s">
        <v>2720</v>
      </c>
      <c r="EZ75" s="405" t="s">
        <v>2720</v>
      </c>
      <c r="FA75" s="405" t="s">
        <v>2720</v>
      </c>
      <c r="FB75" s="405" t="s">
        <v>2720</v>
      </c>
      <c r="FC75" s="405" t="s">
        <v>2720</v>
      </c>
      <c r="FD75" s="405" t="s">
        <v>2720</v>
      </c>
      <c r="FE75" s="405" t="s">
        <v>2720</v>
      </c>
      <c r="FF75" s="405" t="s">
        <v>2720</v>
      </c>
      <c r="FG75" s="405" t="s">
        <v>2720</v>
      </c>
      <c r="FH75" s="405" t="s">
        <v>2720</v>
      </c>
      <c r="FI75" s="405" t="s">
        <v>2720</v>
      </c>
      <c r="FJ75" s="405" t="s">
        <v>2720</v>
      </c>
      <c r="FK75" s="407" t="s">
        <v>2720</v>
      </c>
      <c r="FM75" s="408"/>
    </row>
    <row r="76" spans="1:169" hidden="1">
      <c r="A76" s="150" t="s">
        <v>2720</v>
      </c>
      <c r="B76" s="375" t="s">
        <v>2720</v>
      </c>
      <c r="C76" s="376" t="s">
        <v>2720</v>
      </c>
      <c r="D76" s="377" t="s">
        <v>2720</v>
      </c>
      <c r="E76" s="378"/>
      <c r="F76" s="379" t="s">
        <v>2720</v>
      </c>
      <c r="G76" s="380" t="s">
        <v>2720</v>
      </c>
      <c r="H76" s="381" t="s">
        <v>2720</v>
      </c>
      <c r="I76" s="382" t="s">
        <v>2720</v>
      </c>
      <c r="J76" s="381" t="s">
        <v>2720</v>
      </c>
      <c r="K76" s="382" t="s">
        <v>2720</v>
      </c>
      <c r="L76" s="381" t="s">
        <v>2720</v>
      </c>
      <c r="M76" s="382" t="s">
        <v>2720</v>
      </c>
      <c r="N76" s="381" t="s">
        <v>2720</v>
      </c>
      <c r="O76" s="382" t="s">
        <v>2720</v>
      </c>
      <c r="P76" s="381" t="s">
        <v>2720</v>
      </c>
      <c r="Q76" s="382" t="s">
        <v>2720</v>
      </c>
      <c r="R76" s="381" t="s">
        <v>2720</v>
      </c>
      <c r="S76" s="382" t="s">
        <v>2720</v>
      </c>
      <c r="T76" s="381" t="s">
        <v>2720</v>
      </c>
      <c r="U76" s="382" t="s">
        <v>2720</v>
      </c>
      <c r="V76" s="381" t="s">
        <v>2720</v>
      </c>
      <c r="W76" s="382" t="s">
        <v>2720</v>
      </c>
      <c r="X76" s="383" t="s">
        <v>2720</v>
      </c>
      <c r="Y76" s="384"/>
      <c r="Z76" s="385" t="s">
        <v>2720</v>
      </c>
      <c r="AA76" s="386" t="s">
        <v>2720</v>
      </c>
      <c r="AB76" s="385" t="s">
        <v>2720</v>
      </c>
      <c r="AC76" s="386" t="s">
        <v>2720</v>
      </c>
      <c r="AD76" s="385" t="s">
        <v>2720</v>
      </c>
      <c r="AE76" s="386" t="s">
        <v>2720</v>
      </c>
      <c r="AF76" s="385" t="s">
        <v>2720</v>
      </c>
      <c r="AG76" s="386" t="s">
        <v>2720</v>
      </c>
      <c r="AH76" s="385" t="s">
        <v>2720</v>
      </c>
      <c r="AI76" s="386" t="s">
        <v>2720</v>
      </c>
      <c r="AJ76" s="385" t="s">
        <v>2720</v>
      </c>
      <c r="AK76" s="386" t="s">
        <v>2720</v>
      </c>
      <c r="AL76" s="385" t="s">
        <v>2720</v>
      </c>
      <c r="AM76" s="387" t="s">
        <v>2720</v>
      </c>
      <c r="AN76" s="385" t="s">
        <v>2720</v>
      </c>
      <c r="AO76" s="386" t="s">
        <v>2720</v>
      </c>
      <c r="AP76" s="385" t="s">
        <v>2720</v>
      </c>
      <c r="AQ76" s="387" t="s">
        <v>2720</v>
      </c>
      <c r="AR76" s="385" t="s">
        <v>2720</v>
      </c>
      <c r="AS76" s="387" t="s">
        <v>2720</v>
      </c>
      <c r="AT76" s="385" t="s">
        <v>2720</v>
      </c>
      <c r="AU76" s="387" t="s">
        <v>2720</v>
      </c>
      <c r="AV76" s="385" t="s">
        <v>2720</v>
      </c>
      <c r="AW76" s="387" t="s">
        <v>2720</v>
      </c>
      <c r="AX76" s="385" t="s">
        <v>2720</v>
      </c>
      <c r="AY76" s="384"/>
      <c r="AZ76" s="385" t="s">
        <v>2720</v>
      </c>
      <c r="BA76" s="384"/>
      <c r="BB76" s="388" t="s">
        <v>2720</v>
      </c>
      <c r="BC76" s="389" t="s">
        <v>2720</v>
      </c>
      <c r="BD76" s="390" t="s">
        <v>2720</v>
      </c>
      <c r="BE76" s="391" t="s">
        <v>2720</v>
      </c>
      <c r="BF76" s="390" t="s">
        <v>2720</v>
      </c>
      <c r="BG76" s="392"/>
      <c r="BH76" s="393" t="s">
        <v>2720</v>
      </c>
      <c r="BI76" s="394" t="s">
        <v>2720</v>
      </c>
      <c r="BJ76" s="395" t="s">
        <v>2720</v>
      </c>
      <c r="BK76" s="395" t="s">
        <v>2720</v>
      </c>
      <c r="BL76" s="395" t="s">
        <v>2720</v>
      </c>
      <c r="BM76" s="396" t="s">
        <v>2720</v>
      </c>
      <c r="BN76" s="397" t="s">
        <v>2720</v>
      </c>
      <c r="BO76" s="54" t="s">
        <v>2720</v>
      </c>
      <c r="BP76" s="397" t="s">
        <v>2720</v>
      </c>
      <c r="BQ76" s="54" t="s">
        <v>2720</v>
      </c>
      <c r="BR76" s="398" t="s">
        <v>2720</v>
      </c>
      <c r="BS76" s="399"/>
      <c r="BT76" s="400" t="s">
        <v>2720</v>
      </c>
      <c r="BU76" s="401" t="s">
        <v>2720</v>
      </c>
      <c r="BV76" s="401" t="s">
        <v>2720</v>
      </c>
      <c r="BW76" s="401" t="s">
        <v>2720</v>
      </c>
      <c r="BX76" s="402" t="s">
        <v>2720</v>
      </c>
      <c r="BY76" s="402" t="s">
        <v>2720</v>
      </c>
      <c r="BZ76" s="401" t="s">
        <v>2720</v>
      </c>
      <c r="CA76" s="401" t="s">
        <v>2720</v>
      </c>
      <c r="CB76" s="401" t="s">
        <v>2720</v>
      </c>
      <c r="CC76" s="401" t="s">
        <v>2720</v>
      </c>
      <c r="CD76" s="401" t="s">
        <v>2720</v>
      </c>
      <c r="CE76" s="401" t="s">
        <v>2720</v>
      </c>
      <c r="CF76" s="401" t="s">
        <v>2720</v>
      </c>
      <c r="CG76" s="401" t="s">
        <v>2720</v>
      </c>
      <c r="CH76" s="401" t="s">
        <v>2720</v>
      </c>
      <c r="CI76" s="401" t="s">
        <v>2720</v>
      </c>
      <c r="CJ76" s="401" t="s">
        <v>2720</v>
      </c>
      <c r="CK76" s="401" t="s">
        <v>2720</v>
      </c>
      <c r="CL76" s="401" t="s">
        <v>2720</v>
      </c>
      <c r="CM76" s="402" t="s">
        <v>2720</v>
      </c>
      <c r="CN76" s="401" t="s">
        <v>2720</v>
      </c>
      <c r="CO76" s="401" t="s">
        <v>2720</v>
      </c>
      <c r="CP76" s="401" t="s">
        <v>2720</v>
      </c>
      <c r="CQ76" s="290" t="s">
        <v>2720</v>
      </c>
      <c r="CR76" s="401" t="s">
        <v>2720</v>
      </c>
      <c r="CS76" s="401" t="s">
        <v>2720</v>
      </c>
      <c r="CT76" s="401" t="s">
        <v>2720</v>
      </c>
      <c r="CU76" s="401" t="s">
        <v>2720</v>
      </c>
      <c r="CV76" s="401" t="s">
        <v>2720</v>
      </c>
      <c r="CW76" s="401" t="s">
        <v>2720</v>
      </c>
      <c r="CX76" s="401" t="s">
        <v>2720</v>
      </c>
      <c r="CY76" s="401" t="s">
        <v>2720</v>
      </c>
      <c r="CZ76" s="401" t="s">
        <v>2720</v>
      </c>
      <c r="DA76" s="401" t="s">
        <v>2720</v>
      </c>
      <c r="DB76" s="401" t="s">
        <v>2720</v>
      </c>
      <c r="DC76" s="401" t="s">
        <v>2720</v>
      </c>
      <c r="DD76" s="401" t="s">
        <v>2720</v>
      </c>
      <c r="DE76" s="401" t="s">
        <v>2720</v>
      </c>
      <c r="DF76" s="401" t="s">
        <v>2720</v>
      </c>
      <c r="DG76" s="401" t="s">
        <v>2720</v>
      </c>
      <c r="DH76" s="401" t="s">
        <v>2720</v>
      </c>
      <c r="DI76" s="401" t="s">
        <v>2720</v>
      </c>
      <c r="DJ76" s="401" t="s">
        <v>2720</v>
      </c>
      <c r="DK76" s="401" t="s">
        <v>2720</v>
      </c>
      <c r="DL76" s="401" t="s">
        <v>2720</v>
      </c>
      <c r="DM76" s="401" t="s">
        <v>2720</v>
      </c>
      <c r="DN76" s="401" t="s">
        <v>2720</v>
      </c>
      <c r="DO76" s="403" t="s">
        <v>2720</v>
      </c>
      <c r="DP76" s="404" t="s">
        <v>2720</v>
      </c>
      <c r="DQ76" s="405" t="s">
        <v>2720</v>
      </c>
      <c r="DR76" s="405" t="s">
        <v>2720</v>
      </c>
      <c r="DS76" s="405" t="s">
        <v>2720</v>
      </c>
      <c r="DT76" s="405" t="s">
        <v>2720</v>
      </c>
      <c r="DU76" s="405" t="s">
        <v>2720</v>
      </c>
      <c r="DV76" s="405" t="s">
        <v>2720</v>
      </c>
      <c r="DW76" s="405" t="s">
        <v>2720</v>
      </c>
      <c r="DX76" s="405" t="s">
        <v>2720</v>
      </c>
      <c r="DY76" s="405" t="s">
        <v>2720</v>
      </c>
      <c r="DZ76" s="405" t="s">
        <v>2720</v>
      </c>
      <c r="EA76" s="405" t="s">
        <v>2720</v>
      </c>
      <c r="EB76" s="405" t="s">
        <v>2720</v>
      </c>
      <c r="EC76" s="405" t="s">
        <v>2720</v>
      </c>
      <c r="ED76" s="405" t="s">
        <v>2720</v>
      </c>
      <c r="EE76" s="405" t="s">
        <v>2720</v>
      </c>
      <c r="EF76" s="405" t="s">
        <v>2720</v>
      </c>
      <c r="EG76" s="405" t="s">
        <v>2720</v>
      </c>
      <c r="EH76" s="405" t="s">
        <v>2720</v>
      </c>
      <c r="EI76" s="405" t="s">
        <v>2720</v>
      </c>
      <c r="EJ76" s="405" t="s">
        <v>2720</v>
      </c>
      <c r="EK76" s="405" t="s">
        <v>2720</v>
      </c>
      <c r="EL76" s="405" t="s">
        <v>2720</v>
      </c>
      <c r="EM76" s="406" t="s">
        <v>2720</v>
      </c>
      <c r="EN76" s="405" t="s">
        <v>2720</v>
      </c>
      <c r="EO76" s="405" t="s">
        <v>2720</v>
      </c>
      <c r="EP76" s="405" t="s">
        <v>2720</v>
      </c>
      <c r="EQ76" s="405" t="s">
        <v>2720</v>
      </c>
      <c r="ER76" s="405" t="s">
        <v>2720</v>
      </c>
      <c r="ES76" s="405" t="s">
        <v>2720</v>
      </c>
      <c r="ET76" s="405" t="s">
        <v>2720</v>
      </c>
      <c r="EU76" s="405" t="s">
        <v>2720</v>
      </c>
      <c r="EV76" s="405" t="s">
        <v>2720</v>
      </c>
      <c r="EW76" s="405" t="s">
        <v>2720</v>
      </c>
      <c r="EX76" s="405" t="s">
        <v>2720</v>
      </c>
      <c r="EY76" s="405" t="s">
        <v>2720</v>
      </c>
      <c r="EZ76" s="405" t="s">
        <v>2720</v>
      </c>
      <c r="FA76" s="405" t="s">
        <v>2720</v>
      </c>
      <c r="FB76" s="405" t="s">
        <v>2720</v>
      </c>
      <c r="FC76" s="405" t="s">
        <v>2720</v>
      </c>
      <c r="FD76" s="405" t="s">
        <v>2720</v>
      </c>
      <c r="FE76" s="405" t="s">
        <v>2720</v>
      </c>
      <c r="FF76" s="405" t="s">
        <v>2720</v>
      </c>
      <c r="FG76" s="405" t="s">
        <v>2720</v>
      </c>
      <c r="FH76" s="405" t="s">
        <v>2720</v>
      </c>
      <c r="FI76" s="405" t="s">
        <v>2720</v>
      </c>
      <c r="FJ76" s="405" t="s">
        <v>2720</v>
      </c>
      <c r="FK76" s="407" t="s">
        <v>2720</v>
      </c>
      <c r="FM76" s="408"/>
    </row>
    <row r="77" spans="1:169" hidden="1">
      <c r="A77" s="150" t="s">
        <v>2720</v>
      </c>
      <c r="B77" s="375" t="s">
        <v>2720</v>
      </c>
      <c r="C77" s="376" t="s">
        <v>2720</v>
      </c>
      <c r="D77" s="377" t="s">
        <v>2720</v>
      </c>
      <c r="E77" s="378"/>
      <c r="F77" s="379" t="s">
        <v>2720</v>
      </c>
      <c r="G77" s="380" t="s">
        <v>2720</v>
      </c>
      <c r="H77" s="381" t="s">
        <v>2720</v>
      </c>
      <c r="I77" s="382" t="s">
        <v>2720</v>
      </c>
      <c r="J77" s="381" t="s">
        <v>2720</v>
      </c>
      <c r="K77" s="382" t="s">
        <v>2720</v>
      </c>
      <c r="L77" s="381" t="s">
        <v>2720</v>
      </c>
      <c r="M77" s="382" t="s">
        <v>2720</v>
      </c>
      <c r="N77" s="381" t="s">
        <v>2720</v>
      </c>
      <c r="O77" s="382" t="s">
        <v>2720</v>
      </c>
      <c r="P77" s="381" t="s">
        <v>2720</v>
      </c>
      <c r="Q77" s="382" t="s">
        <v>2720</v>
      </c>
      <c r="R77" s="381" t="s">
        <v>2720</v>
      </c>
      <c r="S77" s="382" t="s">
        <v>2720</v>
      </c>
      <c r="T77" s="381" t="s">
        <v>2720</v>
      </c>
      <c r="U77" s="382" t="s">
        <v>2720</v>
      </c>
      <c r="V77" s="381" t="s">
        <v>2720</v>
      </c>
      <c r="W77" s="382" t="s">
        <v>2720</v>
      </c>
      <c r="X77" s="383" t="s">
        <v>2720</v>
      </c>
      <c r="Y77" s="384"/>
      <c r="Z77" s="385" t="s">
        <v>2720</v>
      </c>
      <c r="AA77" s="386" t="s">
        <v>2720</v>
      </c>
      <c r="AB77" s="385" t="s">
        <v>2720</v>
      </c>
      <c r="AC77" s="386" t="s">
        <v>2720</v>
      </c>
      <c r="AD77" s="385" t="s">
        <v>2720</v>
      </c>
      <c r="AE77" s="386" t="s">
        <v>2720</v>
      </c>
      <c r="AF77" s="385" t="s">
        <v>2720</v>
      </c>
      <c r="AG77" s="386" t="s">
        <v>2720</v>
      </c>
      <c r="AH77" s="385" t="s">
        <v>2720</v>
      </c>
      <c r="AI77" s="386" t="s">
        <v>2720</v>
      </c>
      <c r="AJ77" s="385" t="s">
        <v>2720</v>
      </c>
      <c r="AK77" s="386" t="s">
        <v>2720</v>
      </c>
      <c r="AL77" s="385" t="s">
        <v>2720</v>
      </c>
      <c r="AM77" s="387" t="s">
        <v>2720</v>
      </c>
      <c r="AN77" s="385" t="s">
        <v>2720</v>
      </c>
      <c r="AO77" s="386" t="s">
        <v>2720</v>
      </c>
      <c r="AP77" s="385" t="s">
        <v>2720</v>
      </c>
      <c r="AQ77" s="387" t="s">
        <v>2720</v>
      </c>
      <c r="AR77" s="385" t="s">
        <v>2720</v>
      </c>
      <c r="AS77" s="387" t="s">
        <v>2720</v>
      </c>
      <c r="AT77" s="385" t="s">
        <v>2720</v>
      </c>
      <c r="AU77" s="387" t="s">
        <v>2720</v>
      </c>
      <c r="AV77" s="385" t="s">
        <v>2720</v>
      </c>
      <c r="AW77" s="387" t="s">
        <v>2720</v>
      </c>
      <c r="AX77" s="385" t="s">
        <v>2720</v>
      </c>
      <c r="AY77" s="384"/>
      <c r="AZ77" s="385" t="s">
        <v>2720</v>
      </c>
      <c r="BA77" s="384"/>
      <c r="BB77" s="388" t="s">
        <v>2720</v>
      </c>
      <c r="BC77" s="389" t="s">
        <v>2720</v>
      </c>
      <c r="BD77" s="390" t="s">
        <v>2720</v>
      </c>
      <c r="BE77" s="391" t="s">
        <v>2720</v>
      </c>
      <c r="BF77" s="390" t="s">
        <v>2720</v>
      </c>
      <c r="BG77" s="392"/>
      <c r="BH77" s="393" t="s">
        <v>2720</v>
      </c>
      <c r="BI77" s="394" t="s">
        <v>2720</v>
      </c>
      <c r="BJ77" s="395" t="s">
        <v>2720</v>
      </c>
      <c r="BK77" s="395" t="s">
        <v>2720</v>
      </c>
      <c r="BL77" s="395" t="s">
        <v>2720</v>
      </c>
      <c r="BM77" s="396" t="s">
        <v>2720</v>
      </c>
      <c r="BN77" s="397" t="s">
        <v>2720</v>
      </c>
      <c r="BO77" s="54" t="s">
        <v>2720</v>
      </c>
      <c r="BP77" s="397" t="s">
        <v>2720</v>
      </c>
      <c r="BQ77" s="54" t="s">
        <v>2720</v>
      </c>
      <c r="BR77" s="398" t="s">
        <v>2720</v>
      </c>
      <c r="BS77" s="399"/>
      <c r="BT77" s="400" t="s">
        <v>2720</v>
      </c>
      <c r="BU77" s="401" t="s">
        <v>2720</v>
      </c>
      <c r="BV77" s="401" t="s">
        <v>2720</v>
      </c>
      <c r="BW77" s="401" t="s">
        <v>2720</v>
      </c>
      <c r="BX77" s="402" t="s">
        <v>2720</v>
      </c>
      <c r="BY77" s="402" t="s">
        <v>2720</v>
      </c>
      <c r="BZ77" s="401" t="s">
        <v>2720</v>
      </c>
      <c r="CA77" s="401" t="s">
        <v>2720</v>
      </c>
      <c r="CB77" s="401" t="s">
        <v>2720</v>
      </c>
      <c r="CC77" s="401" t="s">
        <v>2720</v>
      </c>
      <c r="CD77" s="401" t="s">
        <v>2720</v>
      </c>
      <c r="CE77" s="401" t="s">
        <v>2720</v>
      </c>
      <c r="CF77" s="401" t="s">
        <v>2720</v>
      </c>
      <c r="CG77" s="401" t="s">
        <v>2720</v>
      </c>
      <c r="CH77" s="401" t="s">
        <v>2720</v>
      </c>
      <c r="CI77" s="401" t="s">
        <v>2720</v>
      </c>
      <c r="CJ77" s="401" t="s">
        <v>2720</v>
      </c>
      <c r="CK77" s="401" t="s">
        <v>2720</v>
      </c>
      <c r="CL77" s="401" t="s">
        <v>2720</v>
      </c>
      <c r="CM77" s="402" t="s">
        <v>2720</v>
      </c>
      <c r="CN77" s="401" t="s">
        <v>2720</v>
      </c>
      <c r="CO77" s="401" t="s">
        <v>2720</v>
      </c>
      <c r="CP77" s="401" t="s">
        <v>2720</v>
      </c>
      <c r="CQ77" s="290" t="s">
        <v>2720</v>
      </c>
      <c r="CR77" s="401" t="s">
        <v>2720</v>
      </c>
      <c r="CS77" s="401" t="s">
        <v>2720</v>
      </c>
      <c r="CT77" s="401" t="s">
        <v>2720</v>
      </c>
      <c r="CU77" s="401" t="s">
        <v>2720</v>
      </c>
      <c r="CV77" s="401" t="s">
        <v>2720</v>
      </c>
      <c r="CW77" s="401" t="s">
        <v>2720</v>
      </c>
      <c r="CX77" s="401" t="s">
        <v>2720</v>
      </c>
      <c r="CY77" s="401" t="s">
        <v>2720</v>
      </c>
      <c r="CZ77" s="401" t="s">
        <v>2720</v>
      </c>
      <c r="DA77" s="401" t="s">
        <v>2720</v>
      </c>
      <c r="DB77" s="401" t="s">
        <v>2720</v>
      </c>
      <c r="DC77" s="401" t="s">
        <v>2720</v>
      </c>
      <c r="DD77" s="401" t="s">
        <v>2720</v>
      </c>
      <c r="DE77" s="401" t="s">
        <v>2720</v>
      </c>
      <c r="DF77" s="401" t="s">
        <v>2720</v>
      </c>
      <c r="DG77" s="401" t="s">
        <v>2720</v>
      </c>
      <c r="DH77" s="401" t="s">
        <v>2720</v>
      </c>
      <c r="DI77" s="401" t="s">
        <v>2720</v>
      </c>
      <c r="DJ77" s="401" t="s">
        <v>2720</v>
      </c>
      <c r="DK77" s="401" t="s">
        <v>2720</v>
      </c>
      <c r="DL77" s="401" t="s">
        <v>2720</v>
      </c>
      <c r="DM77" s="401" t="s">
        <v>2720</v>
      </c>
      <c r="DN77" s="401" t="s">
        <v>2720</v>
      </c>
      <c r="DO77" s="403" t="s">
        <v>2720</v>
      </c>
      <c r="DP77" s="404" t="s">
        <v>2720</v>
      </c>
      <c r="DQ77" s="405" t="s">
        <v>2720</v>
      </c>
      <c r="DR77" s="405" t="s">
        <v>2720</v>
      </c>
      <c r="DS77" s="405" t="s">
        <v>2720</v>
      </c>
      <c r="DT77" s="405" t="s">
        <v>2720</v>
      </c>
      <c r="DU77" s="405" t="s">
        <v>2720</v>
      </c>
      <c r="DV77" s="405" t="s">
        <v>2720</v>
      </c>
      <c r="DW77" s="405" t="s">
        <v>2720</v>
      </c>
      <c r="DX77" s="405" t="s">
        <v>2720</v>
      </c>
      <c r="DY77" s="405" t="s">
        <v>2720</v>
      </c>
      <c r="DZ77" s="405" t="s">
        <v>2720</v>
      </c>
      <c r="EA77" s="405" t="s">
        <v>2720</v>
      </c>
      <c r="EB77" s="405" t="s">
        <v>2720</v>
      </c>
      <c r="EC77" s="405" t="s">
        <v>2720</v>
      </c>
      <c r="ED77" s="405" t="s">
        <v>2720</v>
      </c>
      <c r="EE77" s="405" t="s">
        <v>2720</v>
      </c>
      <c r="EF77" s="405" t="s">
        <v>2720</v>
      </c>
      <c r="EG77" s="405" t="s">
        <v>2720</v>
      </c>
      <c r="EH77" s="405" t="s">
        <v>2720</v>
      </c>
      <c r="EI77" s="405" t="s">
        <v>2720</v>
      </c>
      <c r="EJ77" s="405" t="s">
        <v>2720</v>
      </c>
      <c r="EK77" s="405" t="s">
        <v>2720</v>
      </c>
      <c r="EL77" s="405" t="s">
        <v>2720</v>
      </c>
      <c r="EM77" s="406" t="s">
        <v>2720</v>
      </c>
      <c r="EN77" s="405" t="s">
        <v>2720</v>
      </c>
      <c r="EO77" s="405" t="s">
        <v>2720</v>
      </c>
      <c r="EP77" s="405" t="s">
        <v>2720</v>
      </c>
      <c r="EQ77" s="405" t="s">
        <v>2720</v>
      </c>
      <c r="ER77" s="405" t="s">
        <v>2720</v>
      </c>
      <c r="ES77" s="405" t="s">
        <v>2720</v>
      </c>
      <c r="ET77" s="405" t="s">
        <v>2720</v>
      </c>
      <c r="EU77" s="405" t="s">
        <v>2720</v>
      </c>
      <c r="EV77" s="405" t="s">
        <v>2720</v>
      </c>
      <c r="EW77" s="405" t="s">
        <v>2720</v>
      </c>
      <c r="EX77" s="405" t="s">
        <v>2720</v>
      </c>
      <c r="EY77" s="405" t="s">
        <v>2720</v>
      </c>
      <c r="EZ77" s="405" t="s">
        <v>2720</v>
      </c>
      <c r="FA77" s="405" t="s">
        <v>2720</v>
      </c>
      <c r="FB77" s="405" t="s">
        <v>2720</v>
      </c>
      <c r="FC77" s="405" t="s">
        <v>2720</v>
      </c>
      <c r="FD77" s="405" t="s">
        <v>2720</v>
      </c>
      <c r="FE77" s="405" t="s">
        <v>2720</v>
      </c>
      <c r="FF77" s="405" t="s">
        <v>2720</v>
      </c>
      <c r="FG77" s="405" t="s">
        <v>2720</v>
      </c>
      <c r="FH77" s="405" t="s">
        <v>2720</v>
      </c>
      <c r="FI77" s="405" t="s">
        <v>2720</v>
      </c>
      <c r="FJ77" s="405" t="s">
        <v>2720</v>
      </c>
      <c r="FK77" s="407" t="s">
        <v>2720</v>
      </c>
      <c r="FM77" s="408"/>
    </row>
    <row r="78" spans="1:169" hidden="1">
      <c r="A78" s="150" t="s">
        <v>2720</v>
      </c>
      <c r="B78" s="375" t="s">
        <v>2720</v>
      </c>
      <c r="C78" s="376" t="s">
        <v>2720</v>
      </c>
      <c r="D78" s="377" t="s">
        <v>2720</v>
      </c>
      <c r="E78" s="378"/>
      <c r="F78" s="379" t="s">
        <v>2720</v>
      </c>
      <c r="G78" s="380" t="s">
        <v>2720</v>
      </c>
      <c r="H78" s="381" t="s">
        <v>2720</v>
      </c>
      <c r="I78" s="382" t="s">
        <v>2720</v>
      </c>
      <c r="J78" s="381" t="s">
        <v>2720</v>
      </c>
      <c r="K78" s="382" t="s">
        <v>2720</v>
      </c>
      <c r="L78" s="381" t="s">
        <v>2720</v>
      </c>
      <c r="M78" s="382" t="s">
        <v>2720</v>
      </c>
      <c r="N78" s="381" t="s">
        <v>2720</v>
      </c>
      <c r="O78" s="382" t="s">
        <v>2720</v>
      </c>
      <c r="P78" s="381" t="s">
        <v>2720</v>
      </c>
      <c r="Q78" s="382" t="s">
        <v>2720</v>
      </c>
      <c r="R78" s="381" t="s">
        <v>2720</v>
      </c>
      <c r="S78" s="382" t="s">
        <v>2720</v>
      </c>
      <c r="T78" s="381" t="s">
        <v>2720</v>
      </c>
      <c r="U78" s="382" t="s">
        <v>2720</v>
      </c>
      <c r="V78" s="381" t="s">
        <v>2720</v>
      </c>
      <c r="W78" s="382" t="s">
        <v>2720</v>
      </c>
      <c r="X78" s="383" t="s">
        <v>2720</v>
      </c>
      <c r="Y78" s="384"/>
      <c r="Z78" s="385" t="s">
        <v>2720</v>
      </c>
      <c r="AA78" s="386" t="s">
        <v>2720</v>
      </c>
      <c r="AB78" s="385" t="s">
        <v>2720</v>
      </c>
      <c r="AC78" s="386" t="s">
        <v>2720</v>
      </c>
      <c r="AD78" s="385" t="s">
        <v>2720</v>
      </c>
      <c r="AE78" s="386" t="s">
        <v>2720</v>
      </c>
      <c r="AF78" s="385" t="s">
        <v>2720</v>
      </c>
      <c r="AG78" s="386" t="s">
        <v>2720</v>
      </c>
      <c r="AH78" s="385" t="s">
        <v>2720</v>
      </c>
      <c r="AI78" s="386" t="s">
        <v>2720</v>
      </c>
      <c r="AJ78" s="385" t="s">
        <v>2720</v>
      </c>
      <c r="AK78" s="386" t="s">
        <v>2720</v>
      </c>
      <c r="AL78" s="385" t="s">
        <v>2720</v>
      </c>
      <c r="AM78" s="387" t="s">
        <v>2720</v>
      </c>
      <c r="AN78" s="385" t="s">
        <v>2720</v>
      </c>
      <c r="AO78" s="386" t="s">
        <v>2720</v>
      </c>
      <c r="AP78" s="385" t="s">
        <v>2720</v>
      </c>
      <c r="AQ78" s="387" t="s">
        <v>2720</v>
      </c>
      <c r="AR78" s="385" t="s">
        <v>2720</v>
      </c>
      <c r="AS78" s="387" t="s">
        <v>2720</v>
      </c>
      <c r="AT78" s="385" t="s">
        <v>2720</v>
      </c>
      <c r="AU78" s="387" t="s">
        <v>2720</v>
      </c>
      <c r="AV78" s="385" t="s">
        <v>2720</v>
      </c>
      <c r="AW78" s="387" t="s">
        <v>2720</v>
      </c>
      <c r="AX78" s="385" t="s">
        <v>2720</v>
      </c>
      <c r="AY78" s="384"/>
      <c r="AZ78" s="385" t="s">
        <v>2720</v>
      </c>
      <c r="BA78" s="384"/>
      <c r="BB78" s="388" t="s">
        <v>2720</v>
      </c>
      <c r="BC78" s="389" t="s">
        <v>2720</v>
      </c>
      <c r="BD78" s="390" t="s">
        <v>2720</v>
      </c>
      <c r="BE78" s="391" t="s">
        <v>2720</v>
      </c>
      <c r="BF78" s="390" t="s">
        <v>2720</v>
      </c>
      <c r="BG78" s="392"/>
      <c r="BH78" s="393" t="s">
        <v>2720</v>
      </c>
      <c r="BI78" s="394" t="s">
        <v>2720</v>
      </c>
      <c r="BJ78" s="395" t="s">
        <v>2720</v>
      </c>
      <c r="BK78" s="395" t="s">
        <v>2720</v>
      </c>
      <c r="BL78" s="395" t="s">
        <v>2720</v>
      </c>
      <c r="BM78" s="396" t="s">
        <v>2720</v>
      </c>
      <c r="BN78" s="397" t="s">
        <v>2720</v>
      </c>
      <c r="BO78" s="54" t="s">
        <v>2720</v>
      </c>
      <c r="BP78" s="397" t="s">
        <v>2720</v>
      </c>
      <c r="BQ78" s="54" t="s">
        <v>2720</v>
      </c>
      <c r="BR78" s="398" t="s">
        <v>2720</v>
      </c>
      <c r="BS78" s="399"/>
      <c r="BT78" s="400" t="s">
        <v>2720</v>
      </c>
      <c r="BU78" s="401" t="s">
        <v>2720</v>
      </c>
      <c r="BV78" s="401" t="s">
        <v>2720</v>
      </c>
      <c r="BW78" s="401" t="s">
        <v>2720</v>
      </c>
      <c r="BX78" s="402" t="s">
        <v>2720</v>
      </c>
      <c r="BY78" s="402" t="s">
        <v>2720</v>
      </c>
      <c r="BZ78" s="401" t="s">
        <v>2720</v>
      </c>
      <c r="CA78" s="401" t="s">
        <v>2720</v>
      </c>
      <c r="CB78" s="401" t="s">
        <v>2720</v>
      </c>
      <c r="CC78" s="401" t="s">
        <v>2720</v>
      </c>
      <c r="CD78" s="401" t="s">
        <v>2720</v>
      </c>
      <c r="CE78" s="401" t="s">
        <v>2720</v>
      </c>
      <c r="CF78" s="401" t="s">
        <v>2720</v>
      </c>
      <c r="CG78" s="401" t="s">
        <v>2720</v>
      </c>
      <c r="CH78" s="401" t="s">
        <v>2720</v>
      </c>
      <c r="CI78" s="401" t="s">
        <v>2720</v>
      </c>
      <c r="CJ78" s="401" t="s">
        <v>2720</v>
      </c>
      <c r="CK78" s="401" t="s">
        <v>2720</v>
      </c>
      <c r="CL78" s="401" t="s">
        <v>2720</v>
      </c>
      <c r="CM78" s="402" t="s">
        <v>2720</v>
      </c>
      <c r="CN78" s="401" t="s">
        <v>2720</v>
      </c>
      <c r="CO78" s="401" t="s">
        <v>2720</v>
      </c>
      <c r="CP78" s="401" t="s">
        <v>2720</v>
      </c>
      <c r="CQ78" s="290" t="s">
        <v>2720</v>
      </c>
      <c r="CR78" s="401" t="s">
        <v>2720</v>
      </c>
      <c r="CS78" s="401" t="s">
        <v>2720</v>
      </c>
      <c r="CT78" s="401" t="s">
        <v>2720</v>
      </c>
      <c r="CU78" s="401" t="s">
        <v>2720</v>
      </c>
      <c r="CV78" s="401" t="s">
        <v>2720</v>
      </c>
      <c r="CW78" s="401" t="s">
        <v>2720</v>
      </c>
      <c r="CX78" s="401" t="s">
        <v>2720</v>
      </c>
      <c r="CY78" s="401" t="s">
        <v>2720</v>
      </c>
      <c r="CZ78" s="401" t="s">
        <v>2720</v>
      </c>
      <c r="DA78" s="401" t="s">
        <v>2720</v>
      </c>
      <c r="DB78" s="401" t="s">
        <v>2720</v>
      </c>
      <c r="DC78" s="401" t="s">
        <v>2720</v>
      </c>
      <c r="DD78" s="401" t="s">
        <v>2720</v>
      </c>
      <c r="DE78" s="401" t="s">
        <v>2720</v>
      </c>
      <c r="DF78" s="401" t="s">
        <v>2720</v>
      </c>
      <c r="DG78" s="401" t="s">
        <v>2720</v>
      </c>
      <c r="DH78" s="401" t="s">
        <v>2720</v>
      </c>
      <c r="DI78" s="401" t="s">
        <v>2720</v>
      </c>
      <c r="DJ78" s="401" t="s">
        <v>2720</v>
      </c>
      <c r="DK78" s="401" t="s">
        <v>2720</v>
      </c>
      <c r="DL78" s="401" t="s">
        <v>2720</v>
      </c>
      <c r="DM78" s="401" t="s">
        <v>2720</v>
      </c>
      <c r="DN78" s="401" t="s">
        <v>2720</v>
      </c>
      <c r="DO78" s="403" t="s">
        <v>2720</v>
      </c>
      <c r="DP78" s="404" t="s">
        <v>2720</v>
      </c>
      <c r="DQ78" s="405" t="s">
        <v>2720</v>
      </c>
      <c r="DR78" s="405" t="s">
        <v>2720</v>
      </c>
      <c r="DS78" s="405" t="s">
        <v>2720</v>
      </c>
      <c r="DT78" s="405" t="s">
        <v>2720</v>
      </c>
      <c r="DU78" s="405" t="s">
        <v>2720</v>
      </c>
      <c r="DV78" s="405" t="s">
        <v>2720</v>
      </c>
      <c r="DW78" s="405" t="s">
        <v>2720</v>
      </c>
      <c r="DX78" s="405" t="s">
        <v>2720</v>
      </c>
      <c r="DY78" s="405" t="s">
        <v>2720</v>
      </c>
      <c r="DZ78" s="405" t="s">
        <v>2720</v>
      </c>
      <c r="EA78" s="405" t="s">
        <v>2720</v>
      </c>
      <c r="EB78" s="405" t="s">
        <v>2720</v>
      </c>
      <c r="EC78" s="405" t="s">
        <v>2720</v>
      </c>
      <c r="ED78" s="405" t="s">
        <v>2720</v>
      </c>
      <c r="EE78" s="405" t="s">
        <v>2720</v>
      </c>
      <c r="EF78" s="405" t="s">
        <v>2720</v>
      </c>
      <c r="EG78" s="405" t="s">
        <v>2720</v>
      </c>
      <c r="EH78" s="405" t="s">
        <v>2720</v>
      </c>
      <c r="EI78" s="405" t="s">
        <v>2720</v>
      </c>
      <c r="EJ78" s="405" t="s">
        <v>2720</v>
      </c>
      <c r="EK78" s="405" t="s">
        <v>2720</v>
      </c>
      <c r="EL78" s="405" t="s">
        <v>2720</v>
      </c>
      <c r="EM78" s="406" t="s">
        <v>2720</v>
      </c>
      <c r="EN78" s="405" t="s">
        <v>2720</v>
      </c>
      <c r="EO78" s="405" t="s">
        <v>2720</v>
      </c>
      <c r="EP78" s="405" t="s">
        <v>2720</v>
      </c>
      <c r="EQ78" s="405" t="s">
        <v>2720</v>
      </c>
      <c r="ER78" s="405" t="s">
        <v>2720</v>
      </c>
      <c r="ES78" s="405" t="s">
        <v>2720</v>
      </c>
      <c r="ET78" s="405" t="s">
        <v>2720</v>
      </c>
      <c r="EU78" s="405" t="s">
        <v>2720</v>
      </c>
      <c r="EV78" s="405" t="s">
        <v>2720</v>
      </c>
      <c r="EW78" s="405" t="s">
        <v>2720</v>
      </c>
      <c r="EX78" s="405" t="s">
        <v>2720</v>
      </c>
      <c r="EY78" s="405" t="s">
        <v>2720</v>
      </c>
      <c r="EZ78" s="405" t="s">
        <v>2720</v>
      </c>
      <c r="FA78" s="405" t="s">
        <v>2720</v>
      </c>
      <c r="FB78" s="405" t="s">
        <v>2720</v>
      </c>
      <c r="FC78" s="405" t="s">
        <v>2720</v>
      </c>
      <c r="FD78" s="405" t="s">
        <v>2720</v>
      </c>
      <c r="FE78" s="405" t="s">
        <v>2720</v>
      </c>
      <c r="FF78" s="405" t="s">
        <v>2720</v>
      </c>
      <c r="FG78" s="405" t="s">
        <v>2720</v>
      </c>
      <c r="FH78" s="405" t="s">
        <v>2720</v>
      </c>
      <c r="FI78" s="405" t="s">
        <v>2720</v>
      </c>
      <c r="FJ78" s="405" t="s">
        <v>2720</v>
      </c>
      <c r="FK78" s="407" t="s">
        <v>2720</v>
      </c>
      <c r="FM78" s="408"/>
    </row>
    <row r="79" spans="1:169" hidden="1">
      <c r="A79" s="150" t="s">
        <v>2720</v>
      </c>
      <c r="B79" s="375" t="s">
        <v>2720</v>
      </c>
      <c r="C79" s="376" t="s">
        <v>2720</v>
      </c>
      <c r="D79" s="377" t="s">
        <v>2720</v>
      </c>
      <c r="E79" s="378"/>
      <c r="F79" s="379" t="s">
        <v>2720</v>
      </c>
      <c r="G79" s="380" t="s">
        <v>2720</v>
      </c>
      <c r="H79" s="381" t="s">
        <v>2720</v>
      </c>
      <c r="I79" s="382" t="s">
        <v>2720</v>
      </c>
      <c r="J79" s="381" t="s">
        <v>2720</v>
      </c>
      <c r="K79" s="382" t="s">
        <v>2720</v>
      </c>
      <c r="L79" s="381" t="s">
        <v>2720</v>
      </c>
      <c r="M79" s="382" t="s">
        <v>2720</v>
      </c>
      <c r="N79" s="381" t="s">
        <v>2720</v>
      </c>
      <c r="O79" s="382" t="s">
        <v>2720</v>
      </c>
      <c r="P79" s="381" t="s">
        <v>2720</v>
      </c>
      <c r="Q79" s="382" t="s">
        <v>2720</v>
      </c>
      <c r="R79" s="381" t="s">
        <v>2720</v>
      </c>
      <c r="S79" s="382" t="s">
        <v>2720</v>
      </c>
      <c r="T79" s="381" t="s">
        <v>2720</v>
      </c>
      <c r="U79" s="382" t="s">
        <v>2720</v>
      </c>
      <c r="V79" s="381" t="s">
        <v>2720</v>
      </c>
      <c r="W79" s="382" t="s">
        <v>2720</v>
      </c>
      <c r="X79" s="383" t="s">
        <v>2720</v>
      </c>
      <c r="Y79" s="384"/>
      <c r="Z79" s="385" t="s">
        <v>2720</v>
      </c>
      <c r="AA79" s="386" t="s">
        <v>2720</v>
      </c>
      <c r="AB79" s="385" t="s">
        <v>2720</v>
      </c>
      <c r="AC79" s="386" t="s">
        <v>2720</v>
      </c>
      <c r="AD79" s="385" t="s">
        <v>2720</v>
      </c>
      <c r="AE79" s="386" t="s">
        <v>2720</v>
      </c>
      <c r="AF79" s="385" t="s">
        <v>2720</v>
      </c>
      <c r="AG79" s="386" t="s">
        <v>2720</v>
      </c>
      <c r="AH79" s="385" t="s">
        <v>2720</v>
      </c>
      <c r="AI79" s="386" t="s">
        <v>2720</v>
      </c>
      <c r="AJ79" s="385" t="s">
        <v>2720</v>
      </c>
      <c r="AK79" s="386" t="s">
        <v>2720</v>
      </c>
      <c r="AL79" s="385" t="s">
        <v>2720</v>
      </c>
      <c r="AM79" s="387" t="s">
        <v>2720</v>
      </c>
      <c r="AN79" s="385" t="s">
        <v>2720</v>
      </c>
      <c r="AO79" s="386" t="s">
        <v>2720</v>
      </c>
      <c r="AP79" s="385" t="s">
        <v>2720</v>
      </c>
      <c r="AQ79" s="387" t="s">
        <v>2720</v>
      </c>
      <c r="AR79" s="385" t="s">
        <v>2720</v>
      </c>
      <c r="AS79" s="387" t="s">
        <v>2720</v>
      </c>
      <c r="AT79" s="385" t="s">
        <v>2720</v>
      </c>
      <c r="AU79" s="387" t="s">
        <v>2720</v>
      </c>
      <c r="AV79" s="385" t="s">
        <v>2720</v>
      </c>
      <c r="AW79" s="387" t="s">
        <v>2720</v>
      </c>
      <c r="AX79" s="385" t="s">
        <v>2720</v>
      </c>
      <c r="AY79" s="384"/>
      <c r="AZ79" s="385" t="s">
        <v>2720</v>
      </c>
      <c r="BA79" s="384"/>
      <c r="BB79" s="388" t="s">
        <v>2720</v>
      </c>
      <c r="BC79" s="389" t="s">
        <v>2720</v>
      </c>
      <c r="BD79" s="390" t="s">
        <v>2720</v>
      </c>
      <c r="BE79" s="391" t="s">
        <v>2720</v>
      </c>
      <c r="BF79" s="390" t="s">
        <v>2720</v>
      </c>
      <c r="BG79" s="392"/>
      <c r="BH79" s="393" t="s">
        <v>2720</v>
      </c>
      <c r="BI79" s="394" t="s">
        <v>2720</v>
      </c>
      <c r="BJ79" s="395" t="s">
        <v>2720</v>
      </c>
      <c r="BK79" s="395" t="s">
        <v>2720</v>
      </c>
      <c r="BL79" s="395" t="s">
        <v>2720</v>
      </c>
      <c r="BM79" s="396" t="s">
        <v>2720</v>
      </c>
      <c r="BN79" s="397" t="s">
        <v>2720</v>
      </c>
      <c r="BO79" s="54" t="s">
        <v>2720</v>
      </c>
      <c r="BP79" s="397" t="s">
        <v>2720</v>
      </c>
      <c r="BQ79" s="54" t="s">
        <v>2720</v>
      </c>
      <c r="BR79" s="398" t="s">
        <v>2720</v>
      </c>
      <c r="BS79" s="399"/>
      <c r="BT79" s="400" t="s">
        <v>2720</v>
      </c>
      <c r="BU79" s="401" t="s">
        <v>2720</v>
      </c>
      <c r="BV79" s="401" t="s">
        <v>2720</v>
      </c>
      <c r="BW79" s="401" t="s">
        <v>2720</v>
      </c>
      <c r="BX79" s="402" t="s">
        <v>2720</v>
      </c>
      <c r="BY79" s="402" t="s">
        <v>2720</v>
      </c>
      <c r="BZ79" s="401" t="s">
        <v>2720</v>
      </c>
      <c r="CA79" s="401" t="s">
        <v>2720</v>
      </c>
      <c r="CB79" s="401" t="s">
        <v>2720</v>
      </c>
      <c r="CC79" s="401" t="s">
        <v>2720</v>
      </c>
      <c r="CD79" s="401" t="s">
        <v>2720</v>
      </c>
      <c r="CE79" s="401" t="s">
        <v>2720</v>
      </c>
      <c r="CF79" s="401" t="s">
        <v>2720</v>
      </c>
      <c r="CG79" s="401" t="s">
        <v>2720</v>
      </c>
      <c r="CH79" s="401" t="s">
        <v>2720</v>
      </c>
      <c r="CI79" s="401" t="s">
        <v>2720</v>
      </c>
      <c r="CJ79" s="401" t="s">
        <v>2720</v>
      </c>
      <c r="CK79" s="401" t="s">
        <v>2720</v>
      </c>
      <c r="CL79" s="401" t="s">
        <v>2720</v>
      </c>
      <c r="CM79" s="402" t="s">
        <v>2720</v>
      </c>
      <c r="CN79" s="401" t="s">
        <v>2720</v>
      </c>
      <c r="CO79" s="401" t="s">
        <v>2720</v>
      </c>
      <c r="CP79" s="401" t="s">
        <v>2720</v>
      </c>
      <c r="CQ79" s="290" t="s">
        <v>2720</v>
      </c>
      <c r="CR79" s="401" t="s">
        <v>2720</v>
      </c>
      <c r="CS79" s="401" t="s">
        <v>2720</v>
      </c>
      <c r="CT79" s="401" t="s">
        <v>2720</v>
      </c>
      <c r="CU79" s="401" t="s">
        <v>2720</v>
      </c>
      <c r="CV79" s="401" t="s">
        <v>2720</v>
      </c>
      <c r="CW79" s="401" t="s">
        <v>2720</v>
      </c>
      <c r="CX79" s="401" t="s">
        <v>2720</v>
      </c>
      <c r="CY79" s="401" t="s">
        <v>2720</v>
      </c>
      <c r="CZ79" s="401" t="s">
        <v>2720</v>
      </c>
      <c r="DA79" s="401" t="s">
        <v>2720</v>
      </c>
      <c r="DB79" s="401" t="s">
        <v>2720</v>
      </c>
      <c r="DC79" s="401" t="s">
        <v>2720</v>
      </c>
      <c r="DD79" s="401" t="s">
        <v>2720</v>
      </c>
      <c r="DE79" s="401" t="s">
        <v>2720</v>
      </c>
      <c r="DF79" s="401" t="s">
        <v>2720</v>
      </c>
      <c r="DG79" s="401" t="s">
        <v>2720</v>
      </c>
      <c r="DH79" s="401" t="s">
        <v>2720</v>
      </c>
      <c r="DI79" s="401" t="s">
        <v>2720</v>
      </c>
      <c r="DJ79" s="401" t="s">
        <v>2720</v>
      </c>
      <c r="DK79" s="401" t="s">
        <v>2720</v>
      </c>
      <c r="DL79" s="401" t="s">
        <v>2720</v>
      </c>
      <c r="DM79" s="401" t="s">
        <v>2720</v>
      </c>
      <c r="DN79" s="401" t="s">
        <v>2720</v>
      </c>
      <c r="DO79" s="403" t="s">
        <v>2720</v>
      </c>
      <c r="DP79" s="404" t="s">
        <v>2720</v>
      </c>
      <c r="DQ79" s="405" t="s">
        <v>2720</v>
      </c>
      <c r="DR79" s="405" t="s">
        <v>2720</v>
      </c>
      <c r="DS79" s="405" t="s">
        <v>2720</v>
      </c>
      <c r="DT79" s="405" t="s">
        <v>2720</v>
      </c>
      <c r="DU79" s="405" t="s">
        <v>2720</v>
      </c>
      <c r="DV79" s="405" t="s">
        <v>2720</v>
      </c>
      <c r="DW79" s="405" t="s">
        <v>2720</v>
      </c>
      <c r="DX79" s="405" t="s">
        <v>2720</v>
      </c>
      <c r="DY79" s="405" t="s">
        <v>2720</v>
      </c>
      <c r="DZ79" s="405" t="s">
        <v>2720</v>
      </c>
      <c r="EA79" s="405" t="s">
        <v>2720</v>
      </c>
      <c r="EB79" s="405" t="s">
        <v>2720</v>
      </c>
      <c r="EC79" s="405" t="s">
        <v>2720</v>
      </c>
      <c r="ED79" s="405" t="s">
        <v>2720</v>
      </c>
      <c r="EE79" s="405" t="s">
        <v>2720</v>
      </c>
      <c r="EF79" s="405" t="s">
        <v>2720</v>
      </c>
      <c r="EG79" s="405" t="s">
        <v>2720</v>
      </c>
      <c r="EH79" s="405" t="s">
        <v>2720</v>
      </c>
      <c r="EI79" s="405" t="s">
        <v>2720</v>
      </c>
      <c r="EJ79" s="405" t="s">
        <v>2720</v>
      </c>
      <c r="EK79" s="405" t="s">
        <v>2720</v>
      </c>
      <c r="EL79" s="405" t="s">
        <v>2720</v>
      </c>
      <c r="EM79" s="406" t="s">
        <v>2720</v>
      </c>
      <c r="EN79" s="405" t="s">
        <v>2720</v>
      </c>
      <c r="EO79" s="405" t="s">
        <v>2720</v>
      </c>
      <c r="EP79" s="405" t="s">
        <v>2720</v>
      </c>
      <c r="EQ79" s="405" t="s">
        <v>2720</v>
      </c>
      <c r="ER79" s="405" t="s">
        <v>2720</v>
      </c>
      <c r="ES79" s="405" t="s">
        <v>2720</v>
      </c>
      <c r="ET79" s="405" t="s">
        <v>2720</v>
      </c>
      <c r="EU79" s="405" t="s">
        <v>2720</v>
      </c>
      <c r="EV79" s="405" t="s">
        <v>2720</v>
      </c>
      <c r="EW79" s="405" t="s">
        <v>2720</v>
      </c>
      <c r="EX79" s="405" t="s">
        <v>2720</v>
      </c>
      <c r="EY79" s="405" t="s">
        <v>2720</v>
      </c>
      <c r="EZ79" s="405" t="s">
        <v>2720</v>
      </c>
      <c r="FA79" s="405" t="s">
        <v>2720</v>
      </c>
      <c r="FB79" s="405" t="s">
        <v>2720</v>
      </c>
      <c r="FC79" s="405" t="s">
        <v>2720</v>
      </c>
      <c r="FD79" s="405" t="s">
        <v>2720</v>
      </c>
      <c r="FE79" s="405" t="s">
        <v>2720</v>
      </c>
      <c r="FF79" s="405" t="s">
        <v>2720</v>
      </c>
      <c r="FG79" s="405" t="s">
        <v>2720</v>
      </c>
      <c r="FH79" s="405" t="s">
        <v>2720</v>
      </c>
      <c r="FI79" s="405" t="s">
        <v>2720</v>
      </c>
      <c r="FJ79" s="405" t="s">
        <v>2720</v>
      </c>
      <c r="FK79" s="407" t="s">
        <v>2720</v>
      </c>
      <c r="FM79" s="408"/>
    </row>
    <row r="80" spans="1:169" hidden="1">
      <c r="A80" s="150" t="s">
        <v>2720</v>
      </c>
      <c r="B80" s="375" t="s">
        <v>2720</v>
      </c>
      <c r="C80" s="376" t="s">
        <v>2720</v>
      </c>
      <c r="D80" s="377" t="s">
        <v>2720</v>
      </c>
      <c r="E80" s="378"/>
      <c r="F80" s="379" t="s">
        <v>2720</v>
      </c>
      <c r="G80" s="380" t="s">
        <v>2720</v>
      </c>
      <c r="H80" s="381" t="s">
        <v>2720</v>
      </c>
      <c r="I80" s="382" t="s">
        <v>2720</v>
      </c>
      <c r="J80" s="381" t="s">
        <v>2720</v>
      </c>
      <c r="K80" s="382" t="s">
        <v>2720</v>
      </c>
      <c r="L80" s="381" t="s">
        <v>2720</v>
      </c>
      <c r="M80" s="382" t="s">
        <v>2720</v>
      </c>
      <c r="N80" s="381" t="s">
        <v>2720</v>
      </c>
      <c r="O80" s="382" t="s">
        <v>2720</v>
      </c>
      <c r="P80" s="381" t="s">
        <v>2720</v>
      </c>
      <c r="Q80" s="382" t="s">
        <v>2720</v>
      </c>
      <c r="R80" s="381" t="s">
        <v>2720</v>
      </c>
      <c r="S80" s="382" t="s">
        <v>2720</v>
      </c>
      <c r="T80" s="381" t="s">
        <v>2720</v>
      </c>
      <c r="U80" s="382" t="s">
        <v>2720</v>
      </c>
      <c r="V80" s="381" t="s">
        <v>2720</v>
      </c>
      <c r="W80" s="382" t="s">
        <v>2720</v>
      </c>
      <c r="X80" s="383" t="s">
        <v>2720</v>
      </c>
      <c r="Y80" s="384"/>
      <c r="Z80" s="385" t="s">
        <v>2720</v>
      </c>
      <c r="AA80" s="386" t="s">
        <v>2720</v>
      </c>
      <c r="AB80" s="385" t="s">
        <v>2720</v>
      </c>
      <c r="AC80" s="386" t="s">
        <v>2720</v>
      </c>
      <c r="AD80" s="385" t="s">
        <v>2720</v>
      </c>
      <c r="AE80" s="386" t="s">
        <v>2720</v>
      </c>
      <c r="AF80" s="385" t="s">
        <v>2720</v>
      </c>
      <c r="AG80" s="386" t="s">
        <v>2720</v>
      </c>
      <c r="AH80" s="385" t="s">
        <v>2720</v>
      </c>
      <c r="AI80" s="386" t="s">
        <v>2720</v>
      </c>
      <c r="AJ80" s="385" t="s">
        <v>2720</v>
      </c>
      <c r="AK80" s="386" t="s">
        <v>2720</v>
      </c>
      <c r="AL80" s="385" t="s">
        <v>2720</v>
      </c>
      <c r="AM80" s="387" t="s">
        <v>2720</v>
      </c>
      <c r="AN80" s="385" t="s">
        <v>2720</v>
      </c>
      <c r="AO80" s="386" t="s">
        <v>2720</v>
      </c>
      <c r="AP80" s="385" t="s">
        <v>2720</v>
      </c>
      <c r="AQ80" s="387" t="s">
        <v>2720</v>
      </c>
      <c r="AR80" s="385" t="s">
        <v>2720</v>
      </c>
      <c r="AS80" s="387" t="s">
        <v>2720</v>
      </c>
      <c r="AT80" s="385" t="s">
        <v>2720</v>
      </c>
      <c r="AU80" s="387" t="s">
        <v>2720</v>
      </c>
      <c r="AV80" s="385" t="s">
        <v>2720</v>
      </c>
      <c r="AW80" s="387" t="s">
        <v>2720</v>
      </c>
      <c r="AX80" s="385" t="s">
        <v>2720</v>
      </c>
      <c r="AY80" s="384"/>
      <c r="AZ80" s="385" t="s">
        <v>2720</v>
      </c>
      <c r="BA80" s="384"/>
      <c r="BB80" s="388" t="s">
        <v>2720</v>
      </c>
      <c r="BC80" s="389" t="s">
        <v>2720</v>
      </c>
      <c r="BD80" s="390" t="s">
        <v>2720</v>
      </c>
      <c r="BE80" s="391" t="s">
        <v>2720</v>
      </c>
      <c r="BF80" s="390" t="s">
        <v>2720</v>
      </c>
      <c r="BG80" s="392"/>
      <c r="BH80" s="393" t="s">
        <v>2720</v>
      </c>
      <c r="BI80" s="394" t="s">
        <v>2720</v>
      </c>
      <c r="BJ80" s="395" t="s">
        <v>2720</v>
      </c>
      <c r="BK80" s="395" t="s">
        <v>2720</v>
      </c>
      <c r="BL80" s="395" t="s">
        <v>2720</v>
      </c>
      <c r="BM80" s="396" t="s">
        <v>2720</v>
      </c>
      <c r="BN80" s="397" t="s">
        <v>2720</v>
      </c>
      <c r="BO80" s="54" t="s">
        <v>2720</v>
      </c>
      <c r="BP80" s="397" t="s">
        <v>2720</v>
      </c>
      <c r="BQ80" s="54" t="s">
        <v>2720</v>
      </c>
      <c r="BR80" s="398" t="s">
        <v>2720</v>
      </c>
      <c r="BS80" s="399"/>
      <c r="BT80" s="400" t="s">
        <v>2720</v>
      </c>
      <c r="BU80" s="401" t="s">
        <v>2720</v>
      </c>
      <c r="BV80" s="401" t="s">
        <v>2720</v>
      </c>
      <c r="BW80" s="401" t="s">
        <v>2720</v>
      </c>
      <c r="BX80" s="402" t="s">
        <v>2720</v>
      </c>
      <c r="BY80" s="402" t="s">
        <v>2720</v>
      </c>
      <c r="BZ80" s="401" t="s">
        <v>2720</v>
      </c>
      <c r="CA80" s="401" t="s">
        <v>2720</v>
      </c>
      <c r="CB80" s="401" t="s">
        <v>2720</v>
      </c>
      <c r="CC80" s="401" t="s">
        <v>2720</v>
      </c>
      <c r="CD80" s="401" t="s">
        <v>2720</v>
      </c>
      <c r="CE80" s="401" t="s">
        <v>2720</v>
      </c>
      <c r="CF80" s="401" t="s">
        <v>2720</v>
      </c>
      <c r="CG80" s="401" t="s">
        <v>2720</v>
      </c>
      <c r="CH80" s="401" t="s">
        <v>2720</v>
      </c>
      <c r="CI80" s="401" t="s">
        <v>2720</v>
      </c>
      <c r="CJ80" s="401" t="s">
        <v>2720</v>
      </c>
      <c r="CK80" s="401" t="s">
        <v>2720</v>
      </c>
      <c r="CL80" s="401" t="s">
        <v>2720</v>
      </c>
      <c r="CM80" s="402" t="s">
        <v>2720</v>
      </c>
      <c r="CN80" s="401" t="s">
        <v>2720</v>
      </c>
      <c r="CO80" s="401" t="s">
        <v>2720</v>
      </c>
      <c r="CP80" s="401" t="s">
        <v>2720</v>
      </c>
      <c r="CQ80" s="290" t="s">
        <v>2720</v>
      </c>
      <c r="CR80" s="401" t="s">
        <v>2720</v>
      </c>
      <c r="CS80" s="401" t="s">
        <v>2720</v>
      </c>
      <c r="CT80" s="401" t="s">
        <v>2720</v>
      </c>
      <c r="CU80" s="401" t="s">
        <v>2720</v>
      </c>
      <c r="CV80" s="401" t="s">
        <v>2720</v>
      </c>
      <c r="CW80" s="401" t="s">
        <v>2720</v>
      </c>
      <c r="CX80" s="401" t="s">
        <v>2720</v>
      </c>
      <c r="CY80" s="401" t="s">
        <v>2720</v>
      </c>
      <c r="CZ80" s="401" t="s">
        <v>2720</v>
      </c>
      <c r="DA80" s="401" t="s">
        <v>2720</v>
      </c>
      <c r="DB80" s="401" t="s">
        <v>2720</v>
      </c>
      <c r="DC80" s="401" t="s">
        <v>2720</v>
      </c>
      <c r="DD80" s="401" t="s">
        <v>2720</v>
      </c>
      <c r="DE80" s="401" t="s">
        <v>2720</v>
      </c>
      <c r="DF80" s="401" t="s">
        <v>2720</v>
      </c>
      <c r="DG80" s="401" t="s">
        <v>2720</v>
      </c>
      <c r="DH80" s="401" t="s">
        <v>2720</v>
      </c>
      <c r="DI80" s="401" t="s">
        <v>2720</v>
      </c>
      <c r="DJ80" s="401" t="s">
        <v>2720</v>
      </c>
      <c r="DK80" s="401" t="s">
        <v>2720</v>
      </c>
      <c r="DL80" s="401" t="s">
        <v>2720</v>
      </c>
      <c r="DM80" s="401" t="s">
        <v>2720</v>
      </c>
      <c r="DN80" s="401" t="s">
        <v>2720</v>
      </c>
      <c r="DO80" s="403" t="s">
        <v>2720</v>
      </c>
      <c r="DP80" s="404" t="s">
        <v>2720</v>
      </c>
      <c r="DQ80" s="405" t="s">
        <v>2720</v>
      </c>
      <c r="DR80" s="405" t="s">
        <v>2720</v>
      </c>
      <c r="DS80" s="405" t="s">
        <v>2720</v>
      </c>
      <c r="DT80" s="405" t="s">
        <v>2720</v>
      </c>
      <c r="DU80" s="405" t="s">
        <v>2720</v>
      </c>
      <c r="DV80" s="405" t="s">
        <v>2720</v>
      </c>
      <c r="DW80" s="405" t="s">
        <v>2720</v>
      </c>
      <c r="DX80" s="405" t="s">
        <v>2720</v>
      </c>
      <c r="DY80" s="405" t="s">
        <v>2720</v>
      </c>
      <c r="DZ80" s="405" t="s">
        <v>2720</v>
      </c>
      <c r="EA80" s="405" t="s">
        <v>2720</v>
      </c>
      <c r="EB80" s="405" t="s">
        <v>2720</v>
      </c>
      <c r="EC80" s="405" t="s">
        <v>2720</v>
      </c>
      <c r="ED80" s="405" t="s">
        <v>2720</v>
      </c>
      <c r="EE80" s="405" t="s">
        <v>2720</v>
      </c>
      <c r="EF80" s="405" t="s">
        <v>2720</v>
      </c>
      <c r="EG80" s="405" t="s">
        <v>2720</v>
      </c>
      <c r="EH80" s="405" t="s">
        <v>2720</v>
      </c>
      <c r="EI80" s="405" t="s">
        <v>2720</v>
      </c>
      <c r="EJ80" s="405" t="s">
        <v>2720</v>
      </c>
      <c r="EK80" s="405" t="s">
        <v>2720</v>
      </c>
      <c r="EL80" s="405" t="s">
        <v>2720</v>
      </c>
      <c r="EM80" s="406" t="s">
        <v>2720</v>
      </c>
      <c r="EN80" s="405" t="s">
        <v>2720</v>
      </c>
      <c r="EO80" s="405" t="s">
        <v>2720</v>
      </c>
      <c r="EP80" s="405" t="s">
        <v>2720</v>
      </c>
      <c r="EQ80" s="405" t="s">
        <v>2720</v>
      </c>
      <c r="ER80" s="405" t="s">
        <v>2720</v>
      </c>
      <c r="ES80" s="405" t="s">
        <v>2720</v>
      </c>
      <c r="ET80" s="405" t="s">
        <v>2720</v>
      </c>
      <c r="EU80" s="405" t="s">
        <v>2720</v>
      </c>
      <c r="EV80" s="405" t="s">
        <v>2720</v>
      </c>
      <c r="EW80" s="405" t="s">
        <v>2720</v>
      </c>
      <c r="EX80" s="405" t="s">
        <v>2720</v>
      </c>
      <c r="EY80" s="405" t="s">
        <v>2720</v>
      </c>
      <c r="EZ80" s="405" t="s">
        <v>2720</v>
      </c>
      <c r="FA80" s="405" t="s">
        <v>2720</v>
      </c>
      <c r="FB80" s="405" t="s">
        <v>2720</v>
      </c>
      <c r="FC80" s="405" t="s">
        <v>2720</v>
      </c>
      <c r="FD80" s="405" t="s">
        <v>2720</v>
      </c>
      <c r="FE80" s="405" t="s">
        <v>2720</v>
      </c>
      <c r="FF80" s="405" t="s">
        <v>2720</v>
      </c>
      <c r="FG80" s="405" t="s">
        <v>2720</v>
      </c>
      <c r="FH80" s="405" t="s">
        <v>2720</v>
      </c>
      <c r="FI80" s="405" t="s">
        <v>2720</v>
      </c>
      <c r="FJ80" s="405" t="s">
        <v>2720</v>
      </c>
      <c r="FK80" s="407" t="s">
        <v>2720</v>
      </c>
      <c r="FM80" s="408"/>
    </row>
    <row r="81" spans="1:169" hidden="1">
      <c r="A81" s="150" t="s">
        <v>2720</v>
      </c>
      <c r="B81" s="375" t="s">
        <v>2720</v>
      </c>
      <c r="C81" s="376" t="s">
        <v>2720</v>
      </c>
      <c r="D81" s="377" t="s">
        <v>2720</v>
      </c>
      <c r="E81" s="378"/>
      <c r="F81" s="379" t="s">
        <v>2720</v>
      </c>
      <c r="G81" s="380" t="s">
        <v>2720</v>
      </c>
      <c r="H81" s="381" t="s">
        <v>2720</v>
      </c>
      <c r="I81" s="382" t="s">
        <v>2720</v>
      </c>
      <c r="J81" s="381" t="s">
        <v>2720</v>
      </c>
      <c r="K81" s="382" t="s">
        <v>2720</v>
      </c>
      <c r="L81" s="381" t="s">
        <v>2720</v>
      </c>
      <c r="M81" s="382" t="s">
        <v>2720</v>
      </c>
      <c r="N81" s="381" t="s">
        <v>2720</v>
      </c>
      <c r="O81" s="382" t="s">
        <v>2720</v>
      </c>
      <c r="P81" s="381" t="s">
        <v>2720</v>
      </c>
      <c r="Q81" s="382" t="s">
        <v>2720</v>
      </c>
      <c r="R81" s="381" t="s">
        <v>2720</v>
      </c>
      <c r="S81" s="382" t="s">
        <v>2720</v>
      </c>
      <c r="T81" s="381" t="s">
        <v>2720</v>
      </c>
      <c r="U81" s="382" t="s">
        <v>2720</v>
      </c>
      <c r="V81" s="381" t="s">
        <v>2720</v>
      </c>
      <c r="W81" s="382" t="s">
        <v>2720</v>
      </c>
      <c r="X81" s="383" t="s">
        <v>2720</v>
      </c>
      <c r="Y81" s="384"/>
      <c r="Z81" s="385" t="s">
        <v>2720</v>
      </c>
      <c r="AA81" s="386" t="s">
        <v>2720</v>
      </c>
      <c r="AB81" s="385" t="s">
        <v>2720</v>
      </c>
      <c r="AC81" s="386" t="s">
        <v>2720</v>
      </c>
      <c r="AD81" s="385" t="s">
        <v>2720</v>
      </c>
      <c r="AE81" s="386" t="s">
        <v>2720</v>
      </c>
      <c r="AF81" s="385" t="s">
        <v>2720</v>
      </c>
      <c r="AG81" s="386" t="s">
        <v>2720</v>
      </c>
      <c r="AH81" s="385" t="s">
        <v>2720</v>
      </c>
      <c r="AI81" s="386" t="s">
        <v>2720</v>
      </c>
      <c r="AJ81" s="385" t="s">
        <v>2720</v>
      </c>
      <c r="AK81" s="386" t="s">
        <v>2720</v>
      </c>
      <c r="AL81" s="385" t="s">
        <v>2720</v>
      </c>
      <c r="AM81" s="387" t="s">
        <v>2720</v>
      </c>
      <c r="AN81" s="385" t="s">
        <v>2720</v>
      </c>
      <c r="AO81" s="386" t="s">
        <v>2720</v>
      </c>
      <c r="AP81" s="385" t="s">
        <v>2720</v>
      </c>
      <c r="AQ81" s="387" t="s">
        <v>2720</v>
      </c>
      <c r="AR81" s="385" t="s">
        <v>2720</v>
      </c>
      <c r="AS81" s="387" t="s">
        <v>2720</v>
      </c>
      <c r="AT81" s="385" t="s">
        <v>2720</v>
      </c>
      <c r="AU81" s="387" t="s">
        <v>2720</v>
      </c>
      <c r="AV81" s="385" t="s">
        <v>2720</v>
      </c>
      <c r="AW81" s="387" t="s">
        <v>2720</v>
      </c>
      <c r="AX81" s="385" t="s">
        <v>2720</v>
      </c>
      <c r="AY81" s="384"/>
      <c r="AZ81" s="385" t="s">
        <v>2720</v>
      </c>
      <c r="BA81" s="384"/>
      <c r="BB81" s="388" t="s">
        <v>2720</v>
      </c>
      <c r="BC81" s="389" t="s">
        <v>2720</v>
      </c>
      <c r="BD81" s="390" t="s">
        <v>2720</v>
      </c>
      <c r="BE81" s="391" t="s">
        <v>2720</v>
      </c>
      <c r="BF81" s="390" t="s">
        <v>2720</v>
      </c>
      <c r="BG81" s="392"/>
      <c r="BH81" s="393" t="s">
        <v>2720</v>
      </c>
      <c r="BI81" s="394" t="s">
        <v>2720</v>
      </c>
      <c r="BJ81" s="395" t="s">
        <v>2720</v>
      </c>
      <c r="BK81" s="395" t="s">
        <v>2720</v>
      </c>
      <c r="BL81" s="395" t="s">
        <v>2720</v>
      </c>
      <c r="BM81" s="396" t="s">
        <v>2720</v>
      </c>
      <c r="BN81" s="397" t="s">
        <v>2720</v>
      </c>
      <c r="BO81" s="54" t="s">
        <v>2720</v>
      </c>
      <c r="BP81" s="397" t="s">
        <v>2720</v>
      </c>
      <c r="BQ81" s="54" t="s">
        <v>2720</v>
      </c>
      <c r="BR81" s="398" t="s">
        <v>2720</v>
      </c>
      <c r="BS81" s="399"/>
      <c r="BT81" s="400" t="s">
        <v>2720</v>
      </c>
      <c r="BU81" s="401" t="s">
        <v>2720</v>
      </c>
      <c r="BV81" s="401" t="s">
        <v>2720</v>
      </c>
      <c r="BW81" s="401" t="s">
        <v>2720</v>
      </c>
      <c r="BX81" s="402" t="s">
        <v>2720</v>
      </c>
      <c r="BY81" s="402" t="s">
        <v>2720</v>
      </c>
      <c r="BZ81" s="401" t="s">
        <v>2720</v>
      </c>
      <c r="CA81" s="401" t="s">
        <v>2720</v>
      </c>
      <c r="CB81" s="401" t="s">
        <v>2720</v>
      </c>
      <c r="CC81" s="401" t="s">
        <v>2720</v>
      </c>
      <c r="CD81" s="401" t="s">
        <v>2720</v>
      </c>
      <c r="CE81" s="401" t="s">
        <v>2720</v>
      </c>
      <c r="CF81" s="401" t="s">
        <v>2720</v>
      </c>
      <c r="CG81" s="401" t="s">
        <v>2720</v>
      </c>
      <c r="CH81" s="401" t="s">
        <v>2720</v>
      </c>
      <c r="CI81" s="401" t="s">
        <v>2720</v>
      </c>
      <c r="CJ81" s="401" t="s">
        <v>2720</v>
      </c>
      <c r="CK81" s="401" t="s">
        <v>2720</v>
      </c>
      <c r="CL81" s="401" t="s">
        <v>2720</v>
      </c>
      <c r="CM81" s="402" t="s">
        <v>2720</v>
      </c>
      <c r="CN81" s="401" t="s">
        <v>2720</v>
      </c>
      <c r="CO81" s="401" t="s">
        <v>2720</v>
      </c>
      <c r="CP81" s="401" t="s">
        <v>2720</v>
      </c>
      <c r="CQ81" s="290" t="s">
        <v>2720</v>
      </c>
      <c r="CR81" s="401" t="s">
        <v>2720</v>
      </c>
      <c r="CS81" s="401" t="s">
        <v>2720</v>
      </c>
      <c r="CT81" s="401" t="s">
        <v>2720</v>
      </c>
      <c r="CU81" s="401" t="s">
        <v>2720</v>
      </c>
      <c r="CV81" s="401" t="s">
        <v>2720</v>
      </c>
      <c r="CW81" s="401" t="s">
        <v>2720</v>
      </c>
      <c r="CX81" s="401" t="s">
        <v>2720</v>
      </c>
      <c r="CY81" s="401" t="s">
        <v>2720</v>
      </c>
      <c r="CZ81" s="401" t="s">
        <v>2720</v>
      </c>
      <c r="DA81" s="401" t="s">
        <v>2720</v>
      </c>
      <c r="DB81" s="401" t="s">
        <v>2720</v>
      </c>
      <c r="DC81" s="401" t="s">
        <v>2720</v>
      </c>
      <c r="DD81" s="401" t="s">
        <v>2720</v>
      </c>
      <c r="DE81" s="401" t="s">
        <v>2720</v>
      </c>
      <c r="DF81" s="401" t="s">
        <v>2720</v>
      </c>
      <c r="DG81" s="401" t="s">
        <v>2720</v>
      </c>
      <c r="DH81" s="401" t="s">
        <v>2720</v>
      </c>
      <c r="DI81" s="401" t="s">
        <v>2720</v>
      </c>
      <c r="DJ81" s="401" t="s">
        <v>2720</v>
      </c>
      <c r="DK81" s="401" t="s">
        <v>2720</v>
      </c>
      <c r="DL81" s="401" t="s">
        <v>2720</v>
      </c>
      <c r="DM81" s="401" t="s">
        <v>2720</v>
      </c>
      <c r="DN81" s="401" t="s">
        <v>2720</v>
      </c>
      <c r="DO81" s="403" t="s">
        <v>2720</v>
      </c>
      <c r="DP81" s="404" t="s">
        <v>2720</v>
      </c>
      <c r="DQ81" s="405" t="s">
        <v>2720</v>
      </c>
      <c r="DR81" s="405" t="s">
        <v>2720</v>
      </c>
      <c r="DS81" s="405" t="s">
        <v>2720</v>
      </c>
      <c r="DT81" s="405" t="s">
        <v>2720</v>
      </c>
      <c r="DU81" s="405" t="s">
        <v>2720</v>
      </c>
      <c r="DV81" s="405" t="s">
        <v>2720</v>
      </c>
      <c r="DW81" s="405" t="s">
        <v>2720</v>
      </c>
      <c r="DX81" s="405" t="s">
        <v>2720</v>
      </c>
      <c r="DY81" s="405" t="s">
        <v>2720</v>
      </c>
      <c r="DZ81" s="405" t="s">
        <v>2720</v>
      </c>
      <c r="EA81" s="405" t="s">
        <v>2720</v>
      </c>
      <c r="EB81" s="405" t="s">
        <v>2720</v>
      </c>
      <c r="EC81" s="405" t="s">
        <v>2720</v>
      </c>
      <c r="ED81" s="405" t="s">
        <v>2720</v>
      </c>
      <c r="EE81" s="405" t="s">
        <v>2720</v>
      </c>
      <c r="EF81" s="405" t="s">
        <v>2720</v>
      </c>
      <c r="EG81" s="405" t="s">
        <v>2720</v>
      </c>
      <c r="EH81" s="405" t="s">
        <v>2720</v>
      </c>
      <c r="EI81" s="405" t="s">
        <v>2720</v>
      </c>
      <c r="EJ81" s="405" t="s">
        <v>2720</v>
      </c>
      <c r="EK81" s="405" t="s">
        <v>2720</v>
      </c>
      <c r="EL81" s="405" t="s">
        <v>2720</v>
      </c>
      <c r="EM81" s="406" t="s">
        <v>2720</v>
      </c>
      <c r="EN81" s="405" t="s">
        <v>2720</v>
      </c>
      <c r="EO81" s="405" t="s">
        <v>2720</v>
      </c>
      <c r="EP81" s="405" t="s">
        <v>2720</v>
      </c>
      <c r="EQ81" s="405" t="s">
        <v>2720</v>
      </c>
      <c r="ER81" s="405" t="s">
        <v>2720</v>
      </c>
      <c r="ES81" s="405" t="s">
        <v>2720</v>
      </c>
      <c r="ET81" s="405" t="s">
        <v>2720</v>
      </c>
      <c r="EU81" s="405" t="s">
        <v>2720</v>
      </c>
      <c r="EV81" s="405" t="s">
        <v>2720</v>
      </c>
      <c r="EW81" s="405" t="s">
        <v>2720</v>
      </c>
      <c r="EX81" s="405" t="s">
        <v>2720</v>
      </c>
      <c r="EY81" s="405" t="s">
        <v>2720</v>
      </c>
      <c r="EZ81" s="405" t="s">
        <v>2720</v>
      </c>
      <c r="FA81" s="405" t="s">
        <v>2720</v>
      </c>
      <c r="FB81" s="405" t="s">
        <v>2720</v>
      </c>
      <c r="FC81" s="405" t="s">
        <v>2720</v>
      </c>
      <c r="FD81" s="405" t="s">
        <v>2720</v>
      </c>
      <c r="FE81" s="405" t="s">
        <v>2720</v>
      </c>
      <c r="FF81" s="405" t="s">
        <v>2720</v>
      </c>
      <c r="FG81" s="405" t="s">
        <v>2720</v>
      </c>
      <c r="FH81" s="405" t="s">
        <v>2720</v>
      </c>
      <c r="FI81" s="405" t="s">
        <v>2720</v>
      </c>
      <c r="FJ81" s="405" t="s">
        <v>2720</v>
      </c>
      <c r="FK81" s="407" t="s">
        <v>2720</v>
      </c>
      <c r="FM81" s="408"/>
    </row>
    <row r="82" spans="1:169" hidden="1">
      <c r="A82" s="150" t="s">
        <v>2720</v>
      </c>
      <c r="B82" s="375" t="s">
        <v>2720</v>
      </c>
      <c r="C82" s="376" t="s">
        <v>2720</v>
      </c>
      <c r="D82" s="377" t="s">
        <v>2720</v>
      </c>
      <c r="E82" s="378"/>
      <c r="F82" s="379" t="s">
        <v>2720</v>
      </c>
      <c r="G82" s="380" t="s">
        <v>2720</v>
      </c>
      <c r="H82" s="381" t="s">
        <v>2720</v>
      </c>
      <c r="I82" s="382" t="s">
        <v>2720</v>
      </c>
      <c r="J82" s="381" t="s">
        <v>2720</v>
      </c>
      <c r="K82" s="382" t="s">
        <v>2720</v>
      </c>
      <c r="L82" s="381" t="s">
        <v>2720</v>
      </c>
      <c r="M82" s="382" t="s">
        <v>2720</v>
      </c>
      <c r="N82" s="381" t="s">
        <v>2720</v>
      </c>
      <c r="O82" s="382" t="s">
        <v>2720</v>
      </c>
      <c r="P82" s="381" t="s">
        <v>2720</v>
      </c>
      <c r="Q82" s="382" t="s">
        <v>2720</v>
      </c>
      <c r="R82" s="381" t="s">
        <v>2720</v>
      </c>
      <c r="S82" s="382" t="s">
        <v>2720</v>
      </c>
      <c r="T82" s="381" t="s">
        <v>2720</v>
      </c>
      <c r="U82" s="382" t="s">
        <v>2720</v>
      </c>
      <c r="V82" s="381" t="s">
        <v>2720</v>
      </c>
      <c r="W82" s="382" t="s">
        <v>2720</v>
      </c>
      <c r="X82" s="383" t="s">
        <v>2720</v>
      </c>
      <c r="Y82" s="384"/>
      <c r="Z82" s="385" t="s">
        <v>2720</v>
      </c>
      <c r="AA82" s="386" t="s">
        <v>2720</v>
      </c>
      <c r="AB82" s="385" t="s">
        <v>2720</v>
      </c>
      <c r="AC82" s="386" t="s">
        <v>2720</v>
      </c>
      <c r="AD82" s="385" t="s">
        <v>2720</v>
      </c>
      <c r="AE82" s="386" t="s">
        <v>2720</v>
      </c>
      <c r="AF82" s="385" t="s">
        <v>2720</v>
      </c>
      <c r="AG82" s="386" t="s">
        <v>2720</v>
      </c>
      <c r="AH82" s="385" t="s">
        <v>2720</v>
      </c>
      <c r="AI82" s="386" t="s">
        <v>2720</v>
      </c>
      <c r="AJ82" s="385" t="s">
        <v>2720</v>
      </c>
      <c r="AK82" s="386" t="s">
        <v>2720</v>
      </c>
      <c r="AL82" s="385" t="s">
        <v>2720</v>
      </c>
      <c r="AM82" s="387" t="s">
        <v>2720</v>
      </c>
      <c r="AN82" s="385" t="s">
        <v>2720</v>
      </c>
      <c r="AO82" s="386" t="s">
        <v>2720</v>
      </c>
      <c r="AP82" s="385" t="s">
        <v>2720</v>
      </c>
      <c r="AQ82" s="387" t="s">
        <v>2720</v>
      </c>
      <c r="AR82" s="385" t="s">
        <v>2720</v>
      </c>
      <c r="AS82" s="387" t="s">
        <v>2720</v>
      </c>
      <c r="AT82" s="385" t="s">
        <v>2720</v>
      </c>
      <c r="AU82" s="387" t="s">
        <v>2720</v>
      </c>
      <c r="AV82" s="385" t="s">
        <v>2720</v>
      </c>
      <c r="AW82" s="387" t="s">
        <v>2720</v>
      </c>
      <c r="AX82" s="385" t="s">
        <v>2720</v>
      </c>
      <c r="AY82" s="384"/>
      <c r="AZ82" s="385" t="s">
        <v>2720</v>
      </c>
      <c r="BA82" s="384"/>
      <c r="BB82" s="388" t="s">
        <v>2720</v>
      </c>
      <c r="BC82" s="389" t="s">
        <v>2720</v>
      </c>
      <c r="BD82" s="390" t="s">
        <v>2720</v>
      </c>
      <c r="BE82" s="391" t="s">
        <v>2720</v>
      </c>
      <c r="BF82" s="390" t="s">
        <v>2720</v>
      </c>
      <c r="BG82" s="392"/>
      <c r="BH82" s="393" t="s">
        <v>2720</v>
      </c>
      <c r="BI82" s="394" t="s">
        <v>2720</v>
      </c>
      <c r="BJ82" s="395" t="s">
        <v>2720</v>
      </c>
      <c r="BK82" s="395" t="s">
        <v>2720</v>
      </c>
      <c r="BL82" s="395" t="s">
        <v>2720</v>
      </c>
      <c r="BM82" s="396" t="s">
        <v>2720</v>
      </c>
      <c r="BN82" s="397" t="s">
        <v>2720</v>
      </c>
      <c r="BO82" s="54" t="s">
        <v>2720</v>
      </c>
      <c r="BP82" s="397" t="s">
        <v>2720</v>
      </c>
      <c r="BQ82" s="54" t="s">
        <v>2720</v>
      </c>
      <c r="BR82" s="398" t="s">
        <v>2720</v>
      </c>
      <c r="BS82" s="399"/>
      <c r="BT82" s="400" t="s">
        <v>2720</v>
      </c>
      <c r="BU82" s="401" t="s">
        <v>2720</v>
      </c>
      <c r="BV82" s="401" t="s">
        <v>2720</v>
      </c>
      <c r="BW82" s="401" t="s">
        <v>2720</v>
      </c>
      <c r="BX82" s="402" t="s">
        <v>2720</v>
      </c>
      <c r="BY82" s="402" t="s">
        <v>2720</v>
      </c>
      <c r="BZ82" s="401" t="s">
        <v>2720</v>
      </c>
      <c r="CA82" s="401" t="s">
        <v>2720</v>
      </c>
      <c r="CB82" s="401" t="s">
        <v>2720</v>
      </c>
      <c r="CC82" s="401" t="s">
        <v>2720</v>
      </c>
      <c r="CD82" s="401" t="s">
        <v>2720</v>
      </c>
      <c r="CE82" s="401" t="s">
        <v>2720</v>
      </c>
      <c r="CF82" s="401" t="s">
        <v>2720</v>
      </c>
      <c r="CG82" s="401" t="s">
        <v>2720</v>
      </c>
      <c r="CH82" s="401" t="s">
        <v>2720</v>
      </c>
      <c r="CI82" s="401" t="s">
        <v>2720</v>
      </c>
      <c r="CJ82" s="401" t="s">
        <v>2720</v>
      </c>
      <c r="CK82" s="401" t="s">
        <v>2720</v>
      </c>
      <c r="CL82" s="401" t="s">
        <v>2720</v>
      </c>
      <c r="CM82" s="402" t="s">
        <v>2720</v>
      </c>
      <c r="CN82" s="401" t="s">
        <v>2720</v>
      </c>
      <c r="CO82" s="401" t="s">
        <v>2720</v>
      </c>
      <c r="CP82" s="401" t="s">
        <v>2720</v>
      </c>
      <c r="CQ82" s="290" t="s">
        <v>2720</v>
      </c>
      <c r="CR82" s="401" t="s">
        <v>2720</v>
      </c>
      <c r="CS82" s="401" t="s">
        <v>2720</v>
      </c>
      <c r="CT82" s="401" t="s">
        <v>2720</v>
      </c>
      <c r="CU82" s="401" t="s">
        <v>2720</v>
      </c>
      <c r="CV82" s="401" t="s">
        <v>2720</v>
      </c>
      <c r="CW82" s="401" t="s">
        <v>2720</v>
      </c>
      <c r="CX82" s="401" t="s">
        <v>2720</v>
      </c>
      <c r="CY82" s="401" t="s">
        <v>2720</v>
      </c>
      <c r="CZ82" s="401" t="s">
        <v>2720</v>
      </c>
      <c r="DA82" s="401" t="s">
        <v>2720</v>
      </c>
      <c r="DB82" s="401" t="s">
        <v>2720</v>
      </c>
      <c r="DC82" s="401" t="s">
        <v>2720</v>
      </c>
      <c r="DD82" s="401" t="s">
        <v>2720</v>
      </c>
      <c r="DE82" s="401" t="s">
        <v>2720</v>
      </c>
      <c r="DF82" s="401" t="s">
        <v>2720</v>
      </c>
      <c r="DG82" s="401" t="s">
        <v>2720</v>
      </c>
      <c r="DH82" s="401" t="s">
        <v>2720</v>
      </c>
      <c r="DI82" s="401" t="s">
        <v>2720</v>
      </c>
      <c r="DJ82" s="401" t="s">
        <v>2720</v>
      </c>
      <c r="DK82" s="401" t="s">
        <v>2720</v>
      </c>
      <c r="DL82" s="401" t="s">
        <v>2720</v>
      </c>
      <c r="DM82" s="401" t="s">
        <v>2720</v>
      </c>
      <c r="DN82" s="401" t="s">
        <v>2720</v>
      </c>
      <c r="DO82" s="403" t="s">
        <v>2720</v>
      </c>
      <c r="DP82" s="404" t="s">
        <v>2720</v>
      </c>
      <c r="DQ82" s="405" t="s">
        <v>2720</v>
      </c>
      <c r="DR82" s="405" t="s">
        <v>2720</v>
      </c>
      <c r="DS82" s="405" t="s">
        <v>2720</v>
      </c>
      <c r="DT82" s="405" t="s">
        <v>2720</v>
      </c>
      <c r="DU82" s="405" t="s">
        <v>2720</v>
      </c>
      <c r="DV82" s="405" t="s">
        <v>2720</v>
      </c>
      <c r="DW82" s="405" t="s">
        <v>2720</v>
      </c>
      <c r="DX82" s="405" t="s">
        <v>2720</v>
      </c>
      <c r="DY82" s="405" t="s">
        <v>2720</v>
      </c>
      <c r="DZ82" s="405" t="s">
        <v>2720</v>
      </c>
      <c r="EA82" s="405" t="s">
        <v>2720</v>
      </c>
      <c r="EB82" s="405" t="s">
        <v>2720</v>
      </c>
      <c r="EC82" s="405" t="s">
        <v>2720</v>
      </c>
      <c r="ED82" s="405" t="s">
        <v>2720</v>
      </c>
      <c r="EE82" s="405" t="s">
        <v>2720</v>
      </c>
      <c r="EF82" s="405" t="s">
        <v>2720</v>
      </c>
      <c r="EG82" s="405" t="s">
        <v>2720</v>
      </c>
      <c r="EH82" s="405" t="s">
        <v>2720</v>
      </c>
      <c r="EI82" s="405" t="s">
        <v>2720</v>
      </c>
      <c r="EJ82" s="405" t="s">
        <v>2720</v>
      </c>
      <c r="EK82" s="405" t="s">
        <v>2720</v>
      </c>
      <c r="EL82" s="405" t="s">
        <v>2720</v>
      </c>
      <c r="EM82" s="406" t="s">
        <v>2720</v>
      </c>
      <c r="EN82" s="405" t="s">
        <v>2720</v>
      </c>
      <c r="EO82" s="405" t="s">
        <v>2720</v>
      </c>
      <c r="EP82" s="405" t="s">
        <v>2720</v>
      </c>
      <c r="EQ82" s="405" t="s">
        <v>2720</v>
      </c>
      <c r="ER82" s="405" t="s">
        <v>2720</v>
      </c>
      <c r="ES82" s="405" t="s">
        <v>2720</v>
      </c>
      <c r="ET82" s="405" t="s">
        <v>2720</v>
      </c>
      <c r="EU82" s="405" t="s">
        <v>2720</v>
      </c>
      <c r="EV82" s="405" t="s">
        <v>2720</v>
      </c>
      <c r="EW82" s="405" t="s">
        <v>2720</v>
      </c>
      <c r="EX82" s="405" t="s">
        <v>2720</v>
      </c>
      <c r="EY82" s="405" t="s">
        <v>2720</v>
      </c>
      <c r="EZ82" s="405" t="s">
        <v>2720</v>
      </c>
      <c r="FA82" s="405" t="s">
        <v>2720</v>
      </c>
      <c r="FB82" s="405" t="s">
        <v>2720</v>
      </c>
      <c r="FC82" s="405" t="s">
        <v>2720</v>
      </c>
      <c r="FD82" s="405" t="s">
        <v>2720</v>
      </c>
      <c r="FE82" s="405" t="s">
        <v>2720</v>
      </c>
      <c r="FF82" s="405" t="s">
        <v>2720</v>
      </c>
      <c r="FG82" s="405" t="s">
        <v>2720</v>
      </c>
      <c r="FH82" s="405" t="s">
        <v>2720</v>
      </c>
      <c r="FI82" s="405" t="s">
        <v>2720</v>
      </c>
      <c r="FJ82" s="405" t="s">
        <v>2720</v>
      </c>
      <c r="FK82" s="407" t="s">
        <v>2720</v>
      </c>
      <c r="FM82" s="408"/>
    </row>
    <row r="83" spans="1:169" hidden="1">
      <c r="A83" s="150" t="s">
        <v>2720</v>
      </c>
      <c r="B83" s="375" t="s">
        <v>2720</v>
      </c>
      <c r="C83" s="376" t="s">
        <v>2720</v>
      </c>
      <c r="D83" s="377" t="s">
        <v>2720</v>
      </c>
      <c r="E83" s="378"/>
      <c r="F83" s="379" t="s">
        <v>2720</v>
      </c>
      <c r="G83" s="380" t="s">
        <v>2720</v>
      </c>
      <c r="H83" s="381" t="s">
        <v>2720</v>
      </c>
      <c r="I83" s="382" t="s">
        <v>2720</v>
      </c>
      <c r="J83" s="381" t="s">
        <v>2720</v>
      </c>
      <c r="K83" s="382" t="s">
        <v>2720</v>
      </c>
      <c r="L83" s="381" t="s">
        <v>2720</v>
      </c>
      <c r="M83" s="382" t="s">
        <v>2720</v>
      </c>
      <c r="N83" s="381" t="s">
        <v>2720</v>
      </c>
      <c r="O83" s="382" t="s">
        <v>2720</v>
      </c>
      <c r="P83" s="381" t="s">
        <v>2720</v>
      </c>
      <c r="Q83" s="382" t="s">
        <v>2720</v>
      </c>
      <c r="R83" s="381" t="s">
        <v>2720</v>
      </c>
      <c r="S83" s="382" t="s">
        <v>2720</v>
      </c>
      <c r="T83" s="381" t="s">
        <v>2720</v>
      </c>
      <c r="U83" s="382" t="s">
        <v>2720</v>
      </c>
      <c r="V83" s="381" t="s">
        <v>2720</v>
      </c>
      <c r="W83" s="382" t="s">
        <v>2720</v>
      </c>
      <c r="X83" s="383" t="s">
        <v>2720</v>
      </c>
      <c r="Y83" s="384"/>
      <c r="Z83" s="385" t="s">
        <v>2720</v>
      </c>
      <c r="AA83" s="386" t="s">
        <v>2720</v>
      </c>
      <c r="AB83" s="385" t="s">
        <v>2720</v>
      </c>
      <c r="AC83" s="386" t="s">
        <v>2720</v>
      </c>
      <c r="AD83" s="385" t="s">
        <v>2720</v>
      </c>
      <c r="AE83" s="386" t="s">
        <v>2720</v>
      </c>
      <c r="AF83" s="385" t="s">
        <v>2720</v>
      </c>
      <c r="AG83" s="386" t="s">
        <v>2720</v>
      </c>
      <c r="AH83" s="385" t="s">
        <v>2720</v>
      </c>
      <c r="AI83" s="386" t="s">
        <v>2720</v>
      </c>
      <c r="AJ83" s="385" t="s">
        <v>2720</v>
      </c>
      <c r="AK83" s="386" t="s">
        <v>2720</v>
      </c>
      <c r="AL83" s="385" t="s">
        <v>2720</v>
      </c>
      <c r="AM83" s="387" t="s">
        <v>2720</v>
      </c>
      <c r="AN83" s="385" t="s">
        <v>2720</v>
      </c>
      <c r="AO83" s="386" t="s">
        <v>2720</v>
      </c>
      <c r="AP83" s="385" t="s">
        <v>2720</v>
      </c>
      <c r="AQ83" s="387" t="s">
        <v>2720</v>
      </c>
      <c r="AR83" s="385" t="s">
        <v>2720</v>
      </c>
      <c r="AS83" s="387" t="s">
        <v>2720</v>
      </c>
      <c r="AT83" s="385" t="s">
        <v>2720</v>
      </c>
      <c r="AU83" s="387" t="s">
        <v>2720</v>
      </c>
      <c r="AV83" s="385" t="s">
        <v>2720</v>
      </c>
      <c r="AW83" s="387" t="s">
        <v>2720</v>
      </c>
      <c r="AX83" s="385" t="s">
        <v>2720</v>
      </c>
      <c r="AY83" s="384"/>
      <c r="AZ83" s="385" t="s">
        <v>2720</v>
      </c>
      <c r="BA83" s="384"/>
      <c r="BB83" s="388" t="s">
        <v>2720</v>
      </c>
      <c r="BC83" s="389" t="s">
        <v>2720</v>
      </c>
      <c r="BD83" s="390" t="s">
        <v>2720</v>
      </c>
      <c r="BE83" s="391" t="s">
        <v>2720</v>
      </c>
      <c r="BF83" s="390" t="s">
        <v>2720</v>
      </c>
      <c r="BG83" s="392"/>
      <c r="BH83" s="393" t="s">
        <v>2720</v>
      </c>
      <c r="BI83" s="394" t="s">
        <v>2720</v>
      </c>
      <c r="BJ83" s="395" t="s">
        <v>2720</v>
      </c>
      <c r="BK83" s="395" t="s">
        <v>2720</v>
      </c>
      <c r="BL83" s="395" t="s">
        <v>2720</v>
      </c>
      <c r="BM83" s="396" t="s">
        <v>2720</v>
      </c>
      <c r="BN83" s="397" t="s">
        <v>2720</v>
      </c>
      <c r="BO83" s="54" t="s">
        <v>2720</v>
      </c>
      <c r="BP83" s="397" t="s">
        <v>2720</v>
      </c>
      <c r="BQ83" s="54" t="s">
        <v>2720</v>
      </c>
      <c r="BR83" s="398" t="s">
        <v>2720</v>
      </c>
      <c r="BS83" s="399"/>
      <c r="BT83" s="400" t="s">
        <v>2720</v>
      </c>
      <c r="BU83" s="401" t="s">
        <v>2720</v>
      </c>
      <c r="BV83" s="401" t="s">
        <v>2720</v>
      </c>
      <c r="BW83" s="401" t="s">
        <v>2720</v>
      </c>
      <c r="BX83" s="402" t="s">
        <v>2720</v>
      </c>
      <c r="BY83" s="402" t="s">
        <v>2720</v>
      </c>
      <c r="BZ83" s="401" t="s">
        <v>2720</v>
      </c>
      <c r="CA83" s="401" t="s">
        <v>2720</v>
      </c>
      <c r="CB83" s="401" t="s">
        <v>2720</v>
      </c>
      <c r="CC83" s="401" t="s">
        <v>2720</v>
      </c>
      <c r="CD83" s="401" t="s">
        <v>2720</v>
      </c>
      <c r="CE83" s="401" t="s">
        <v>2720</v>
      </c>
      <c r="CF83" s="401" t="s">
        <v>2720</v>
      </c>
      <c r="CG83" s="401" t="s">
        <v>2720</v>
      </c>
      <c r="CH83" s="401" t="s">
        <v>2720</v>
      </c>
      <c r="CI83" s="401" t="s">
        <v>2720</v>
      </c>
      <c r="CJ83" s="401" t="s">
        <v>2720</v>
      </c>
      <c r="CK83" s="401" t="s">
        <v>2720</v>
      </c>
      <c r="CL83" s="401" t="s">
        <v>2720</v>
      </c>
      <c r="CM83" s="402" t="s">
        <v>2720</v>
      </c>
      <c r="CN83" s="401" t="s">
        <v>2720</v>
      </c>
      <c r="CO83" s="401" t="s">
        <v>2720</v>
      </c>
      <c r="CP83" s="401" t="s">
        <v>2720</v>
      </c>
      <c r="CQ83" s="290" t="s">
        <v>2720</v>
      </c>
      <c r="CR83" s="401" t="s">
        <v>2720</v>
      </c>
      <c r="CS83" s="401" t="s">
        <v>2720</v>
      </c>
      <c r="CT83" s="401" t="s">
        <v>2720</v>
      </c>
      <c r="CU83" s="401" t="s">
        <v>2720</v>
      </c>
      <c r="CV83" s="401" t="s">
        <v>2720</v>
      </c>
      <c r="CW83" s="401" t="s">
        <v>2720</v>
      </c>
      <c r="CX83" s="401" t="s">
        <v>2720</v>
      </c>
      <c r="CY83" s="401" t="s">
        <v>2720</v>
      </c>
      <c r="CZ83" s="401" t="s">
        <v>2720</v>
      </c>
      <c r="DA83" s="401" t="s">
        <v>2720</v>
      </c>
      <c r="DB83" s="401" t="s">
        <v>2720</v>
      </c>
      <c r="DC83" s="401" t="s">
        <v>2720</v>
      </c>
      <c r="DD83" s="401" t="s">
        <v>2720</v>
      </c>
      <c r="DE83" s="401" t="s">
        <v>2720</v>
      </c>
      <c r="DF83" s="401" t="s">
        <v>2720</v>
      </c>
      <c r="DG83" s="401" t="s">
        <v>2720</v>
      </c>
      <c r="DH83" s="401" t="s">
        <v>2720</v>
      </c>
      <c r="DI83" s="401" t="s">
        <v>2720</v>
      </c>
      <c r="DJ83" s="401" t="s">
        <v>2720</v>
      </c>
      <c r="DK83" s="401" t="s">
        <v>2720</v>
      </c>
      <c r="DL83" s="401" t="s">
        <v>2720</v>
      </c>
      <c r="DM83" s="401" t="s">
        <v>2720</v>
      </c>
      <c r="DN83" s="401" t="s">
        <v>2720</v>
      </c>
      <c r="DO83" s="403" t="s">
        <v>2720</v>
      </c>
      <c r="DP83" s="404" t="s">
        <v>2720</v>
      </c>
      <c r="DQ83" s="405" t="s">
        <v>2720</v>
      </c>
      <c r="DR83" s="405" t="s">
        <v>2720</v>
      </c>
      <c r="DS83" s="405" t="s">
        <v>2720</v>
      </c>
      <c r="DT83" s="405" t="s">
        <v>2720</v>
      </c>
      <c r="DU83" s="405" t="s">
        <v>2720</v>
      </c>
      <c r="DV83" s="405" t="s">
        <v>2720</v>
      </c>
      <c r="DW83" s="405" t="s">
        <v>2720</v>
      </c>
      <c r="DX83" s="405" t="s">
        <v>2720</v>
      </c>
      <c r="DY83" s="405" t="s">
        <v>2720</v>
      </c>
      <c r="DZ83" s="405" t="s">
        <v>2720</v>
      </c>
      <c r="EA83" s="405" t="s">
        <v>2720</v>
      </c>
      <c r="EB83" s="405" t="s">
        <v>2720</v>
      </c>
      <c r="EC83" s="405" t="s">
        <v>2720</v>
      </c>
      <c r="ED83" s="405" t="s">
        <v>2720</v>
      </c>
      <c r="EE83" s="405" t="s">
        <v>2720</v>
      </c>
      <c r="EF83" s="405" t="s">
        <v>2720</v>
      </c>
      <c r="EG83" s="405" t="s">
        <v>2720</v>
      </c>
      <c r="EH83" s="405" t="s">
        <v>2720</v>
      </c>
      <c r="EI83" s="405" t="s">
        <v>2720</v>
      </c>
      <c r="EJ83" s="405" t="s">
        <v>2720</v>
      </c>
      <c r="EK83" s="405" t="s">
        <v>2720</v>
      </c>
      <c r="EL83" s="405" t="s">
        <v>2720</v>
      </c>
      <c r="EM83" s="406" t="s">
        <v>2720</v>
      </c>
      <c r="EN83" s="405" t="s">
        <v>2720</v>
      </c>
      <c r="EO83" s="405" t="s">
        <v>2720</v>
      </c>
      <c r="EP83" s="405" t="s">
        <v>2720</v>
      </c>
      <c r="EQ83" s="405" t="s">
        <v>2720</v>
      </c>
      <c r="ER83" s="405" t="s">
        <v>2720</v>
      </c>
      <c r="ES83" s="405" t="s">
        <v>2720</v>
      </c>
      <c r="ET83" s="405" t="s">
        <v>2720</v>
      </c>
      <c r="EU83" s="405" t="s">
        <v>2720</v>
      </c>
      <c r="EV83" s="405" t="s">
        <v>2720</v>
      </c>
      <c r="EW83" s="405" t="s">
        <v>2720</v>
      </c>
      <c r="EX83" s="405" t="s">
        <v>2720</v>
      </c>
      <c r="EY83" s="405" t="s">
        <v>2720</v>
      </c>
      <c r="EZ83" s="405" t="s">
        <v>2720</v>
      </c>
      <c r="FA83" s="405" t="s">
        <v>2720</v>
      </c>
      <c r="FB83" s="405" t="s">
        <v>2720</v>
      </c>
      <c r="FC83" s="405" t="s">
        <v>2720</v>
      </c>
      <c r="FD83" s="405" t="s">
        <v>2720</v>
      </c>
      <c r="FE83" s="405" t="s">
        <v>2720</v>
      </c>
      <c r="FF83" s="405" t="s">
        <v>2720</v>
      </c>
      <c r="FG83" s="405" t="s">
        <v>2720</v>
      </c>
      <c r="FH83" s="405" t="s">
        <v>2720</v>
      </c>
      <c r="FI83" s="405" t="s">
        <v>2720</v>
      </c>
      <c r="FJ83" s="405" t="s">
        <v>2720</v>
      </c>
      <c r="FK83" s="407" t="s">
        <v>2720</v>
      </c>
      <c r="FM83" s="408"/>
    </row>
    <row r="84" spans="1:169" hidden="1">
      <c r="A84" s="150" t="s">
        <v>2720</v>
      </c>
      <c r="B84" s="375" t="s">
        <v>2720</v>
      </c>
      <c r="C84" s="376" t="s">
        <v>2720</v>
      </c>
      <c r="D84" s="377" t="s">
        <v>2720</v>
      </c>
      <c r="E84" s="378"/>
      <c r="F84" s="379" t="s">
        <v>2720</v>
      </c>
      <c r="G84" s="380" t="s">
        <v>2720</v>
      </c>
      <c r="H84" s="381" t="s">
        <v>2720</v>
      </c>
      <c r="I84" s="382" t="s">
        <v>2720</v>
      </c>
      <c r="J84" s="381" t="s">
        <v>2720</v>
      </c>
      <c r="K84" s="382" t="s">
        <v>2720</v>
      </c>
      <c r="L84" s="381" t="s">
        <v>2720</v>
      </c>
      <c r="M84" s="382" t="s">
        <v>2720</v>
      </c>
      <c r="N84" s="381" t="s">
        <v>2720</v>
      </c>
      <c r="O84" s="382" t="s">
        <v>2720</v>
      </c>
      <c r="P84" s="381" t="s">
        <v>2720</v>
      </c>
      <c r="Q84" s="382" t="s">
        <v>2720</v>
      </c>
      <c r="R84" s="381" t="s">
        <v>2720</v>
      </c>
      <c r="S84" s="382" t="s">
        <v>2720</v>
      </c>
      <c r="T84" s="381" t="s">
        <v>2720</v>
      </c>
      <c r="U84" s="382" t="s">
        <v>2720</v>
      </c>
      <c r="V84" s="381" t="s">
        <v>2720</v>
      </c>
      <c r="W84" s="382" t="s">
        <v>2720</v>
      </c>
      <c r="X84" s="383" t="s">
        <v>2720</v>
      </c>
      <c r="Y84" s="384"/>
      <c r="Z84" s="385" t="s">
        <v>2720</v>
      </c>
      <c r="AA84" s="386" t="s">
        <v>2720</v>
      </c>
      <c r="AB84" s="385" t="s">
        <v>2720</v>
      </c>
      <c r="AC84" s="386" t="s">
        <v>2720</v>
      </c>
      <c r="AD84" s="385" t="s">
        <v>2720</v>
      </c>
      <c r="AE84" s="386" t="s">
        <v>2720</v>
      </c>
      <c r="AF84" s="385" t="s">
        <v>2720</v>
      </c>
      <c r="AG84" s="386" t="s">
        <v>2720</v>
      </c>
      <c r="AH84" s="385" t="s">
        <v>2720</v>
      </c>
      <c r="AI84" s="386" t="s">
        <v>2720</v>
      </c>
      <c r="AJ84" s="385" t="s">
        <v>2720</v>
      </c>
      <c r="AK84" s="386" t="s">
        <v>2720</v>
      </c>
      <c r="AL84" s="385" t="s">
        <v>2720</v>
      </c>
      <c r="AM84" s="387" t="s">
        <v>2720</v>
      </c>
      <c r="AN84" s="385" t="s">
        <v>2720</v>
      </c>
      <c r="AO84" s="386" t="s">
        <v>2720</v>
      </c>
      <c r="AP84" s="385" t="s">
        <v>2720</v>
      </c>
      <c r="AQ84" s="387" t="s">
        <v>2720</v>
      </c>
      <c r="AR84" s="385" t="s">
        <v>2720</v>
      </c>
      <c r="AS84" s="387" t="s">
        <v>2720</v>
      </c>
      <c r="AT84" s="385" t="s">
        <v>2720</v>
      </c>
      <c r="AU84" s="387" t="s">
        <v>2720</v>
      </c>
      <c r="AV84" s="385" t="s">
        <v>2720</v>
      </c>
      <c r="AW84" s="387" t="s">
        <v>2720</v>
      </c>
      <c r="AX84" s="385" t="s">
        <v>2720</v>
      </c>
      <c r="AY84" s="384"/>
      <c r="AZ84" s="385" t="s">
        <v>2720</v>
      </c>
      <c r="BA84" s="384"/>
      <c r="BB84" s="388" t="s">
        <v>2720</v>
      </c>
      <c r="BC84" s="389" t="s">
        <v>2720</v>
      </c>
      <c r="BD84" s="390" t="s">
        <v>2720</v>
      </c>
      <c r="BE84" s="391" t="s">
        <v>2720</v>
      </c>
      <c r="BF84" s="390" t="s">
        <v>2720</v>
      </c>
      <c r="BG84" s="392"/>
      <c r="BH84" s="393" t="s">
        <v>2720</v>
      </c>
      <c r="BI84" s="394" t="s">
        <v>2720</v>
      </c>
      <c r="BJ84" s="395" t="s">
        <v>2720</v>
      </c>
      <c r="BK84" s="395" t="s">
        <v>2720</v>
      </c>
      <c r="BL84" s="395" t="s">
        <v>2720</v>
      </c>
      <c r="BM84" s="396" t="s">
        <v>2720</v>
      </c>
      <c r="BN84" s="397" t="s">
        <v>2720</v>
      </c>
      <c r="BO84" s="54" t="s">
        <v>2720</v>
      </c>
      <c r="BP84" s="397" t="s">
        <v>2720</v>
      </c>
      <c r="BQ84" s="54" t="s">
        <v>2720</v>
      </c>
      <c r="BR84" s="398" t="s">
        <v>2720</v>
      </c>
      <c r="BS84" s="399"/>
      <c r="BT84" s="400" t="s">
        <v>2720</v>
      </c>
      <c r="BU84" s="401" t="s">
        <v>2720</v>
      </c>
      <c r="BV84" s="401" t="s">
        <v>2720</v>
      </c>
      <c r="BW84" s="401" t="s">
        <v>2720</v>
      </c>
      <c r="BX84" s="402" t="s">
        <v>2720</v>
      </c>
      <c r="BY84" s="402" t="s">
        <v>2720</v>
      </c>
      <c r="BZ84" s="401" t="s">
        <v>2720</v>
      </c>
      <c r="CA84" s="401" t="s">
        <v>2720</v>
      </c>
      <c r="CB84" s="401" t="s">
        <v>2720</v>
      </c>
      <c r="CC84" s="401" t="s">
        <v>2720</v>
      </c>
      <c r="CD84" s="401" t="s">
        <v>2720</v>
      </c>
      <c r="CE84" s="401" t="s">
        <v>2720</v>
      </c>
      <c r="CF84" s="401" t="s">
        <v>2720</v>
      </c>
      <c r="CG84" s="401" t="s">
        <v>2720</v>
      </c>
      <c r="CH84" s="401" t="s">
        <v>2720</v>
      </c>
      <c r="CI84" s="401" t="s">
        <v>2720</v>
      </c>
      <c r="CJ84" s="401" t="s">
        <v>2720</v>
      </c>
      <c r="CK84" s="401" t="s">
        <v>2720</v>
      </c>
      <c r="CL84" s="401" t="s">
        <v>2720</v>
      </c>
      <c r="CM84" s="402" t="s">
        <v>2720</v>
      </c>
      <c r="CN84" s="401" t="s">
        <v>2720</v>
      </c>
      <c r="CO84" s="401" t="s">
        <v>2720</v>
      </c>
      <c r="CP84" s="401" t="s">
        <v>2720</v>
      </c>
      <c r="CQ84" s="290" t="s">
        <v>2720</v>
      </c>
      <c r="CR84" s="401" t="s">
        <v>2720</v>
      </c>
      <c r="CS84" s="401" t="s">
        <v>2720</v>
      </c>
      <c r="CT84" s="401" t="s">
        <v>2720</v>
      </c>
      <c r="CU84" s="401" t="s">
        <v>2720</v>
      </c>
      <c r="CV84" s="401" t="s">
        <v>2720</v>
      </c>
      <c r="CW84" s="401" t="s">
        <v>2720</v>
      </c>
      <c r="CX84" s="401" t="s">
        <v>2720</v>
      </c>
      <c r="CY84" s="401" t="s">
        <v>2720</v>
      </c>
      <c r="CZ84" s="401" t="s">
        <v>2720</v>
      </c>
      <c r="DA84" s="401" t="s">
        <v>2720</v>
      </c>
      <c r="DB84" s="401" t="s">
        <v>2720</v>
      </c>
      <c r="DC84" s="401" t="s">
        <v>2720</v>
      </c>
      <c r="DD84" s="401" t="s">
        <v>2720</v>
      </c>
      <c r="DE84" s="401" t="s">
        <v>2720</v>
      </c>
      <c r="DF84" s="401" t="s">
        <v>2720</v>
      </c>
      <c r="DG84" s="401" t="s">
        <v>2720</v>
      </c>
      <c r="DH84" s="401" t="s">
        <v>2720</v>
      </c>
      <c r="DI84" s="401" t="s">
        <v>2720</v>
      </c>
      <c r="DJ84" s="401" t="s">
        <v>2720</v>
      </c>
      <c r="DK84" s="401" t="s">
        <v>2720</v>
      </c>
      <c r="DL84" s="401" t="s">
        <v>2720</v>
      </c>
      <c r="DM84" s="401" t="s">
        <v>2720</v>
      </c>
      <c r="DN84" s="401" t="s">
        <v>2720</v>
      </c>
      <c r="DO84" s="403" t="s">
        <v>2720</v>
      </c>
      <c r="DP84" s="404" t="s">
        <v>2720</v>
      </c>
      <c r="DQ84" s="405" t="s">
        <v>2720</v>
      </c>
      <c r="DR84" s="405" t="s">
        <v>2720</v>
      </c>
      <c r="DS84" s="405" t="s">
        <v>2720</v>
      </c>
      <c r="DT84" s="405" t="s">
        <v>2720</v>
      </c>
      <c r="DU84" s="405" t="s">
        <v>2720</v>
      </c>
      <c r="DV84" s="405" t="s">
        <v>2720</v>
      </c>
      <c r="DW84" s="405" t="s">
        <v>2720</v>
      </c>
      <c r="DX84" s="405" t="s">
        <v>2720</v>
      </c>
      <c r="DY84" s="405" t="s">
        <v>2720</v>
      </c>
      <c r="DZ84" s="405" t="s">
        <v>2720</v>
      </c>
      <c r="EA84" s="405" t="s">
        <v>2720</v>
      </c>
      <c r="EB84" s="405" t="s">
        <v>2720</v>
      </c>
      <c r="EC84" s="405" t="s">
        <v>2720</v>
      </c>
      <c r="ED84" s="405" t="s">
        <v>2720</v>
      </c>
      <c r="EE84" s="405" t="s">
        <v>2720</v>
      </c>
      <c r="EF84" s="405" t="s">
        <v>2720</v>
      </c>
      <c r="EG84" s="405" t="s">
        <v>2720</v>
      </c>
      <c r="EH84" s="405" t="s">
        <v>2720</v>
      </c>
      <c r="EI84" s="405" t="s">
        <v>2720</v>
      </c>
      <c r="EJ84" s="405" t="s">
        <v>2720</v>
      </c>
      <c r="EK84" s="405" t="s">
        <v>2720</v>
      </c>
      <c r="EL84" s="405" t="s">
        <v>2720</v>
      </c>
      <c r="EM84" s="406" t="s">
        <v>2720</v>
      </c>
      <c r="EN84" s="405" t="s">
        <v>2720</v>
      </c>
      <c r="EO84" s="405" t="s">
        <v>2720</v>
      </c>
      <c r="EP84" s="405" t="s">
        <v>2720</v>
      </c>
      <c r="EQ84" s="405" t="s">
        <v>2720</v>
      </c>
      <c r="ER84" s="405" t="s">
        <v>2720</v>
      </c>
      <c r="ES84" s="405" t="s">
        <v>2720</v>
      </c>
      <c r="ET84" s="405" t="s">
        <v>2720</v>
      </c>
      <c r="EU84" s="405" t="s">
        <v>2720</v>
      </c>
      <c r="EV84" s="405" t="s">
        <v>2720</v>
      </c>
      <c r="EW84" s="405" t="s">
        <v>2720</v>
      </c>
      <c r="EX84" s="405" t="s">
        <v>2720</v>
      </c>
      <c r="EY84" s="405" t="s">
        <v>2720</v>
      </c>
      <c r="EZ84" s="405" t="s">
        <v>2720</v>
      </c>
      <c r="FA84" s="405" t="s">
        <v>2720</v>
      </c>
      <c r="FB84" s="405" t="s">
        <v>2720</v>
      </c>
      <c r="FC84" s="405" t="s">
        <v>2720</v>
      </c>
      <c r="FD84" s="405" t="s">
        <v>2720</v>
      </c>
      <c r="FE84" s="405" t="s">
        <v>2720</v>
      </c>
      <c r="FF84" s="405" t="s">
        <v>2720</v>
      </c>
      <c r="FG84" s="405" t="s">
        <v>2720</v>
      </c>
      <c r="FH84" s="405" t="s">
        <v>2720</v>
      </c>
      <c r="FI84" s="405" t="s">
        <v>2720</v>
      </c>
      <c r="FJ84" s="405" t="s">
        <v>2720</v>
      </c>
      <c r="FK84" s="407" t="s">
        <v>2720</v>
      </c>
      <c r="FM84" s="408"/>
    </row>
    <row r="85" spans="1:169" ht="16.5" hidden="1" thickBot="1">
      <c r="A85" s="151" t="s">
        <v>2720</v>
      </c>
      <c r="B85" s="409" t="s">
        <v>2720</v>
      </c>
      <c r="C85" s="410" t="s">
        <v>2720</v>
      </c>
      <c r="D85" s="411" t="s">
        <v>2720</v>
      </c>
      <c r="E85" s="412"/>
      <c r="F85" s="413" t="s">
        <v>2720</v>
      </c>
      <c r="G85" s="414" t="s">
        <v>2720</v>
      </c>
      <c r="H85" s="381" t="s">
        <v>2720</v>
      </c>
      <c r="I85" s="382" t="s">
        <v>2720</v>
      </c>
      <c r="J85" s="381" t="s">
        <v>2720</v>
      </c>
      <c r="K85" s="382" t="s">
        <v>2720</v>
      </c>
      <c r="L85" s="381" t="s">
        <v>2720</v>
      </c>
      <c r="M85" s="382" t="s">
        <v>2720</v>
      </c>
      <c r="N85" s="381" t="s">
        <v>2720</v>
      </c>
      <c r="O85" s="382" t="s">
        <v>2720</v>
      </c>
      <c r="P85" s="381" t="s">
        <v>2720</v>
      </c>
      <c r="Q85" s="382" t="s">
        <v>2720</v>
      </c>
      <c r="R85" s="381" t="s">
        <v>2720</v>
      </c>
      <c r="S85" s="382" t="s">
        <v>2720</v>
      </c>
      <c r="T85" s="381" t="s">
        <v>2720</v>
      </c>
      <c r="U85" s="382" t="s">
        <v>2720</v>
      </c>
      <c r="V85" s="381" t="s">
        <v>2720</v>
      </c>
      <c r="W85" s="382" t="s">
        <v>2720</v>
      </c>
      <c r="X85" s="383" t="s">
        <v>2720</v>
      </c>
      <c r="Y85" s="415"/>
      <c r="Z85" s="385" t="s">
        <v>2720</v>
      </c>
      <c r="AA85" s="386" t="s">
        <v>2720</v>
      </c>
      <c r="AB85" s="385" t="s">
        <v>2720</v>
      </c>
      <c r="AC85" s="386" t="s">
        <v>2720</v>
      </c>
      <c r="AD85" s="385" t="s">
        <v>2720</v>
      </c>
      <c r="AE85" s="386" t="s">
        <v>2720</v>
      </c>
      <c r="AF85" s="385" t="s">
        <v>2720</v>
      </c>
      <c r="AG85" s="386" t="s">
        <v>2720</v>
      </c>
      <c r="AH85" s="385" t="s">
        <v>2720</v>
      </c>
      <c r="AI85" s="386" t="s">
        <v>2720</v>
      </c>
      <c r="AJ85" s="385" t="s">
        <v>2720</v>
      </c>
      <c r="AK85" s="386" t="s">
        <v>2720</v>
      </c>
      <c r="AL85" s="385" t="s">
        <v>2720</v>
      </c>
      <c r="AM85" s="387" t="s">
        <v>2720</v>
      </c>
      <c r="AN85" s="385" t="s">
        <v>2720</v>
      </c>
      <c r="AO85" s="386" t="s">
        <v>2720</v>
      </c>
      <c r="AP85" s="385" t="s">
        <v>2720</v>
      </c>
      <c r="AQ85" s="387" t="s">
        <v>2720</v>
      </c>
      <c r="AR85" s="385" t="s">
        <v>2720</v>
      </c>
      <c r="AS85" s="387" t="s">
        <v>2720</v>
      </c>
      <c r="AT85" s="385" t="s">
        <v>2720</v>
      </c>
      <c r="AU85" s="387" t="s">
        <v>2720</v>
      </c>
      <c r="AV85" s="385" t="s">
        <v>2720</v>
      </c>
      <c r="AW85" s="387" t="s">
        <v>2720</v>
      </c>
      <c r="AX85" s="385" t="s">
        <v>2720</v>
      </c>
      <c r="AY85" s="415"/>
      <c r="AZ85" s="385" t="s">
        <v>2720</v>
      </c>
      <c r="BA85" s="415"/>
      <c r="BB85" s="416" t="s">
        <v>2720</v>
      </c>
      <c r="BC85" s="417" t="s">
        <v>2720</v>
      </c>
      <c r="BD85" s="418" t="s">
        <v>2720</v>
      </c>
      <c r="BE85" s="419" t="s">
        <v>2720</v>
      </c>
      <c r="BF85" s="390" t="s">
        <v>2720</v>
      </c>
      <c r="BG85" s="420"/>
      <c r="BH85" s="421" t="s">
        <v>2720</v>
      </c>
      <c r="BI85" s="422" t="s">
        <v>2720</v>
      </c>
      <c r="BJ85" s="423" t="s">
        <v>2720</v>
      </c>
      <c r="BK85" s="423" t="s">
        <v>2720</v>
      </c>
      <c r="BL85" s="423" t="s">
        <v>2720</v>
      </c>
      <c r="BM85" s="424" t="s">
        <v>2720</v>
      </c>
      <c r="BN85" s="425" t="s">
        <v>2720</v>
      </c>
      <c r="BO85" s="55" t="s">
        <v>2720</v>
      </c>
      <c r="BP85" s="425" t="s">
        <v>2720</v>
      </c>
      <c r="BQ85" s="55" t="s">
        <v>2720</v>
      </c>
      <c r="BR85" s="426" t="s">
        <v>2720</v>
      </c>
      <c r="BS85" s="427"/>
      <c r="BT85" s="428" t="s">
        <v>2720</v>
      </c>
      <c r="BU85" s="429" t="s">
        <v>2720</v>
      </c>
      <c r="BV85" s="429" t="s">
        <v>2720</v>
      </c>
      <c r="BW85" s="429" t="s">
        <v>2720</v>
      </c>
      <c r="BX85" s="402" t="s">
        <v>2720</v>
      </c>
      <c r="BY85" s="402" t="s">
        <v>2720</v>
      </c>
      <c r="BZ85" s="429" t="s">
        <v>2720</v>
      </c>
      <c r="CA85" s="429" t="s">
        <v>2720</v>
      </c>
      <c r="CB85" s="429" t="s">
        <v>2720</v>
      </c>
      <c r="CC85" s="429" t="s">
        <v>2720</v>
      </c>
      <c r="CD85" s="429" t="s">
        <v>2720</v>
      </c>
      <c r="CE85" s="429" t="s">
        <v>2720</v>
      </c>
      <c r="CF85" s="429" t="s">
        <v>2720</v>
      </c>
      <c r="CG85" s="429" t="s">
        <v>2720</v>
      </c>
      <c r="CH85" s="429" t="s">
        <v>2720</v>
      </c>
      <c r="CI85" s="429" t="s">
        <v>2720</v>
      </c>
      <c r="CJ85" s="429" t="s">
        <v>2720</v>
      </c>
      <c r="CK85" s="429" t="s">
        <v>2720</v>
      </c>
      <c r="CL85" s="429" t="s">
        <v>2720</v>
      </c>
      <c r="CM85" s="402" t="s">
        <v>2720</v>
      </c>
      <c r="CN85" s="429" t="s">
        <v>2720</v>
      </c>
      <c r="CO85" s="429" t="s">
        <v>2720</v>
      </c>
      <c r="CP85" s="429" t="s">
        <v>2720</v>
      </c>
      <c r="CQ85" s="290" t="s">
        <v>2720</v>
      </c>
      <c r="CR85" s="401" t="s">
        <v>2720</v>
      </c>
      <c r="CS85" s="401" t="s">
        <v>2720</v>
      </c>
      <c r="CT85" s="401" t="s">
        <v>2720</v>
      </c>
      <c r="CU85" s="401" t="s">
        <v>2720</v>
      </c>
      <c r="CV85" s="401" t="s">
        <v>2720</v>
      </c>
      <c r="CW85" s="401" t="s">
        <v>2720</v>
      </c>
      <c r="CX85" s="401" t="s">
        <v>2720</v>
      </c>
      <c r="CY85" s="401" t="s">
        <v>2720</v>
      </c>
      <c r="CZ85" s="401" t="s">
        <v>2720</v>
      </c>
      <c r="DA85" s="401" t="s">
        <v>2720</v>
      </c>
      <c r="DB85" s="401" t="s">
        <v>2720</v>
      </c>
      <c r="DC85" s="401" t="s">
        <v>2720</v>
      </c>
      <c r="DD85" s="401" t="s">
        <v>2720</v>
      </c>
      <c r="DE85" s="401" t="s">
        <v>2720</v>
      </c>
      <c r="DF85" s="401" t="s">
        <v>2720</v>
      </c>
      <c r="DG85" s="401" t="s">
        <v>2720</v>
      </c>
      <c r="DH85" s="401" t="s">
        <v>2720</v>
      </c>
      <c r="DI85" s="401" t="s">
        <v>2720</v>
      </c>
      <c r="DJ85" s="401" t="s">
        <v>2720</v>
      </c>
      <c r="DK85" s="401" t="s">
        <v>2720</v>
      </c>
      <c r="DL85" s="401" t="s">
        <v>2720</v>
      </c>
      <c r="DM85" s="401" t="s">
        <v>2720</v>
      </c>
      <c r="DN85" s="401" t="s">
        <v>2720</v>
      </c>
      <c r="DO85" s="403" t="s">
        <v>2720</v>
      </c>
      <c r="DP85" s="404" t="s">
        <v>2720</v>
      </c>
      <c r="DQ85" s="405" t="s">
        <v>2720</v>
      </c>
      <c r="DR85" s="405" t="s">
        <v>2720</v>
      </c>
      <c r="DS85" s="405" t="s">
        <v>2720</v>
      </c>
      <c r="DT85" s="405" t="s">
        <v>2720</v>
      </c>
      <c r="DU85" s="405" t="s">
        <v>2720</v>
      </c>
      <c r="DV85" s="405" t="s">
        <v>2720</v>
      </c>
      <c r="DW85" s="405" t="s">
        <v>2720</v>
      </c>
      <c r="DX85" s="405" t="s">
        <v>2720</v>
      </c>
      <c r="DY85" s="405" t="s">
        <v>2720</v>
      </c>
      <c r="DZ85" s="405" t="s">
        <v>2720</v>
      </c>
      <c r="EA85" s="405" t="s">
        <v>2720</v>
      </c>
      <c r="EB85" s="405" t="s">
        <v>2720</v>
      </c>
      <c r="EC85" s="405" t="s">
        <v>2720</v>
      </c>
      <c r="ED85" s="405" t="s">
        <v>2720</v>
      </c>
      <c r="EE85" s="405" t="s">
        <v>2720</v>
      </c>
      <c r="EF85" s="405" t="s">
        <v>2720</v>
      </c>
      <c r="EG85" s="405" t="s">
        <v>2720</v>
      </c>
      <c r="EH85" s="430" t="s">
        <v>2720</v>
      </c>
      <c r="EI85" s="405" t="s">
        <v>2720</v>
      </c>
      <c r="EJ85" s="430" t="s">
        <v>2720</v>
      </c>
      <c r="EK85" s="430" t="s">
        <v>2720</v>
      </c>
      <c r="EL85" s="430" t="s">
        <v>2720</v>
      </c>
      <c r="EM85" s="406" t="s">
        <v>2720</v>
      </c>
      <c r="EN85" s="405" t="s">
        <v>2720</v>
      </c>
      <c r="EO85" s="405" t="s">
        <v>2720</v>
      </c>
      <c r="EP85" s="405" t="s">
        <v>2720</v>
      </c>
      <c r="EQ85" s="405" t="s">
        <v>2720</v>
      </c>
      <c r="ER85" s="405" t="s">
        <v>2720</v>
      </c>
      <c r="ES85" s="405" t="s">
        <v>2720</v>
      </c>
      <c r="ET85" s="405" t="s">
        <v>2720</v>
      </c>
      <c r="EU85" s="405" t="s">
        <v>2720</v>
      </c>
      <c r="EV85" s="405" t="s">
        <v>2720</v>
      </c>
      <c r="EW85" s="405" t="s">
        <v>2720</v>
      </c>
      <c r="EX85" s="405" t="s">
        <v>2720</v>
      </c>
      <c r="EY85" s="405" t="s">
        <v>2720</v>
      </c>
      <c r="EZ85" s="405" t="s">
        <v>2720</v>
      </c>
      <c r="FA85" s="405" t="s">
        <v>2720</v>
      </c>
      <c r="FB85" s="405" t="s">
        <v>2720</v>
      </c>
      <c r="FC85" s="405" t="s">
        <v>2720</v>
      </c>
      <c r="FD85" s="405" t="s">
        <v>2720</v>
      </c>
      <c r="FE85" s="405" t="s">
        <v>2720</v>
      </c>
      <c r="FF85" s="405" t="s">
        <v>2720</v>
      </c>
      <c r="FG85" s="405" t="s">
        <v>2720</v>
      </c>
      <c r="FH85" s="405" t="s">
        <v>2720</v>
      </c>
      <c r="FI85" s="405" t="s">
        <v>2720</v>
      </c>
      <c r="FJ85" s="405" t="s">
        <v>2720</v>
      </c>
      <c r="FK85" s="407" t="s">
        <v>2720</v>
      </c>
      <c r="FM85" s="408"/>
    </row>
    <row r="86" spans="1:169">
      <c r="B86" s="431"/>
      <c r="C86" s="431"/>
      <c r="D86" s="431"/>
      <c r="E86" s="431"/>
      <c r="F86" s="431"/>
      <c r="G86" s="431"/>
      <c r="H86" s="431"/>
      <c r="I86" s="431"/>
      <c r="J86" s="431"/>
      <c r="K86" s="431"/>
      <c r="L86" s="431"/>
      <c r="M86" s="431"/>
      <c r="N86" s="431"/>
      <c r="O86" s="431"/>
      <c r="P86" s="431"/>
      <c r="Q86" s="431"/>
      <c r="R86" s="431"/>
      <c r="S86" s="431"/>
      <c r="T86" s="431"/>
      <c r="U86" s="431"/>
      <c r="V86" s="431"/>
      <c r="W86" s="431"/>
      <c r="X86" s="431"/>
    </row>
    <row r="87" spans="1:169">
      <c r="B87" s="433"/>
      <c r="C87" s="433"/>
      <c r="D87" s="433"/>
      <c r="E87" s="433"/>
      <c r="F87" s="433"/>
      <c r="G87" s="433"/>
      <c r="H87" s="433"/>
      <c r="I87" s="433"/>
      <c r="J87" s="433"/>
      <c r="K87" s="433"/>
      <c r="L87" s="433"/>
      <c r="M87" s="433"/>
      <c r="N87" s="433"/>
      <c r="O87" s="433"/>
      <c r="P87" s="433"/>
      <c r="Q87" s="433"/>
      <c r="R87" s="433"/>
      <c r="S87" s="433"/>
      <c r="T87" s="433"/>
      <c r="U87" s="433"/>
      <c r="V87" s="433"/>
      <c r="W87" s="433"/>
      <c r="X87" s="433"/>
    </row>
    <row r="88" spans="1:169" s="269" customFormat="1" ht="39.75" customHeight="1">
      <c r="A88" s="567" t="s">
        <v>2775</v>
      </c>
      <c r="B88" s="567"/>
      <c r="C88" s="567"/>
      <c r="D88" s="567"/>
      <c r="E88" s="567"/>
      <c r="F88" s="567"/>
      <c r="G88" s="567"/>
      <c r="H88" s="602" t="s">
        <v>2776</v>
      </c>
      <c r="I88" s="602"/>
      <c r="J88" s="603" t="s">
        <v>1501</v>
      </c>
      <c r="K88" s="603"/>
      <c r="L88" s="605" t="s">
        <v>1500</v>
      </c>
      <c r="M88" s="605"/>
      <c r="N88" s="605"/>
      <c r="O88" s="605"/>
      <c r="P88" s="605"/>
      <c r="Q88" s="605"/>
      <c r="R88" s="605"/>
      <c r="S88" s="605"/>
      <c r="T88" s="605"/>
      <c r="U88" s="605"/>
      <c r="V88" s="605"/>
      <c r="W88" s="605"/>
      <c r="X88" s="605"/>
      <c r="Y88" s="605"/>
      <c r="Z88" s="605"/>
      <c r="AA88" s="605"/>
      <c r="AB88" s="605"/>
      <c r="AC88" s="605"/>
      <c r="AE88" s="434"/>
      <c r="AF88" s="434"/>
      <c r="AG88" s="605" t="s">
        <v>1500</v>
      </c>
      <c r="AH88" s="605"/>
      <c r="AI88" s="605"/>
      <c r="AJ88" s="605"/>
      <c r="AK88" s="605"/>
      <c r="AL88" s="605"/>
      <c r="AM88" s="605"/>
      <c r="AN88" s="605"/>
      <c r="AO88" s="605"/>
      <c r="AP88" s="605"/>
      <c r="AQ88" s="605"/>
      <c r="AR88" s="605"/>
      <c r="AS88" s="605"/>
      <c r="AY88" s="605"/>
      <c r="AZ88" s="605"/>
      <c r="BA88" s="605"/>
      <c r="BB88" s="605"/>
      <c r="BC88" s="605"/>
      <c r="BD88" s="605"/>
      <c r="BE88" s="605"/>
      <c r="BF88" s="605"/>
      <c r="BG88" s="605" t="s">
        <v>1500</v>
      </c>
      <c r="BH88" s="605"/>
      <c r="BI88" s="605"/>
      <c r="BJ88" s="605"/>
      <c r="BK88" s="605"/>
      <c r="BL88" s="605"/>
      <c r="BM88" s="605"/>
      <c r="BN88" s="605"/>
      <c r="BO88" s="270"/>
      <c r="BP88" s="270"/>
      <c r="BQ88" s="270"/>
      <c r="BR88" s="270"/>
      <c r="CM88" s="434"/>
      <c r="CN88" s="434"/>
      <c r="CO88" s="434"/>
      <c r="CP88" s="434"/>
      <c r="CQ88" s="434"/>
      <c r="DK88" s="434"/>
      <c r="DL88" s="434"/>
      <c r="DM88" s="434"/>
      <c r="DN88" s="434"/>
      <c r="DO88" s="434"/>
      <c r="DP88" s="434"/>
      <c r="DQ88" s="434"/>
      <c r="DR88" s="434"/>
      <c r="DS88" s="434"/>
      <c r="DT88" s="434"/>
      <c r="DU88" s="434"/>
      <c r="DV88" s="434"/>
      <c r="DW88" s="434"/>
      <c r="DX88" s="434"/>
      <c r="DY88" s="434"/>
      <c r="DZ88" s="434"/>
      <c r="EA88" s="434"/>
      <c r="EB88" s="434"/>
      <c r="EC88" s="434"/>
      <c r="ED88" s="434"/>
      <c r="EE88" s="434"/>
      <c r="EF88" s="434"/>
      <c r="EG88" s="434"/>
      <c r="EH88" s="434"/>
      <c r="EI88" s="434"/>
      <c r="EJ88" s="434"/>
      <c r="FG88" s="434"/>
      <c r="FH88" s="434"/>
      <c r="FI88" s="434"/>
      <c r="FJ88" s="434"/>
      <c r="FK88" s="434"/>
    </row>
    <row r="89" spans="1:169" s="269" customFormat="1" ht="18.75">
      <c r="A89" s="599"/>
      <c r="B89" s="599"/>
      <c r="C89" s="599"/>
      <c r="D89" s="599"/>
      <c r="E89" s="599"/>
      <c r="F89" s="599"/>
      <c r="G89" s="599"/>
      <c r="H89" s="600"/>
      <c r="I89" s="600"/>
      <c r="J89" s="601"/>
      <c r="K89" s="601"/>
      <c r="L89" s="590" t="s">
        <v>2777</v>
      </c>
      <c r="M89" s="590"/>
      <c r="N89" s="590"/>
      <c r="O89" s="590"/>
      <c r="P89" s="590"/>
      <c r="Q89" s="590"/>
      <c r="R89" s="590"/>
      <c r="S89" s="590"/>
      <c r="T89" s="590"/>
      <c r="U89" s="590"/>
      <c r="V89" s="590"/>
      <c r="W89" s="590"/>
      <c r="X89" s="590"/>
      <c r="Y89" s="590"/>
      <c r="Z89" s="590"/>
      <c r="AA89" s="590"/>
      <c r="AB89" s="590"/>
      <c r="AC89" s="590"/>
      <c r="AE89" s="435"/>
      <c r="AF89" s="435"/>
      <c r="AG89" s="590" t="s">
        <v>1427</v>
      </c>
      <c r="AH89" s="590"/>
      <c r="AI89" s="590"/>
      <c r="AJ89" s="590"/>
      <c r="AK89" s="590"/>
      <c r="AL89" s="590"/>
      <c r="AM89" s="590"/>
      <c r="AN89" s="590"/>
      <c r="AO89" s="590"/>
      <c r="AP89" s="590"/>
      <c r="AQ89" s="590"/>
      <c r="AR89" s="590"/>
      <c r="AS89" s="590"/>
      <c r="AY89" s="590"/>
      <c r="AZ89" s="590"/>
      <c r="BA89" s="590"/>
      <c r="BB89" s="590"/>
      <c r="BC89" s="590"/>
      <c r="BD89" s="590"/>
      <c r="BE89" s="590"/>
      <c r="BF89" s="590"/>
      <c r="BG89" s="590" t="s">
        <v>1590</v>
      </c>
      <c r="BH89" s="590"/>
      <c r="BI89" s="590"/>
      <c r="BJ89" s="590"/>
      <c r="BK89" s="590"/>
      <c r="BL89" s="590"/>
      <c r="BM89" s="590"/>
      <c r="BN89" s="590"/>
      <c r="BO89" s="270"/>
      <c r="BP89" s="270"/>
      <c r="BQ89" s="270"/>
      <c r="BR89" s="270"/>
      <c r="CM89" s="435"/>
      <c r="CN89" s="435"/>
      <c r="CO89" s="435"/>
      <c r="CP89" s="435"/>
      <c r="CQ89" s="435"/>
      <c r="DK89" s="435"/>
      <c r="DL89" s="435"/>
      <c r="DM89" s="435"/>
      <c r="DN89" s="435"/>
      <c r="DO89" s="435"/>
      <c r="DP89" s="435"/>
      <c r="DQ89" s="435"/>
      <c r="DR89" s="435"/>
      <c r="DS89" s="435"/>
      <c r="DT89" s="435"/>
      <c r="DU89" s="435"/>
      <c r="DV89" s="435"/>
      <c r="DW89" s="435"/>
      <c r="DX89" s="435"/>
      <c r="DY89" s="435"/>
      <c r="DZ89" s="435"/>
      <c r="EA89" s="435"/>
      <c r="EB89" s="435"/>
      <c r="EC89" s="435"/>
      <c r="ED89" s="435"/>
      <c r="EE89" s="435"/>
      <c r="EF89" s="435"/>
      <c r="EG89" s="435"/>
      <c r="EH89" s="435"/>
      <c r="EI89" s="435"/>
      <c r="EJ89" s="435"/>
      <c r="FG89" s="435"/>
      <c r="FH89" s="435"/>
      <c r="FI89" s="435"/>
      <c r="FJ89" s="435"/>
      <c r="FK89" s="435"/>
    </row>
    <row r="90" spans="1:169" s="269" customFormat="1" ht="18.75" customHeight="1">
      <c r="A90" s="258"/>
      <c r="B90" s="594" t="s">
        <v>2778</v>
      </c>
      <c r="C90" s="594"/>
      <c r="D90" s="595" t="s">
        <v>2779</v>
      </c>
      <c r="E90" s="595"/>
      <c r="F90" s="595"/>
      <c r="G90" s="595"/>
      <c r="H90" s="597" t="s">
        <v>2780</v>
      </c>
      <c r="I90" s="597"/>
      <c r="J90" s="598" t="s">
        <v>2781</v>
      </c>
      <c r="K90" s="598"/>
      <c r="L90" s="436"/>
      <c r="M90" s="436"/>
      <c r="N90" s="436"/>
      <c r="O90" s="436"/>
      <c r="P90" s="436"/>
      <c r="Q90" s="436"/>
      <c r="R90" s="436"/>
      <c r="S90" s="436"/>
      <c r="T90" s="436"/>
      <c r="U90" s="436"/>
      <c r="V90" s="436"/>
      <c r="W90" s="436"/>
      <c r="BE90" s="437"/>
      <c r="BF90" s="437"/>
      <c r="BG90" s="437"/>
      <c r="BH90" s="437"/>
      <c r="BI90" s="437"/>
      <c r="BJ90" s="437"/>
      <c r="BN90" s="270"/>
      <c r="BO90" s="270"/>
      <c r="BP90" s="270"/>
      <c r="BQ90" s="270"/>
      <c r="BR90" s="270"/>
    </row>
    <row r="91" spans="1:169" s="269" customFormat="1" ht="18.75" customHeight="1">
      <c r="B91" s="594" t="s">
        <v>2782</v>
      </c>
      <c r="C91" s="594"/>
      <c r="D91" s="595" t="s">
        <v>2783</v>
      </c>
      <c r="E91" s="595"/>
      <c r="F91" s="595"/>
      <c r="G91" s="595"/>
      <c r="H91" s="597" t="s">
        <v>2780</v>
      </c>
      <c r="I91" s="597"/>
      <c r="J91" s="598" t="s">
        <v>2781</v>
      </c>
      <c r="K91" s="598"/>
      <c r="L91" s="436"/>
      <c r="M91" s="436"/>
      <c r="N91" s="436"/>
      <c r="O91" s="436"/>
      <c r="P91" s="436"/>
      <c r="Q91" s="436"/>
      <c r="R91" s="436"/>
      <c r="S91" s="436"/>
      <c r="T91" s="436"/>
      <c r="U91" s="436"/>
      <c r="V91" s="436"/>
      <c r="W91" s="436"/>
      <c r="BE91" s="437"/>
      <c r="BF91" s="437"/>
      <c r="BG91" s="437"/>
      <c r="BH91" s="437"/>
      <c r="BI91" s="437"/>
      <c r="BJ91" s="437"/>
      <c r="BN91" s="270"/>
      <c r="BO91" s="270"/>
      <c r="BP91" s="270"/>
      <c r="BQ91" s="270"/>
      <c r="BR91" s="270"/>
    </row>
    <row r="92" spans="1:169" s="269" customFormat="1" ht="18.75" customHeight="1">
      <c r="B92" s="594" t="s">
        <v>2784</v>
      </c>
      <c r="C92" s="594"/>
      <c r="D92" s="595" t="s">
        <v>2785</v>
      </c>
      <c r="E92" s="595"/>
      <c r="F92" s="595"/>
      <c r="G92" s="595"/>
      <c r="H92" s="597" t="s">
        <v>2786</v>
      </c>
      <c r="I92" s="597"/>
      <c r="J92" s="598" t="s">
        <v>2787</v>
      </c>
      <c r="K92" s="598"/>
      <c r="L92" s="436"/>
      <c r="M92" s="436"/>
      <c r="N92" s="436"/>
      <c r="O92" s="436"/>
      <c r="P92" s="436"/>
      <c r="Q92" s="436"/>
      <c r="R92" s="436"/>
      <c r="S92" s="436"/>
      <c r="T92" s="436"/>
      <c r="U92" s="436"/>
      <c r="V92" s="436"/>
      <c r="W92" s="436"/>
      <c r="BE92" s="437"/>
      <c r="BF92" s="437"/>
      <c r="BG92" s="437"/>
      <c r="BH92" s="437"/>
      <c r="BI92" s="437"/>
      <c r="BJ92" s="437"/>
      <c r="BN92" s="270"/>
      <c r="BO92" s="270"/>
      <c r="BP92" s="270"/>
      <c r="BQ92" s="270"/>
      <c r="BR92" s="270"/>
    </row>
    <row r="93" spans="1:169" s="269" customFormat="1" ht="18.75" customHeight="1">
      <c r="B93" s="594" t="s">
        <v>2788</v>
      </c>
      <c r="C93" s="594"/>
      <c r="D93" s="595" t="s">
        <v>2789</v>
      </c>
      <c r="E93" s="595"/>
      <c r="F93" s="595"/>
      <c r="G93" s="595"/>
      <c r="H93" s="597" t="s">
        <v>2790</v>
      </c>
      <c r="I93" s="597"/>
      <c r="J93" s="598" t="s">
        <v>2791</v>
      </c>
      <c r="K93" s="598"/>
      <c r="L93" s="436"/>
      <c r="M93" s="436"/>
      <c r="N93" s="436"/>
      <c r="O93" s="436"/>
      <c r="P93" s="436"/>
      <c r="Q93" s="436"/>
      <c r="R93" s="436"/>
      <c r="S93" s="436"/>
      <c r="T93" s="436"/>
      <c r="U93" s="436"/>
      <c r="V93" s="436"/>
      <c r="W93" s="436"/>
      <c r="BE93" s="437"/>
      <c r="BF93" s="437"/>
      <c r="BG93" s="437"/>
      <c r="BH93" s="437"/>
      <c r="BI93" s="437"/>
      <c r="BJ93" s="437"/>
      <c r="BN93" s="270"/>
      <c r="BO93" s="270"/>
      <c r="BP93" s="270"/>
      <c r="BQ93" s="270"/>
      <c r="BR93" s="270"/>
    </row>
    <row r="94" spans="1:169" s="269" customFormat="1" ht="18.75" customHeight="1">
      <c r="B94" s="594" t="s">
        <v>2792</v>
      </c>
      <c r="C94" s="594"/>
      <c r="D94" s="595" t="s">
        <v>2793</v>
      </c>
      <c r="E94" s="595"/>
      <c r="F94" s="595"/>
      <c r="G94" s="595"/>
      <c r="H94" s="597" t="s">
        <v>2794</v>
      </c>
      <c r="I94" s="597"/>
      <c r="J94" s="598" t="s">
        <v>2795</v>
      </c>
      <c r="K94" s="598"/>
      <c r="L94" s="436"/>
      <c r="M94" s="436"/>
      <c r="N94" s="436"/>
      <c r="O94" s="436"/>
      <c r="P94" s="436"/>
      <c r="Q94" s="436"/>
      <c r="R94" s="436"/>
      <c r="S94" s="436"/>
      <c r="T94" s="436"/>
      <c r="U94" s="436"/>
      <c r="V94" s="436"/>
      <c r="W94" s="436"/>
      <c r="BE94" s="437"/>
      <c r="BF94" s="437"/>
      <c r="BG94" s="437"/>
      <c r="BH94" s="437"/>
      <c r="BI94" s="437"/>
      <c r="BJ94" s="437"/>
      <c r="BN94" s="270"/>
      <c r="BO94" s="270"/>
      <c r="BP94" s="270"/>
      <c r="BQ94" s="270"/>
      <c r="BR94" s="270"/>
    </row>
    <row r="95" spans="1:169" s="269" customFormat="1" ht="18.75">
      <c r="B95" s="594" t="s">
        <v>2796</v>
      </c>
      <c r="C95" s="594"/>
      <c r="D95" s="595" t="s">
        <v>2797</v>
      </c>
      <c r="E95" s="595"/>
      <c r="F95" s="595"/>
      <c r="G95" s="595"/>
      <c r="H95" s="597" t="s">
        <v>2798</v>
      </c>
      <c r="I95" s="597"/>
      <c r="J95" s="598" t="s">
        <v>2799</v>
      </c>
      <c r="K95" s="598"/>
      <c r="L95" s="436"/>
      <c r="M95" s="436"/>
      <c r="N95" s="436"/>
      <c r="O95" s="436"/>
      <c r="P95" s="436"/>
      <c r="Q95" s="436"/>
      <c r="R95" s="436"/>
      <c r="S95" s="436"/>
      <c r="T95" s="436"/>
      <c r="U95" s="436"/>
      <c r="V95" s="436"/>
      <c r="W95" s="436"/>
      <c r="BE95" s="437"/>
      <c r="BF95" s="437"/>
      <c r="BG95" s="437"/>
      <c r="BH95" s="437"/>
      <c r="BI95" s="437"/>
      <c r="BJ95" s="437"/>
      <c r="BN95" s="270"/>
      <c r="BO95" s="270"/>
      <c r="BP95" s="270"/>
      <c r="BQ95" s="270"/>
      <c r="BR95" s="270"/>
    </row>
    <row r="96" spans="1:169" s="269" customFormat="1" ht="18.75">
      <c r="B96" s="591" t="s">
        <v>2800</v>
      </c>
      <c r="C96" s="592"/>
      <c r="H96" s="588" t="s">
        <v>2801</v>
      </c>
      <c r="I96" s="588"/>
      <c r="J96" s="604" t="s">
        <v>2781</v>
      </c>
      <c r="K96" s="604"/>
      <c r="L96" s="436"/>
      <c r="M96" s="436"/>
      <c r="N96" s="436"/>
      <c r="O96" s="436"/>
      <c r="P96" s="436"/>
      <c r="Q96" s="436"/>
      <c r="R96" s="436"/>
      <c r="S96" s="436"/>
      <c r="T96" s="436"/>
      <c r="U96" s="436"/>
      <c r="V96" s="436"/>
      <c r="W96" s="436"/>
      <c r="BE96" s="437"/>
      <c r="BF96" s="437"/>
      <c r="BG96" s="437"/>
      <c r="BH96" s="437"/>
      <c r="BI96" s="437"/>
      <c r="BJ96" s="437"/>
      <c r="BN96" s="270"/>
      <c r="BO96" s="270"/>
      <c r="BP96" s="270"/>
      <c r="BQ96" s="270"/>
      <c r="BR96" s="270"/>
    </row>
    <row r="97" spans="1:70" s="269" customFormat="1" ht="15.75" customHeight="1">
      <c r="A97" s="599"/>
      <c r="B97" s="599"/>
      <c r="C97" s="599"/>
      <c r="D97" s="599"/>
      <c r="E97" s="599"/>
      <c r="F97" s="599"/>
      <c r="G97" s="599"/>
      <c r="H97" s="600"/>
      <c r="I97" s="600"/>
      <c r="J97" s="601"/>
      <c r="K97" s="601"/>
      <c r="L97" s="436"/>
      <c r="M97" s="436"/>
      <c r="N97" s="436"/>
      <c r="O97" s="436"/>
      <c r="P97" s="436"/>
      <c r="Q97" s="436"/>
      <c r="R97" s="436"/>
      <c r="S97" s="436"/>
      <c r="T97" s="436"/>
      <c r="U97" s="436"/>
      <c r="V97" s="436"/>
      <c r="W97" s="436"/>
      <c r="BE97" s="437"/>
      <c r="BF97" s="437"/>
      <c r="BG97" s="437"/>
      <c r="BH97" s="437"/>
      <c r="BI97" s="437"/>
      <c r="BJ97" s="437"/>
      <c r="BN97" s="270"/>
      <c r="BO97" s="270"/>
      <c r="BP97" s="270"/>
      <c r="BQ97" s="270"/>
      <c r="BR97" s="270"/>
    </row>
    <row r="98" spans="1:70" s="269" customFormat="1" ht="37.5" customHeight="1">
      <c r="A98" s="567" t="s">
        <v>2802</v>
      </c>
      <c r="B98" s="567"/>
      <c r="C98" s="567"/>
      <c r="D98" s="567"/>
      <c r="E98" s="567"/>
      <c r="F98" s="567"/>
      <c r="G98" s="567"/>
      <c r="H98" s="602" t="s">
        <v>2776</v>
      </c>
      <c r="I98" s="602"/>
      <c r="J98" s="603" t="s">
        <v>1501</v>
      </c>
      <c r="K98" s="603"/>
      <c r="L98" s="436"/>
      <c r="M98" s="436"/>
      <c r="N98" s="436"/>
      <c r="O98" s="436"/>
      <c r="P98" s="436"/>
      <c r="Q98" s="436"/>
      <c r="R98" s="436"/>
      <c r="S98" s="436"/>
      <c r="T98" s="436"/>
      <c r="U98" s="436"/>
      <c r="V98" s="436"/>
      <c r="W98" s="436"/>
      <c r="BE98" s="437"/>
      <c r="BF98" s="437"/>
      <c r="BG98" s="437"/>
      <c r="BH98" s="437"/>
      <c r="BI98" s="437"/>
      <c r="BJ98" s="437"/>
      <c r="BN98" s="270"/>
      <c r="BO98" s="270"/>
      <c r="BP98" s="270"/>
      <c r="BQ98" s="270"/>
      <c r="BR98" s="270"/>
    </row>
    <row r="99" spans="1:70" s="269" customFormat="1" ht="18.75" customHeight="1">
      <c r="A99" s="258"/>
      <c r="B99" s="594" t="s">
        <v>2778</v>
      </c>
      <c r="C99" s="594"/>
      <c r="D99" s="595" t="s">
        <v>2779</v>
      </c>
      <c r="E99" s="595"/>
      <c r="F99" s="595"/>
      <c r="G99" s="595"/>
      <c r="H99" s="597" t="s">
        <v>2780</v>
      </c>
      <c r="I99" s="597"/>
      <c r="J99" s="596" t="s">
        <v>2781</v>
      </c>
      <c r="K99" s="596"/>
      <c r="L99" s="436"/>
      <c r="M99" s="436"/>
      <c r="N99" s="436"/>
      <c r="O99" s="436"/>
      <c r="P99" s="436"/>
      <c r="Q99" s="436"/>
      <c r="R99" s="436"/>
      <c r="S99" s="436"/>
      <c r="T99" s="436"/>
      <c r="U99" s="436"/>
      <c r="V99" s="436"/>
      <c r="W99" s="436"/>
      <c r="BE99" s="437"/>
      <c r="BF99" s="437"/>
      <c r="BG99" s="437"/>
      <c r="BH99" s="437"/>
      <c r="BI99" s="437"/>
      <c r="BJ99" s="437"/>
      <c r="BN99" s="270"/>
      <c r="BO99" s="270"/>
      <c r="BP99" s="270"/>
      <c r="BQ99" s="270"/>
      <c r="BR99" s="270"/>
    </row>
    <row r="100" spans="1:70" s="269" customFormat="1" ht="18.75" customHeight="1">
      <c r="B100" s="594" t="s">
        <v>2782</v>
      </c>
      <c r="C100" s="594"/>
      <c r="D100" s="595" t="s">
        <v>2783</v>
      </c>
      <c r="E100" s="595"/>
      <c r="F100" s="595"/>
      <c r="G100" s="595"/>
      <c r="H100" s="597" t="s">
        <v>2780</v>
      </c>
      <c r="I100" s="597"/>
      <c r="J100" s="596" t="s">
        <v>2781</v>
      </c>
      <c r="K100" s="596"/>
      <c r="L100" s="436"/>
      <c r="M100" s="436"/>
      <c r="N100" s="436"/>
      <c r="O100" s="436"/>
      <c r="P100" s="436"/>
      <c r="Q100" s="436"/>
      <c r="R100" s="436"/>
      <c r="S100" s="436"/>
      <c r="T100" s="436"/>
      <c r="U100" s="436"/>
      <c r="V100" s="436"/>
      <c r="W100" s="436"/>
      <c r="BE100" s="437"/>
      <c r="BF100" s="437"/>
      <c r="BG100" s="437"/>
      <c r="BH100" s="437"/>
      <c r="BI100" s="437"/>
      <c r="BJ100" s="437"/>
      <c r="BN100" s="270"/>
      <c r="BO100" s="270"/>
      <c r="BP100" s="270"/>
      <c r="BQ100" s="270"/>
      <c r="BR100" s="270"/>
    </row>
    <row r="101" spans="1:70" s="269" customFormat="1" ht="18.75" customHeight="1">
      <c r="B101" s="594" t="s">
        <v>2784</v>
      </c>
      <c r="C101" s="594"/>
      <c r="D101" s="595" t="s">
        <v>2785</v>
      </c>
      <c r="E101" s="595"/>
      <c r="F101" s="595"/>
      <c r="G101" s="595"/>
      <c r="H101" s="597" t="s">
        <v>2786</v>
      </c>
      <c r="I101" s="597"/>
      <c r="J101" s="596" t="s">
        <v>2787</v>
      </c>
      <c r="K101" s="596"/>
      <c r="L101" s="436"/>
      <c r="M101" s="436"/>
      <c r="N101" s="436"/>
      <c r="O101" s="436"/>
      <c r="P101" s="436"/>
      <c r="Q101" s="436"/>
      <c r="R101" s="436"/>
      <c r="S101" s="436"/>
      <c r="T101" s="436"/>
      <c r="U101" s="436"/>
      <c r="V101" s="436"/>
      <c r="W101" s="436"/>
      <c r="BE101" s="437"/>
      <c r="BF101" s="437"/>
      <c r="BG101" s="437"/>
      <c r="BH101" s="437"/>
      <c r="BI101" s="437"/>
      <c r="BJ101" s="437"/>
      <c r="BN101" s="270"/>
      <c r="BO101" s="270"/>
      <c r="BP101" s="270"/>
      <c r="BQ101" s="270"/>
      <c r="BR101" s="270"/>
    </row>
    <row r="102" spans="1:70" s="269" customFormat="1" ht="18.75" customHeight="1">
      <c r="B102" s="594" t="s">
        <v>2788</v>
      </c>
      <c r="C102" s="594"/>
      <c r="D102" s="595" t="s">
        <v>2789</v>
      </c>
      <c r="E102" s="595"/>
      <c r="F102" s="595"/>
      <c r="G102" s="595"/>
      <c r="H102" s="597" t="s">
        <v>2803</v>
      </c>
      <c r="I102" s="597"/>
      <c r="J102" s="596" t="s">
        <v>2804</v>
      </c>
      <c r="K102" s="596"/>
      <c r="L102" s="436"/>
      <c r="M102" s="436"/>
      <c r="N102" s="436"/>
      <c r="O102" s="436"/>
      <c r="P102" s="436"/>
      <c r="Q102" s="436"/>
      <c r="R102" s="436"/>
      <c r="S102" s="436"/>
      <c r="T102" s="436"/>
      <c r="U102" s="436"/>
      <c r="V102" s="436"/>
      <c r="W102" s="436"/>
      <c r="BE102" s="437"/>
      <c r="BF102" s="437"/>
      <c r="BG102" s="437"/>
      <c r="BH102" s="437"/>
      <c r="BI102" s="437"/>
      <c r="BJ102" s="437"/>
      <c r="BN102" s="270"/>
      <c r="BO102" s="270"/>
      <c r="BP102" s="270"/>
      <c r="BQ102" s="270"/>
      <c r="BR102" s="270"/>
    </row>
    <row r="103" spans="1:70" s="269" customFormat="1" ht="18.75" customHeight="1">
      <c r="B103" s="594" t="s">
        <v>2792</v>
      </c>
      <c r="C103" s="594"/>
      <c r="D103" s="595" t="s">
        <v>2793</v>
      </c>
      <c r="E103" s="595"/>
      <c r="F103" s="595"/>
      <c r="G103" s="595"/>
      <c r="H103" s="597" t="s">
        <v>2805</v>
      </c>
      <c r="I103" s="597"/>
      <c r="J103" s="593" t="s">
        <v>2806</v>
      </c>
      <c r="K103" s="593"/>
      <c r="L103" s="436"/>
      <c r="M103" s="436"/>
      <c r="N103" s="436"/>
      <c r="O103" s="436"/>
      <c r="P103" s="436"/>
      <c r="Q103" s="436"/>
      <c r="R103" s="436"/>
      <c r="S103" s="436"/>
      <c r="T103" s="436"/>
      <c r="U103" s="436"/>
      <c r="V103" s="436"/>
      <c r="W103" s="436"/>
      <c r="BE103" s="437"/>
      <c r="BF103" s="437"/>
      <c r="BG103" s="437"/>
      <c r="BH103" s="437"/>
      <c r="BI103" s="437"/>
      <c r="BJ103" s="437"/>
      <c r="BN103" s="270"/>
      <c r="BO103" s="270"/>
      <c r="BP103" s="270"/>
      <c r="BQ103" s="270"/>
      <c r="BR103" s="270"/>
    </row>
    <row r="104" spans="1:70" s="269" customFormat="1" ht="18.75">
      <c r="B104" s="594" t="s">
        <v>2796</v>
      </c>
      <c r="C104" s="594"/>
      <c r="D104" s="595" t="s">
        <v>2797</v>
      </c>
      <c r="E104" s="595"/>
      <c r="F104" s="595"/>
      <c r="G104" s="595"/>
      <c r="H104" s="597" t="s">
        <v>2798</v>
      </c>
      <c r="I104" s="597"/>
      <c r="J104" s="593" t="s">
        <v>2799</v>
      </c>
      <c r="K104" s="593"/>
      <c r="L104" s="436"/>
      <c r="M104" s="436"/>
      <c r="N104" s="436"/>
      <c r="O104" s="436"/>
      <c r="P104" s="436"/>
      <c r="Q104" s="436"/>
      <c r="R104" s="436"/>
      <c r="S104" s="436"/>
      <c r="T104" s="436"/>
      <c r="U104" s="436"/>
      <c r="V104" s="436"/>
      <c r="W104" s="436"/>
      <c r="BE104" s="437"/>
      <c r="BF104" s="437"/>
      <c r="BG104" s="437"/>
      <c r="BH104" s="437"/>
      <c r="BI104" s="437"/>
      <c r="BJ104" s="437"/>
      <c r="BN104" s="270"/>
      <c r="BO104" s="270"/>
      <c r="BP104" s="270"/>
      <c r="BQ104" s="270"/>
      <c r="BR104" s="270"/>
    </row>
    <row r="105" spans="1:70" s="269" customFormat="1" ht="18.75">
      <c r="B105" s="591" t="s">
        <v>2800</v>
      </c>
      <c r="C105" s="592"/>
      <c r="H105" s="588" t="s">
        <v>2801</v>
      </c>
      <c r="I105" s="588"/>
      <c r="J105" s="589" t="s">
        <v>2781</v>
      </c>
      <c r="K105" s="589"/>
      <c r="L105" s="436"/>
      <c r="M105" s="436"/>
      <c r="N105" s="436"/>
      <c r="O105" s="436"/>
      <c r="P105" s="436"/>
      <c r="Q105" s="436"/>
      <c r="R105" s="436"/>
      <c r="S105" s="436"/>
      <c r="T105" s="436"/>
      <c r="U105" s="436"/>
      <c r="V105" s="436"/>
      <c r="W105" s="436"/>
      <c r="BE105" s="437"/>
      <c r="BF105" s="437"/>
      <c r="BG105" s="437"/>
      <c r="BH105" s="437"/>
      <c r="BI105" s="437"/>
      <c r="BJ105" s="437"/>
      <c r="BN105" s="270"/>
      <c r="BO105" s="270"/>
      <c r="BP105" s="270"/>
      <c r="BQ105" s="270"/>
      <c r="BR105" s="270"/>
    </row>
    <row r="107" spans="1:70" ht="15.75" customHeight="1"/>
    <row r="108" spans="1:70" ht="15.75" customHeight="1">
      <c r="A108" s="269"/>
      <c r="B108" s="590" t="s">
        <v>2807</v>
      </c>
      <c r="C108" s="590"/>
      <c r="D108" s="259" t="s">
        <v>2808</v>
      </c>
      <c r="E108" s="259" t="s">
        <v>1501</v>
      </c>
      <c r="F108" s="269"/>
      <c r="G108" s="269"/>
      <c r="H108" s="269"/>
      <c r="I108" s="269"/>
      <c r="J108" s="436"/>
      <c r="K108" s="436"/>
    </row>
    <row r="109" spans="1:70" ht="15.75" customHeight="1">
      <c r="A109" s="269"/>
      <c r="B109" s="587" t="s">
        <v>2809</v>
      </c>
      <c r="C109" s="587"/>
      <c r="D109" s="269">
        <f>COUNTIF($BR$11:$BR$85,"SV năm 3")</f>
        <v>0</v>
      </c>
      <c r="E109" s="438" t="str">
        <f>ROUND(100*(COUNTIF($BR$11:$BR$85,"SV năm 3")/MAX($A$11:$A$85)),2)&amp;" %"</f>
        <v>0 %</v>
      </c>
      <c r="F109" s="269"/>
      <c r="G109" s="269"/>
      <c r="H109" s="269"/>
      <c r="I109" s="269"/>
      <c r="J109" s="436"/>
      <c r="K109" s="436"/>
    </row>
    <row r="110" spans="1:70" ht="15.75" customHeight="1">
      <c r="A110" s="269"/>
      <c r="B110" s="587" t="s">
        <v>2810</v>
      </c>
      <c r="C110" s="587"/>
      <c r="D110" s="269">
        <f>COUNTIF($BR$11:$BR$85,"SV năm 2")</f>
        <v>18</v>
      </c>
      <c r="E110" s="438" t="str">
        <f>ROUND(100*(COUNTIF($BR$11:$BR$85,"SV năm 2")/MAX($A$11:$A$85)),2)&amp;" %"</f>
        <v>42.86 %</v>
      </c>
      <c r="F110" s="269"/>
      <c r="G110" s="269"/>
      <c r="H110" s="269"/>
      <c r="I110" s="269"/>
      <c r="J110" s="436"/>
      <c r="K110" s="436"/>
    </row>
    <row r="111" spans="1:70" ht="15.75" customHeight="1">
      <c r="A111" s="269"/>
      <c r="B111" s="587" t="s">
        <v>2811</v>
      </c>
      <c r="C111" s="587"/>
      <c r="D111" s="269">
        <f>COUNTIF($BR$11:$BR$85,"SV năm 1")</f>
        <v>24</v>
      </c>
      <c r="E111" s="438" t="str">
        <f>ROUND(100*(COUNTIF($BR$11:$BR$85,"SV năm 1")/MAX($A$11:$A$85)),2)&amp;" %"</f>
        <v>57.14 %</v>
      </c>
      <c r="F111" s="269"/>
      <c r="G111" s="269"/>
      <c r="H111" s="269"/>
      <c r="I111" s="269"/>
      <c r="J111" s="436"/>
      <c r="K111" s="436"/>
    </row>
    <row r="112" spans="1:70" ht="15.75" customHeight="1">
      <c r="B112" s="587" t="s">
        <v>2812</v>
      </c>
      <c r="C112" s="587"/>
      <c r="D112" s="434" t="e">
        <f>COUNTIF([11]HKI!$BF$11:$BF$75,"Y")</f>
        <v>#VALUE!</v>
      </c>
      <c r="E112" s="438" t="e">
        <f>ROUND(100*COUNTIF([11]HKI!$BF$6:$BF$76,"Y")/MAX($A$11:$A$85),2)&amp;" %"</f>
        <v>#VALUE!</v>
      </c>
    </row>
    <row r="113" spans="2:5" ht="15.75" customHeight="1">
      <c r="B113" s="587" t="s">
        <v>2813</v>
      </c>
      <c r="C113" s="587"/>
      <c r="D113" s="434" t="e">
        <f>COUNTIF([11]HKII!$BZ$11:$BZ$75,"Y")</f>
        <v>#VALUE!</v>
      </c>
      <c r="E113" s="438" t="e">
        <f>ROUND((100*COUNTIF([11]HKII!$BZ$11:$BZ$75,"Y"))/MAX($A$11:$A$85),2)&amp;" %"</f>
        <v>#VALUE!</v>
      </c>
    </row>
    <row r="114" spans="2:5" ht="18.75">
      <c r="B114" s="587" t="s">
        <v>2814</v>
      </c>
      <c r="C114" s="587"/>
      <c r="D114" s="434">
        <f>COUNTIF($BQ$11:$BQ$75,"Y")</f>
        <v>5</v>
      </c>
      <c r="E114" s="438" t="str">
        <f>ROUND((100*COUNTIF($BQ$11:$BQ$75,"Y"))/MAX($A$11:$A$85),2)&amp;" %"</f>
        <v>11.9 %</v>
      </c>
    </row>
  </sheetData>
  <mergeCells count="240">
    <mergeCell ref="AP1:BS1"/>
    <mergeCell ref="AP2:BS2"/>
    <mergeCell ref="B113:C113"/>
    <mergeCell ref="B114:C114"/>
    <mergeCell ref="A1:S1"/>
    <mergeCell ref="A2:S2"/>
    <mergeCell ref="D3:F3"/>
    <mergeCell ref="G3:H3"/>
    <mergeCell ref="A4:BS4"/>
    <mergeCell ref="D5:L5"/>
    <mergeCell ref="N5:R5"/>
    <mergeCell ref="A6:A9"/>
    <mergeCell ref="B6:G6"/>
    <mergeCell ref="H6:I6"/>
    <mergeCell ref="J6:K6"/>
    <mergeCell ref="B8:B9"/>
    <mergeCell ref="C8:D9"/>
    <mergeCell ref="E8:E9"/>
    <mergeCell ref="F8:G8"/>
    <mergeCell ref="H8:H9"/>
    <mergeCell ref="I8:I9"/>
    <mergeCell ref="L6:M6"/>
    <mergeCell ref="J8:J9"/>
    <mergeCell ref="K8:K9"/>
    <mergeCell ref="L8:L9"/>
    <mergeCell ref="M8:M9"/>
    <mergeCell ref="N6:O6"/>
    <mergeCell ref="P6:Q6"/>
    <mergeCell ref="R6:S6"/>
    <mergeCell ref="T6:U6"/>
    <mergeCell ref="V6:W6"/>
    <mergeCell ref="X6:Y6"/>
    <mergeCell ref="Z6:AA6"/>
    <mergeCell ref="N8:N9"/>
    <mergeCell ref="O8:O9"/>
    <mergeCell ref="P8:P9"/>
    <mergeCell ref="Q8:Q9"/>
    <mergeCell ref="R8:R9"/>
    <mergeCell ref="S8:S9"/>
    <mergeCell ref="T8:T9"/>
    <mergeCell ref="U8:U9"/>
    <mergeCell ref="V8:V9"/>
    <mergeCell ref="W8:W9"/>
    <mergeCell ref="X8:X9"/>
    <mergeCell ref="Y8:Y9"/>
    <mergeCell ref="Z8:Z9"/>
    <mergeCell ref="AA8:AA9"/>
    <mergeCell ref="AB6:AC6"/>
    <mergeCell ref="AD6:AE6"/>
    <mergeCell ref="AF6:AG6"/>
    <mergeCell ref="AH6:AI6"/>
    <mergeCell ref="AJ6:AK6"/>
    <mergeCell ref="AL6:AM6"/>
    <mergeCell ref="AN6:AO6"/>
    <mergeCell ref="AP6:AQ6"/>
    <mergeCell ref="AR6:AS6"/>
    <mergeCell ref="AT6:AU6"/>
    <mergeCell ref="AV6:AW6"/>
    <mergeCell ref="AX6:AY6"/>
    <mergeCell ref="AZ6:BA6"/>
    <mergeCell ref="BB6:BC6"/>
    <mergeCell ref="BD6:BD9"/>
    <mergeCell ref="BE6:BF7"/>
    <mergeCell ref="BB8:BB9"/>
    <mergeCell ref="BC8:BC9"/>
    <mergeCell ref="BE8:BE9"/>
    <mergeCell ref="BF8:BF9"/>
    <mergeCell ref="AX8:AX9"/>
    <mergeCell ref="AT7:AU7"/>
    <mergeCell ref="AV7:AW7"/>
    <mergeCell ref="AX7:AY7"/>
    <mergeCell ref="AZ7:BA7"/>
    <mergeCell ref="BB7:BC7"/>
    <mergeCell ref="AT8:AT9"/>
    <mergeCell ref="AU8:AU9"/>
    <mergeCell ref="AV8:AV9"/>
    <mergeCell ref="AW8:AW9"/>
    <mergeCell ref="AY8:AY9"/>
    <mergeCell ref="AZ8:AZ9"/>
    <mergeCell ref="BA8:BA9"/>
    <mergeCell ref="BG6:BG9"/>
    <mergeCell ref="BH6:BH9"/>
    <mergeCell ref="BI6:BI9"/>
    <mergeCell ref="BJ6:BJ9"/>
    <mergeCell ref="BK6:BK9"/>
    <mergeCell ref="BL6:BL9"/>
    <mergeCell ref="BM6:BM9"/>
    <mergeCell ref="BN6:BN9"/>
    <mergeCell ref="BO6:BO9"/>
    <mergeCell ref="BP6:BP9"/>
    <mergeCell ref="BQ6:BQ9"/>
    <mergeCell ref="BR6:BR9"/>
    <mergeCell ref="BS6:BS9"/>
    <mergeCell ref="B7:G7"/>
    <mergeCell ref="H7:I7"/>
    <mergeCell ref="J7:K7"/>
    <mergeCell ref="L7:M7"/>
    <mergeCell ref="N7:O7"/>
    <mergeCell ref="P7:Q7"/>
    <mergeCell ref="R7:S7"/>
    <mergeCell ref="T7:U7"/>
    <mergeCell ref="V7:W7"/>
    <mergeCell ref="X7:Y7"/>
    <mergeCell ref="Z7:AA7"/>
    <mergeCell ref="AB7:AC7"/>
    <mergeCell ref="AD7:AE7"/>
    <mergeCell ref="AF7:AG7"/>
    <mergeCell ref="AH7:AI7"/>
    <mergeCell ref="AJ7:AK7"/>
    <mergeCell ref="AL7:AM7"/>
    <mergeCell ref="AN7:AO7"/>
    <mergeCell ref="AP7:AQ7"/>
    <mergeCell ref="AR7:AS7"/>
    <mergeCell ref="AB8:AB9"/>
    <mergeCell ref="AC8:AC9"/>
    <mergeCell ref="AD8:AD9"/>
    <mergeCell ref="AE8:AE9"/>
    <mergeCell ref="AF8:AF9"/>
    <mergeCell ref="AG8:AG9"/>
    <mergeCell ref="AH8:AH9"/>
    <mergeCell ref="AI8:AI9"/>
    <mergeCell ref="AJ8:AJ9"/>
    <mergeCell ref="AK8:AK9"/>
    <mergeCell ref="AL8:AL9"/>
    <mergeCell ref="AM8:AM9"/>
    <mergeCell ref="AN8:AN9"/>
    <mergeCell ref="AO8:AO9"/>
    <mergeCell ref="AP8:AP9"/>
    <mergeCell ref="AQ8:AQ9"/>
    <mergeCell ref="AR8:AR9"/>
    <mergeCell ref="AS8:AS9"/>
    <mergeCell ref="BT8:CQ8"/>
    <mergeCell ref="CR8:DO8"/>
    <mergeCell ref="DP8:EM8"/>
    <mergeCell ref="EN8:FK8"/>
    <mergeCell ref="C10:D10"/>
    <mergeCell ref="H10:I10"/>
    <mergeCell ref="J10:K10"/>
    <mergeCell ref="L10:M10"/>
    <mergeCell ref="N10:O10"/>
    <mergeCell ref="P10:Q10"/>
    <mergeCell ref="R10:S10"/>
    <mergeCell ref="T10:U10"/>
    <mergeCell ref="V10:W10"/>
    <mergeCell ref="X10:Y10"/>
    <mergeCell ref="Z10:AA10"/>
    <mergeCell ref="AB10:AC10"/>
    <mergeCell ref="AX10:AY10"/>
    <mergeCell ref="AZ10:BA10"/>
    <mergeCell ref="AD10:AE10"/>
    <mergeCell ref="AF10:AG10"/>
    <mergeCell ref="AH10:AI10"/>
    <mergeCell ref="AJ10:AK10"/>
    <mergeCell ref="AL10:AM10"/>
    <mergeCell ref="AN10:AO10"/>
    <mergeCell ref="AG88:AS88"/>
    <mergeCell ref="AY88:BF88"/>
    <mergeCell ref="BG88:BN88"/>
    <mergeCell ref="AP10:AQ10"/>
    <mergeCell ref="AR10:AS10"/>
    <mergeCell ref="AT10:AU10"/>
    <mergeCell ref="AV10:AW10"/>
    <mergeCell ref="H89:I89"/>
    <mergeCell ref="J89:K89"/>
    <mergeCell ref="H88:I88"/>
    <mergeCell ref="J88:K88"/>
    <mergeCell ref="L88:AC88"/>
    <mergeCell ref="A88:G88"/>
    <mergeCell ref="B90:C90"/>
    <mergeCell ref="D90:G90"/>
    <mergeCell ref="H90:I90"/>
    <mergeCell ref="J90:K90"/>
    <mergeCell ref="B91:C91"/>
    <mergeCell ref="D91:G91"/>
    <mergeCell ref="H91:I91"/>
    <mergeCell ref="J91:K91"/>
    <mergeCell ref="A89:C89"/>
    <mergeCell ref="A97:C97"/>
    <mergeCell ref="D97:G97"/>
    <mergeCell ref="A98:G98"/>
    <mergeCell ref="B95:C95"/>
    <mergeCell ref="H97:I97"/>
    <mergeCell ref="J97:K97"/>
    <mergeCell ref="H98:I98"/>
    <mergeCell ref="J98:K98"/>
    <mergeCell ref="H96:I96"/>
    <mergeCell ref="J96:K96"/>
    <mergeCell ref="B94:C94"/>
    <mergeCell ref="D94:G94"/>
    <mergeCell ref="H94:I94"/>
    <mergeCell ref="J94:K94"/>
    <mergeCell ref="B92:C92"/>
    <mergeCell ref="D92:G92"/>
    <mergeCell ref="H92:I92"/>
    <mergeCell ref="J92:K92"/>
    <mergeCell ref="B93:C93"/>
    <mergeCell ref="D93:G93"/>
    <mergeCell ref="AY89:BF89"/>
    <mergeCell ref="BG89:BN89"/>
    <mergeCell ref="D95:G95"/>
    <mergeCell ref="H95:I95"/>
    <mergeCell ref="J95:K95"/>
    <mergeCell ref="L89:AC89"/>
    <mergeCell ref="H93:I93"/>
    <mergeCell ref="J93:K93"/>
    <mergeCell ref="AG89:AS89"/>
    <mergeCell ref="D89:G89"/>
    <mergeCell ref="B96:C96"/>
    <mergeCell ref="B102:C102"/>
    <mergeCell ref="D104:G104"/>
    <mergeCell ref="B103:C103"/>
    <mergeCell ref="J102:K102"/>
    <mergeCell ref="B101:C101"/>
    <mergeCell ref="D101:G101"/>
    <mergeCell ref="H101:I101"/>
    <mergeCell ref="D103:G103"/>
    <mergeCell ref="B104:C104"/>
    <mergeCell ref="H104:I104"/>
    <mergeCell ref="D102:G102"/>
    <mergeCell ref="H102:I102"/>
    <mergeCell ref="B100:C100"/>
    <mergeCell ref="D100:G100"/>
    <mergeCell ref="H100:I100"/>
    <mergeCell ref="H103:I103"/>
    <mergeCell ref="J101:K101"/>
    <mergeCell ref="J100:K100"/>
    <mergeCell ref="B99:C99"/>
    <mergeCell ref="D99:G99"/>
    <mergeCell ref="H99:I99"/>
    <mergeCell ref="J99:K99"/>
    <mergeCell ref="B112:C112"/>
    <mergeCell ref="H105:I105"/>
    <mergeCell ref="J105:K105"/>
    <mergeCell ref="B111:C111"/>
    <mergeCell ref="B108:C108"/>
    <mergeCell ref="B109:C109"/>
    <mergeCell ref="B110:C110"/>
    <mergeCell ref="B105:C105"/>
    <mergeCell ref="J103:K103"/>
    <mergeCell ref="J104:K104"/>
  </mergeCells>
  <phoneticPr fontId="9" type="noConversion"/>
  <conditionalFormatting sqref="BJ11:BJ85 BL11:BL85">
    <cfRule type="cellIs" dxfId="28" priority="5" stopIfTrue="1" operator="lessThanOrEqual">
      <formula>15</formula>
    </cfRule>
  </conditionalFormatting>
  <conditionalFormatting sqref="BB11:BC85 H11:X85 Z11:AX85 AZ11:AZ85">
    <cfRule type="cellIs" dxfId="27" priority="6" stopIfTrue="1" operator="lessThan">
      <formula>5</formula>
    </cfRule>
  </conditionalFormatting>
  <conditionalFormatting sqref="BN11:BN85 BP11:BP85">
    <cfRule type="cellIs" dxfId="26" priority="7" stopIfTrue="1" operator="lessThanOrEqual">
      <formula>5.5</formula>
    </cfRule>
  </conditionalFormatting>
  <conditionalFormatting sqref="BO11:BO85 BQ11:BR85">
    <cfRule type="cellIs" dxfId="25" priority="8" stopIfTrue="1" operator="equal">
      <formula>"Y"</formula>
    </cfRule>
  </conditionalFormatting>
  <conditionalFormatting sqref="BM108:BM114">
    <cfRule type="cellIs" dxfId="24" priority="9" stopIfTrue="1" operator="greaterThan">
      <formula>24</formula>
    </cfRule>
  </conditionalFormatting>
  <conditionalFormatting sqref="BJ11:BJ85 BL11:BL85">
    <cfRule type="cellIs" dxfId="23" priority="4" stopIfTrue="1" operator="lessThanOrEqual">
      <formula>15</formula>
    </cfRule>
  </conditionalFormatting>
  <conditionalFormatting sqref="BB11:BC85 H11:X85 Z11:AX85 AZ11:AZ85">
    <cfRule type="cellIs" dxfId="22" priority="3" stopIfTrue="1" operator="lessThan">
      <formula>5</formula>
    </cfRule>
  </conditionalFormatting>
  <conditionalFormatting sqref="BN11:BN85 BP11:BP85">
    <cfRule type="cellIs" dxfId="21" priority="2" stopIfTrue="1" operator="lessThanOrEqual">
      <formula>5.5</formula>
    </cfRule>
  </conditionalFormatting>
  <conditionalFormatting sqref="BO11:BO85 BQ11:BR85">
    <cfRule type="cellIs" dxfId="20" priority="1" stopIfTrue="1" operator="equal">
      <formula>"Y"</formula>
    </cfRule>
  </conditionalFormatting>
  <pageMargins left="0.75" right="0.75" top="1" bottom="1" header="0.5" footer="0.5"/>
  <headerFooter alignWithMargins="0"/>
</worksheet>
</file>

<file path=xl/worksheets/sheet7.xml><?xml version="1.0" encoding="utf-8"?>
<worksheet xmlns="http://schemas.openxmlformats.org/spreadsheetml/2006/main" xmlns:r="http://schemas.openxmlformats.org/officeDocument/2006/relationships">
  <dimension ref="A1:BY86"/>
  <sheetViews>
    <sheetView topLeftCell="B1" zoomScale="75" workbookViewId="0">
      <pane xSplit="5" ySplit="9" topLeftCell="BC10" activePane="bottomRight" state="frozen"/>
      <selection activeCell="B1" sqref="B1"/>
      <selection pane="topRight" activeCell="G1" sqref="G1"/>
      <selection pane="bottomLeft" activeCell="B10" sqref="B10"/>
      <selection pane="bottomRight" activeCell="B1" sqref="A1:IV65536"/>
    </sheetView>
  </sheetViews>
  <sheetFormatPr defaultRowHeight="15.75"/>
  <cols>
    <col min="1" max="1" width="6" style="163" bestFit="1" customWidth="1"/>
    <col min="2" max="2" width="17.85546875" style="163" bestFit="1" customWidth="1"/>
    <col min="3" max="3" width="7.7109375" style="163" bestFit="1" customWidth="1"/>
    <col min="4" max="4" width="7.7109375" style="163" customWidth="1"/>
    <col min="5" max="5" width="24.85546875" style="163" bestFit="1" customWidth="1"/>
    <col min="6" max="6" width="10.28515625" style="163" bestFit="1" customWidth="1"/>
    <col min="7" max="29" width="5.140625" style="163" customWidth="1"/>
    <col min="30" max="30" width="5.85546875" style="470" bestFit="1" customWidth="1"/>
    <col min="31" max="31" width="5.140625" style="471" customWidth="1"/>
    <col min="32" max="53" width="5.140625" style="163" customWidth="1"/>
    <col min="54" max="54" width="5.85546875" style="470" bestFit="1" customWidth="1"/>
    <col min="55" max="55" width="5.140625" style="527" customWidth="1"/>
    <col min="56" max="77" width="5.140625" style="229" customWidth="1"/>
    <col min="78" max="16384" width="9.140625" style="229"/>
  </cols>
  <sheetData>
    <row r="1" spans="1:77">
      <c r="A1" s="229"/>
      <c r="B1" s="229"/>
      <c r="C1" s="229"/>
      <c r="D1" s="229"/>
      <c r="E1" s="229"/>
      <c r="F1" s="229"/>
    </row>
    <row r="2" spans="1:77">
      <c r="A2" s="229"/>
      <c r="B2" s="229"/>
      <c r="C2" s="229"/>
      <c r="D2" s="229"/>
      <c r="E2" s="229"/>
      <c r="F2" s="229"/>
    </row>
    <row r="3" spans="1:77">
      <c r="A3" s="472"/>
      <c r="B3" s="472"/>
      <c r="C3" s="472"/>
      <c r="D3" s="472"/>
      <c r="E3" s="164"/>
      <c r="F3" s="229"/>
      <c r="G3" s="472"/>
      <c r="H3" s="472"/>
      <c r="I3" s="472"/>
      <c r="J3" s="472"/>
      <c r="K3" s="472"/>
      <c r="L3" s="472"/>
      <c r="M3" s="472"/>
      <c r="N3" s="472"/>
      <c r="O3" s="472"/>
      <c r="P3" s="472"/>
      <c r="Q3" s="472"/>
      <c r="R3" s="472"/>
      <c r="S3" s="472"/>
      <c r="T3" s="472"/>
      <c r="U3" s="472"/>
      <c r="V3" s="472"/>
      <c r="W3" s="472"/>
      <c r="X3" s="472"/>
      <c r="Y3" s="472"/>
      <c r="Z3" s="472"/>
      <c r="AA3" s="472"/>
      <c r="AB3" s="472"/>
      <c r="AC3" s="472"/>
      <c r="AD3" s="473"/>
      <c r="AE3" s="474"/>
      <c r="AF3" s="472"/>
      <c r="AG3" s="472"/>
      <c r="AH3" s="472"/>
      <c r="AI3" s="472"/>
      <c r="AJ3" s="472"/>
      <c r="AK3" s="472"/>
      <c r="AL3" s="472"/>
      <c r="AM3" s="472"/>
      <c r="AN3" s="472"/>
      <c r="AO3" s="472"/>
      <c r="AP3" s="472"/>
      <c r="AQ3" s="472"/>
      <c r="AR3" s="472"/>
      <c r="AS3" s="472"/>
      <c r="AT3" s="472"/>
      <c r="AU3" s="472"/>
      <c r="AV3" s="472"/>
      <c r="AW3" s="472"/>
      <c r="AX3" s="472"/>
      <c r="AY3" s="472"/>
      <c r="AZ3" s="472"/>
      <c r="BA3" s="472"/>
      <c r="BB3" s="473"/>
    </row>
    <row r="4" spans="1:77" ht="15">
      <c r="A4" s="229"/>
      <c r="B4" s="229">
        <v>1</v>
      </c>
      <c r="C4" s="229">
        <v>2</v>
      </c>
      <c r="D4" s="229">
        <v>3</v>
      </c>
      <c r="E4" s="229">
        <v>4</v>
      </c>
      <c r="F4" s="229">
        <v>5</v>
      </c>
      <c r="G4" s="229">
        <v>6</v>
      </c>
      <c r="H4" s="229">
        <v>7</v>
      </c>
      <c r="I4" s="229">
        <v>8</v>
      </c>
      <c r="J4" s="229">
        <v>9</v>
      </c>
      <c r="K4" s="229">
        <v>10</v>
      </c>
      <c r="L4" s="229">
        <v>11</v>
      </c>
      <c r="M4" s="229">
        <v>12</v>
      </c>
      <c r="N4" s="229">
        <v>13</v>
      </c>
      <c r="O4" s="229">
        <v>14</v>
      </c>
      <c r="P4" s="229">
        <v>15</v>
      </c>
      <c r="Q4" s="229">
        <v>16</v>
      </c>
      <c r="R4" s="229">
        <v>17</v>
      </c>
      <c r="S4" s="229">
        <v>18</v>
      </c>
      <c r="T4" s="229">
        <v>19</v>
      </c>
      <c r="U4" s="229">
        <v>20</v>
      </c>
      <c r="V4" s="229">
        <v>21</v>
      </c>
      <c r="W4" s="229">
        <v>22</v>
      </c>
      <c r="X4" s="229">
        <v>23</v>
      </c>
      <c r="Y4" s="229">
        <v>24</v>
      </c>
      <c r="Z4" s="229">
        <v>25</v>
      </c>
      <c r="AA4" s="229">
        <v>26</v>
      </c>
      <c r="AB4" s="229">
        <v>27</v>
      </c>
      <c r="AC4" s="229">
        <v>28</v>
      </c>
      <c r="AD4" s="229">
        <v>29</v>
      </c>
      <c r="AE4" s="229">
        <v>30</v>
      </c>
      <c r="AF4" s="229">
        <v>31</v>
      </c>
      <c r="AG4" s="229">
        <v>32</v>
      </c>
      <c r="AH4" s="229">
        <v>33</v>
      </c>
      <c r="AI4" s="229">
        <v>34</v>
      </c>
      <c r="AJ4" s="229">
        <v>35</v>
      </c>
      <c r="AK4" s="229">
        <v>36</v>
      </c>
      <c r="AL4" s="229">
        <v>37</v>
      </c>
      <c r="AM4" s="229">
        <v>38</v>
      </c>
      <c r="AN4" s="229">
        <v>39</v>
      </c>
      <c r="AO4" s="229">
        <v>40</v>
      </c>
      <c r="AP4" s="229">
        <v>41</v>
      </c>
      <c r="AQ4" s="229">
        <v>42</v>
      </c>
      <c r="AR4" s="229">
        <v>43</v>
      </c>
      <c r="AS4" s="229">
        <v>44</v>
      </c>
      <c r="AT4" s="229">
        <v>45</v>
      </c>
      <c r="AU4" s="229">
        <v>46</v>
      </c>
      <c r="AV4" s="229">
        <v>47</v>
      </c>
      <c r="AW4" s="229">
        <v>48</v>
      </c>
      <c r="AX4" s="229">
        <v>49</v>
      </c>
      <c r="AY4" s="229">
        <v>50</v>
      </c>
      <c r="AZ4" s="229">
        <v>51</v>
      </c>
      <c r="BA4" s="229">
        <v>52</v>
      </c>
      <c r="BB4" s="229">
        <v>53</v>
      </c>
      <c r="BC4" s="229">
        <v>54</v>
      </c>
      <c r="BD4" s="229">
        <v>55</v>
      </c>
      <c r="BE4" s="229">
        <v>56</v>
      </c>
      <c r="BF4" s="229">
        <v>57</v>
      </c>
      <c r="BG4" s="229">
        <v>58</v>
      </c>
      <c r="BH4" s="229">
        <v>59</v>
      </c>
      <c r="BI4" s="229">
        <v>60</v>
      </c>
      <c r="BJ4" s="229">
        <v>61</v>
      </c>
      <c r="BK4" s="229">
        <v>62</v>
      </c>
      <c r="BL4" s="229">
        <v>63</v>
      </c>
      <c r="BM4" s="229">
        <v>64</v>
      </c>
      <c r="BN4" s="229">
        <v>65</v>
      </c>
      <c r="BO4" s="229">
        <v>66</v>
      </c>
      <c r="BP4" s="229">
        <v>67</v>
      </c>
      <c r="BQ4" s="229">
        <v>68</v>
      </c>
      <c r="BR4" s="229">
        <v>69</v>
      </c>
      <c r="BS4" s="229">
        <v>70</v>
      </c>
      <c r="BT4" s="229">
        <v>71</v>
      </c>
      <c r="BU4" s="229">
        <v>72</v>
      </c>
      <c r="BV4" s="229">
        <v>73</v>
      </c>
      <c r="BW4" s="229">
        <v>74</v>
      </c>
      <c r="BX4" s="229">
        <v>75</v>
      </c>
      <c r="BY4" s="229">
        <v>76</v>
      </c>
    </row>
    <row r="5" spans="1:77" ht="16.5" thickBot="1">
      <c r="B5" s="475"/>
      <c r="C5" s="475"/>
      <c r="D5" s="475"/>
      <c r="E5" s="167"/>
      <c r="F5" s="229"/>
      <c r="BC5" s="685" t="s">
        <v>2077</v>
      </c>
      <c r="BD5" s="686"/>
      <c r="BE5" s="686"/>
      <c r="BF5" s="686"/>
      <c r="BG5" s="686"/>
      <c r="BH5" s="686"/>
      <c r="BI5" s="686"/>
      <c r="BJ5" s="686"/>
      <c r="BK5" s="686"/>
      <c r="BL5" s="686"/>
      <c r="BM5" s="686"/>
      <c r="BN5" s="686"/>
      <c r="BO5" s="686"/>
      <c r="BP5" s="686"/>
      <c r="BQ5" s="686"/>
      <c r="BR5" s="686"/>
      <c r="BS5" s="686"/>
      <c r="BT5" s="686"/>
      <c r="BU5" s="686"/>
      <c r="BV5" s="686"/>
      <c r="BW5" s="686"/>
      <c r="BX5" s="686"/>
      <c r="BY5" s="686"/>
    </row>
    <row r="6" spans="1:77" ht="115.5" customHeight="1" thickBot="1">
      <c r="A6" s="690" t="s">
        <v>1494</v>
      </c>
      <c r="B6" s="229"/>
      <c r="C6" s="229"/>
      <c r="D6" s="229"/>
      <c r="E6" s="229"/>
      <c r="F6" s="229"/>
      <c r="G6" s="439" t="str">
        <f>'NH13-14'!$H6</f>
        <v>Toán cao cấp 1</v>
      </c>
      <c r="H6" s="440" t="str">
        <f>'NH13-14'!$J6</f>
        <v>Vật lý đại cương 1</v>
      </c>
      <c r="I6" s="440" t="str">
        <f>'NH13-14'!$L6</f>
        <v>Hóa học đại cương 1</v>
      </c>
      <c r="J6" s="440" t="str">
        <f>'NH13-14'!$N6</f>
        <v xml:space="preserve">Pháp luật đại cương </v>
      </c>
      <c r="K6" s="440" t="str">
        <f>'NH13-14'!$P6</f>
        <v xml:space="preserve">Nhập môn Tin học </v>
      </c>
      <c r="L6" s="440" t="str">
        <f>'NH13-14'!$R6</f>
        <v xml:space="preserve">Đo lường và mạch điện </v>
      </c>
      <c r="M6" s="440" t="str">
        <f>'NH13-14'!$T6</f>
        <v xml:space="preserve">Mạng cung cấp điện </v>
      </c>
      <c r="N6" s="440" t="str">
        <f>'NH13-14'!$V6</f>
        <v/>
      </c>
      <c r="O6" s="440" t="str">
        <f>'NH13-14'!$X6</f>
        <v/>
      </c>
      <c r="P6" s="440" t="str">
        <f>'NH13-14'!$Z6</f>
        <v>Toán cao cấp 2</v>
      </c>
      <c r="Q6" s="440" t="str">
        <f>'NH13-14'!$AB6</f>
        <v>Anh văn 1</v>
      </c>
      <c r="R6" s="440" t="str">
        <f>'NH13-14'!$AD6</f>
        <v>Xác suất thống kê</v>
      </c>
      <c r="S6" s="440" t="str">
        <f>'NH13-14'!$AF6</f>
        <v>Vật lý đại cương 2</v>
      </c>
      <c r="T6" s="440" t="str">
        <f>'NH13-14'!$AH6</f>
        <v>Hoá học đại cương 2</v>
      </c>
      <c r="U6" s="440" t="str">
        <f>'NH13-14'!$AJ6</f>
        <v xml:space="preserve">Kỹ năng giao tiếp </v>
      </c>
      <c r="V6" s="440" t="str">
        <f>'NH13-14'!$AL6</f>
        <v>Những NLCB của CNMLN 1</v>
      </c>
      <c r="W6" s="440" t="str">
        <f>'NH13-14'!$AN6</f>
        <v xml:space="preserve">Điện tử cơ bản </v>
      </c>
      <c r="X6" s="441" t="str">
        <f>'NH13-14'!$AP6</f>
        <v>An toàn điện</v>
      </c>
      <c r="Y6" s="441" t="str">
        <f>'NH13-14'!$AR6</f>
        <v/>
      </c>
      <c r="Z6" s="441" t="str">
        <f>'NH13-14'!$AT6</f>
        <v/>
      </c>
      <c r="AA6" s="441" t="str">
        <f>'NH13-14'!$AV6</f>
        <v/>
      </c>
      <c r="AB6" s="441" t="str">
        <f>'NH13-14'!$AX6</f>
        <v xml:space="preserve">Thực tập Điện cơ bản </v>
      </c>
      <c r="AC6" s="441" t="str">
        <f>'NH13-14'!$AZ6</f>
        <v/>
      </c>
      <c r="AD6" s="528" t="s">
        <v>2078</v>
      </c>
      <c r="AE6" s="442" t="str">
        <f>'NH13-14'!$H6</f>
        <v>Toán cao cấp 1</v>
      </c>
      <c r="AF6" s="440" t="str">
        <f>'NH13-14'!$J6</f>
        <v>Vật lý đại cương 1</v>
      </c>
      <c r="AG6" s="440" t="str">
        <f>'NH13-14'!$L6</f>
        <v>Hóa học đại cương 1</v>
      </c>
      <c r="AH6" s="440" t="str">
        <f>'NH13-14'!$N6</f>
        <v xml:space="preserve">Pháp luật đại cương </v>
      </c>
      <c r="AI6" s="440" t="str">
        <f>'NH13-14'!$P6</f>
        <v xml:space="preserve">Nhập môn Tin học </v>
      </c>
      <c r="AJ6" s="440" t="str">
        <f>'NH13-14'!$R6</f>
        <v xml:space="preserve">Đo lường và mạch điện </v>
      </c>
      <c r="AK6" s="440" t="str">
        <f>'NH13-14'!$T6</f>
        <v xml:space="preserve">Mạng cung cấp điện </v>
      </c>
      <c r="AL6" s="440" t="str">
        <f>'NH13-14'!$V6</f>
        <v/>
      </c>
      <c r="AM6" s="440" t="str">
        <f>'NH13-14'!$X6</f>
        <v/>
      </c>
      <c r="AN6" s="440" t="str">
        <f>'NH13-14'!$Z6</f>
        <v>Toán cao cấp 2</v>
      </c>
      <c r="AO6" s="440" t="str">
        <f>'NH13-14'!$AB6</f>
        <v>Anh văn 1</v>
      </c>
      <c r="AP6" s="440" t="str">
        <f>'NH13-14'!$AD6</f>
        <v>Xác suất thống kê</v>
      </c>
      <c r="AQ6" s="440" t="str">
        <f>'NH13-14'!$AF6</f>
        <v>Vật lý đại cương 2</v>
      </c>
      <c r="AR6" s="440" t="str">
        <f>'NH13-14'!$AH6</f>
        <v>Hoá học đại cương 2</v>
      </c>
      <c r="AS6" s="440" t="str">
        <f>'NH13-14'!$AJ6</f>
        <v xml:space="preserve">Kỹ năng giao tiếp </v>
      </c>
      <c r="AT6" s="440" t="str">
        <f>'NH13-14'!$AL6</f>
        <v>Những NLCB của CNMLN 1</v>
      </c>
      <c r="AU6" s="440" t="str">
        <f>'NH13-14'!$AN6</f>
        <v xml:space="preserve">Điện tử cơ bản </v>
      </c>
      <c r="AV6" s="441" t="str">
        <f>'NH13-14'!$AP6</f>
        <v>An toàn điện</v>
      </c>
      <c r="AW6" s="441" t="str">
        <f>'NH13-14'!$AR6</f>
        <v/>
      </c>
      <c r="AX6" s="441" t="str">
        <f>'NH13-14'!$AT6</f>
        <v/>
      </c>
      <c r="AY6" s="441" t="str">
        <f>'NH13-14'!$AV6</f>
        <v/>
      </c>
      <c r="AZ6" s="441" t="str">
        <f>'NH13-14'!$AX6</f>
        <v xml:space="preserve">Thực tập Điện cơ bản </v>
      </c>
      <c r="BA6" s="441" t="str">
        <f>'NH13-14'!$AZ6</f>
        <v/>
      </c>
      <c r="BB6" s="528" t="s">
        <v>2079</v>
      </c>
      <c r="BC6" s="439" t="str">
        <f>'NH13-14'!$H6</f>
        <v>Toán cao cấp 1</v>
      </c>
      <c r="BD6" s="440" t="str">
        <f>'NH13-14'!$J6</f>
        <v>Vật lý đại cương 1</v>
      </c>
      <c r="BE6" s="440" t="str">
        <f>'NH13-14'!$L6</f>
        <v>Hóa học đại cương 1</v>
      </c>
      <c r="BF6" s="440" t="str">
        <f>'NH13-14'!$N6</f>
        <v xml:space="preserve">Pháp luật đại cương </v>
      </c>
      <c r="BG6" s="440" t="str">
        <f>'NH13-14'!$P6</f>
        <v xml:space="preserve">Nhập môn Tin học </v>
      </c>
      <c r="BH6" s="440" t="str">
        <f>'NH13-14'!$R6</f>
        <v xml:space="preserve">Đo lường và mạch điện </v>
      </c>
      <c r="BI6" s="440" t="str">
        <f>'NH13-14'!$T6</f>
        <v xml:space="preserve">Mạng cung cấp điện </v>
      </c>
      <c r="BJ6" s="440" t="str">
        <f>'NH13-14'!$V6</f>
        <v/>
      </c>
      <c r="BK6" s="440" t="str">
        <f>'NH13-14'!$X6</f>
        <v/>
      </c>
      <c r="BL6" s="440" t="str">
        <f>'NH13-14'!$Z6</f>
        <v>Toán cao cấp 2</v>
      </c>
      <c r="BM6" s="440" t="str">
        <f>'NH13-14'!$AB6</f>
        <v>Anh văn 1</v>
      </c>
      <c r="BN6" s="440" t="str">
        <f>'NH13-14'!$AD6</f>
        <v>Xác suất thống kê</v>
      </c>
      <c r="BO6" s="440" t="str">
        <f>'NH13-14'!$AF6</f>
        <v>Vật lý đại cương 2</v>
      </c>
      <c r="BP6" s="440" t="str">
        <f>'NH13-14'!$AH6</f>
        <v>Hoá học đại cương 2</v>
      </c>
      <c r="BQ6" s="440" t="str">
        <f>'NH13-14'!$AJ6</f>
        <v xml:space="preserve">Kỹ năng giao tiếp </v>
      </c>
      <c r="BR6" s="440" t="str">
        <f>'NH13-14'!$AL6</f>
        <v>Những NLCB của CNMLN 1</v>
      </c>
      <c r="BS6" s="440" t="str">
        <f>'NH13-14'!$AN6</f>
        <v xml:space="preserve">Điện tử cơ bản </v>
      </c>
      <c r="BT6" s="441" t="str">
        <f>'NH13-14'!$AP6</f>
        <v>An toàn điện</v>
      </c>
      <c r="BU6" s="441" t="str">
        <f>'NH13-14'!$AR6</f>
        <v/>
      </c>
      <c r="BV6" s="441" t="str">
        <f>'NH13-14'!$AT6</f>
        <v/>
      </c>
      <c r="BW6" s="441" t="str">
        <f>'NH13-14'!$AV6</f>
        <v/>
      </c>
      <c r="BX6" s="441" t="str">
        <f>'NH13-14'!$AX6</f>
        <v xml:space="preserve">Thực tập Điện cơ bản </v>
      </c>
      <c r="BY6" s="441" t="str">
        <f>'NH13-14'!$AZ6</f>
        <v/>
      </c>
    </row>
    <row r="7" spans="1:77">
      <c r="A7" s="691"/>
      <c r="B7" s="229"/>
      <c r="C7" s="229"/>
      <c r="D7" s="229"/>
      <c r="E7" s="229"/>
      <c r="F7" s="229"/>
      <c r="G7" s="443">
        <f>'NH13-14'!$H7</f>
        <v>3</v>
      </c>
      <c r="H7" s="444">
        <f>'NH13-14'!$J7</f>
        <v>3</v>
      </c>
      <c r="I7" s="444">
        <f>'NH13-14'!$L7</f>
        <v>2</v>
      </c>
      <c r="J7" s="444">
        <f>'NH13-14'!$N7</f>
        <v>2</v>
      </c>
      <c r="K7" s="444">
        <f>'NH13-14'!$P7</f>
        <v>3</v>
      </c>
      <c r="L7" s="444">
        <f>'NH13-14'!$R7</f>
        <v>5</v>
      </c>
      <c r="M7" s="444">
        <f>'NH13-14'!$T7</f>
        <v>2</v>
      </c>
      <c r="N7" s="444" t="str">
        <f>'NH13-14'!$V7</f>
        <v/>
      </c>
      <c r="O7" s="444" t="str">
        <f>'NH13-14'!$X7</f>
        <v/>
      </c>
      <c r="P7" s="444">
        <f>'NH13-14'!$Z7</f>
        <v>2</v>
      </c>
      <c r="Q7" s="444">
        <f>'NH13-14'!$AB7</f>
        <v>3</v>
      </c>
      <c r="R7" s="444">
        <f>'NH13-14'!$AD7</f>
        <v>2</v>
      </c>
      <c r="S7" s="444">
        <f>'NH13-14'!$AF7</f>
        <v>2</v>
      </c>
      <c r="T7" s="444">
        <f>'NH13-14'!$AH7</f>
        <v>2</v>
      </c>
      <c r="U7" s="444">
        <f>'NH13-14'!$AJ7</f>
        <v>2</v>
      </c>
      <c r="V7" s="444">
        <f>'NH13-14'!$AL7</f>
        <v>2</v>
      </c>
      <c r="W7" s="444">
        <f>'NH13-14'!$AN7</f>
        <v>2</v>
      </c>
      <c r="X7" s="445">
        <f>'NH13-14'!$AP7</f>
        <v>2</v>
      </c>
      <c r="Y7" s="445" t="str">
        <f>'NH13-14'!$AR7</f>
        <v/>
      </c>
      <c r="Z7" s="445" t="str">
        <f>'NH13-14'!$AT7</f>
        <v/>
      </c>
      <c r="AA7" s="445" t="str">
        <f>'NH13-14'!$AV7</f>
        <v/>
      </c>
      <c r="AB7" s="445">
        <f>'NH13-14'!$AX7</f>
        <v>2</v>
      </c>
      <c r="AC7" s="445" t="str">
        <f>'NH13-14'!$AZ7</f>
        <v/>
      </c>
      <c r="AD7" s="446">
        <f>SUM(G7:AC7)</f>
        <v>41</v>
      </c>
      <c r="AE7" s="447">
        <f>'NH13-14'!$H7</f>
        <v>3</v>
      </c>
      <c r="AF7" s="444">
        <f>'NH13-14'!$J7</f>
        <v>3</v>
      </c>
      <c r="AG7" s="444">
        <f>'NH13-14'!$L7</f>
        <v>2</v>
      </c>
      <c r="AH7" s="444">
        <f>'NH13-14'!$N7</f>
        <v>2</v>
      </c>
      <c r="AI7" s="444">
        <f>'NH13-14'!$P7</f>
        <v>3</v>
      </c>
      <c r="AJ7" s="444">
        <f>'NH13-14'!$R7</f>
        <v>5</v>
      </c>
      <c r="AK7" s="444">
        <f>'NH13-14'!$T7</f>
        <v>2</v>
      </c>
      <c r="AL7" s="444" t="str">
        <f>'NH13-14'!$V7</f>
        <v/>
      </c>
      <c r="AM7" s="444" t="str">
        <f>'NH13-14'!$X7</f>
        <v/>
      </c>
      <c r="AN7" s="444">
        <f>'NH13-14'!$Z7</f>
        <v>2</v>
      </c>
      <c r="AO7" s="444">
        <f>'NH13-14'!$AB7</f>
        <v>3</v>
      </c>
      <c r="AP7" s="444">
        <f>'NH13-14'!$AD7</f>
        <v>2</v>
      </c>
      <c r="AQ7" s="444">
        <f>'NH13-14'!$AF7</f>
        <v>2</v>
      </c>
      <c r="AR7" s="444">
        <f>'NH13-14'!$AH7</f>
        <v>2</v>
      </c>
      <c r="AS7" s="444">
        <f>'NH13-14'!$AJ7</f>
        <v>2</v>
      </c>
      <c r="AT7" s="444">
        <f>'NH13-14'!$AL7</f>
        <v>2</v>
      </c>
      <c r="AU7" s="444">
        <f>'NH13-14'!$AN7</f>
        <v>2</v>
      </c>
      <c r="AV7" s="445">
        <f>'NH13-14'!$AP7</f>
        <v>2</v>
      </c>
      <c r="AW7" s="445" t="str">
        <f>'NH13-14'!$AR7</f>
        <v/>
      </c>
      <c r="AX7" s="445" t="str">
        <f>'NH13-14'!$AT7</f>
        <v/>
      </c>
      <c r="AY7" s="445" t="str">
        <f>'NH13-14'!$AV7</f>
        <v/>
      </c>
      <c r="AZ7" s="445">
        <f>'NH13-14'!$AX7</f>
        <v>2</v>
      </c>
      <c r="BA7" s="445" t="str">
        <f>'NH13-14'!$AZ7</f>
        <v/>
      </c>
      <c r="BB7" s="446">
        <f>SUM(AE7:BA7)</f>
        <v>41</v>
      </c>
      <c r="BC7" s="443">
        <f>'NH13-14'!$H7</f>
        <v>3</v>
      </c>
      <c r="BD7" s="444">
        <f>'NH13-14'!$J7</f>
        <v>3</v>
      </c>
      <c r="BE7" s="444">
        <f>'NH13-14'!$L7</f>
        <v>2</v>
      </c>
      <c r="BF7" s="444">
        <f>'NH13-14'!$N7</f>
        <v>2</v>
      </c>
      <c r="BG7" s="444">
        <f>'NH13-14'!$P7</f>
        <v>3</v>
      </c>
      <c r="BH7" s="444">
        <f>'NH13-14'!$R7</f>
        <v>5</v>
      </c>
      <c r="BI7" s="444">
        <f>'NH13-14'!$T7</f>
        <v>2</v>
      </c>
      <c r="BJ7" s="444" t="str">
        <f>'NH13-14'!$V7</f>
        <v/>
      </c>
      <c r="BK7" s="444" t="str">
        <f>'NH13-14'!$X7</f>
        <v/>
      </c>
      <c r="BL7" s="444">
        <f>'NH13-14'!$Z7</f>
        <v>2</v>
      </c>
      <c r="BM7" s="444">
        <f>'NH13-14'!$AB7</f>
        <v>3</v>
      </c>
      <c r="BN7" s="444">
        <f>'NH13-14'!$AD7</f>
        <v>2</v>
      </c>
      <c r="BO7" s="444">
        <f>'NH13-14'!$AF7</f>
        <v>2</v>
      </c>
      <c r="BP7" s="444">
        <f>'NH13-14'!$AH7</f>
        <v>2</v>
      </c>
      <c r="BQ7" s="444">
        <f>'NH13-14'!$AJ7</f>
        <v>2</v>
      </c>
      <c r="BR7" s="444">
        <f>'NH13-14'!$AL7</f>
        <v>2</v>
      </c>
      <c r="BS7" s="444">
        <f>'NH13-14'!$AN7</f>
        <v>2</v>
      </c>
      <c r="BT7" s="445">
        <f>'NH13-14'!$AP7</f>
        <v>2</v>
      </c>
      <c r="BU7" s="445" t="str">
        <f>'NH13-14'!$AR7</f>
        <v/>
      </c>
      <c r="BV7" s="445" t="str">
        <f>'NH13-14'!$AT7</f>
        <v/>
      </c>
      <c r="BW7" s="445" t="str">
        <f>'NH13-14'!$AV7</f>
        <v/>
      </c>
      <c r="BX7" s="445">
        <f>'NH13-14'!$AX7</f>
        <v>2</v>
      </c>
      <c r="BY7" s="445" t="str">
        <f>'NH13-14'!$AZ7</f>
        <v/>
      </c>
    </row>
    <row r="8" spans="1:77">
      <c r="A8" s="691"/>
      <c r="B8" s="693" t="s">
        <v>1425</v>
      </c>
      <c r="C8" s="699" t="s">
        <v>97</v>
      </c>
      <c r="D8" s="699" t="s">
        <v>98</v>
      </c>
      <c r="E8" s="695" t="s">
        <v>1426</v>
      </c>
      <c r="F8" s="696"/>
      <c r="G8" s="689" t="s">
        <v>96</v>
      </c>
      <c r="H8" s="689"/>
      <c r="I8" s="689"/>
      <c r="J8" s="689"/>
      <c r="K8" s="689"/>
      <c r="L8" s="689"/>
      <c r="M8" s="689"/>
      <c r="N8" s="689"/>
      <c r="O8" s="689"/>
      <c r="P8" s="689"/>
      <c r="Q8" s="689"/>
      <c r="R8" s="689"/>
      <c r="S8" s="689"/>
      <c r="T8" s="689"/>
      <c r="U8" s="689"/>
      <c r="V8" s="689"/>
      <c r="W8" s="689"/>
      <c r="X8" s="689"/>
      <c r="Y8" s="689"/>
      <c r="Z8" s="689"/>
      <c r="AA8" s="689"/>
      <c r="AB8" s="689"/>
      <c r="AC8" s="689"/>
      <c r="AD8" s="689"/>
      <c r="AE8" s="689" t="s">
        <v>2076</v>
      </c>
      <c r="AF8" s="689"/>
      <c r="AG8" s="689"/>
      <c r="AH8" s="689"/>
      <c r="AI8" s="689"/>
      <c r="AJ8" s="689"/>
      <c r="AK8" s="689"/>
      <c r="AL8" s="689"/>
      <c r="AM8" s="689"/>
      <c r="AN8" s="689"/>
      <c r="AO8" s="689"/>
      <c r="AP8" s="689"/>
      <c r="AQ8" s="689"/>
      <c r="AR8" s="689"/>
      <c r="AS8" s="689"/>
      <c r="AT8" s="689"/>
      <c r="AU8" s="689"/>
      <c r="AV8" s="689"/>
      <c r="AW8" s="689"/>
      <c r="AX8" s="689"/>
      <c r="AY8" s="689"/>
      <c r="AZ8" s="689"/>
      <c r="BA8" s="689"/>
      <c r="BB8" s="689"/>
    </row>
    <row r="9" spans="1:77" ht="16.5" thickBot="1">
      <c r="A9" s="692"/>
      <c r="B9" s="694"/>
      <c r="C9" s="700"/>
      <c r="D9" s="700"/>
      <c r="E9" s="697"/>
      <c r="F9" s="698"/>
    </row>
    <row r="10" spans="1:77" ht="16.5" thickBot="1">
      <c r="A10" s="476" t="s">
        <v>1594</v>
      </c>
      <c r="B10" s="477" t="s">
        <v>1595</v>
      </c>
      <c r="C10" s="489"/>
      <c r="D10" s="489"/>
      <c r="E10" s="687" t="s">
        <v>1596</v>
      </c>
      <c r="F10" s="688"/>
      <c r="G10" s="478"/>
      <c r="H10" s="478"/>
      <c r="I10" s="478"/>
      <c r="J10" s="478"/>
      <c r="K10" s="478"/>
      <c r="L10" s="478"/>
      <c r="M10" s="478"/>
      <c r="N10" s="478"/>
      <c r="O10" s="478"/>
      <c r="P10" s="478"/>
      <c r="Q10" s="478"/>
      <c r="R10" s="478"/>
      <c r="S10" s="478"/>
      <c r="T10" s="478"/>
      <c r="U10" s="478"/>
      <c r="V10" s="478"/>
      <c r="W10" s="478"/>
      <c r="X10" s="478"/>
      <c r="Y10" s="478"/>
      <c r="Z10" s="478"/>
      <c r="AA10" s="478"/>
      <c r="AB10" s="478"/>
      <c r="AC10" s="478"/>
      <c r="AD10" s="479"/>
      <c r="AE10" s="480"/>
      <c r="AF10" s="478"/>
      <c r="AG10" s="478"/>
      <c r="AH10" s="478"/>
      <c r="AI10" s="478"/>
      <c r="AJ10" s="478"/>
      <c r="AK10" s="478"/>
      <c r="AL10" s="478"/>
      <c r="AM10" s="478"/>
      <c r="AN10" s="478"/>
      <c r="AO10" s="478"/>
      <c r="AP10" s="478"/>
      <c r="AQ10" s="478"/>
      <c r="AR10" s="478"/>
      <c r="AS10" s="478"/>
      <c r="AT10" s="478"/>
      <c r="AU10" s="478"/>
      <c r="AV10" s="478"/>
      <c r="AW10" s="478"/>
      <c r="AX10" s="478"/>
      <c r="AY10" s="478"/>
      <c r="AZ10" s="478"/>
      <c r="BA10" s="478"/>
      <c r="BB10" s="479"/>
    </row>
    <row r="11" spans="1:77">
      <c r="A11" s="481">
        <f>IF('NH13-14'!A11="","",'NH13-14'!A11)</f>
        <v>1</v>
      </c>
      <c r="B11" s="482" t="str">
        <f>IF('NH13-14'!B11="","",'NH13-14'!B11)</f>
        <v>13D301Đ001</v>
      </c>
      <c r="C11" s="490">
        <f>IF(B11="","",SUMIF(G11:AC11,"&gt;=4",$G$7:$AC$7))</f>
        <v>39</v>
      </c>
      <c r="D11" s="490">
        <f>IF(B11="","",SUMIF(G11:AC11,"&lt;4",$G$7:$AC$7))</f>
        <v>0</v>
      </c>
      <c r="E11" s="483" t="str">
        <f>IF('NH13-14'!C11="","",'NH13-14'!C11)</f>
        <v>Lương Hoàng Thuận</v>
      </c>
      <c r="F11" s="484" t="str">
        <f>IF('NH13-14'!D11="","",'NH13-14'!D11)</f>
        <v>An</v>
      </c>
      <c r="G11" s="485">
        <f>IF('NH13-14'!I11="",'NH13-14'!H11,IF('NH13-14'!I11&gt;='NH13-14'!H11,'NH13-14'!I11,'NH13-14'!H11))</f>
        <v>5.2</v>
      </c>
      <c r="H11" s="485">
        <f>IF('NH13-14'!K11="",'NH13-14'!J11,IF('NH13-14'!K11&gt;='NH13-14'!J11,'NH13-14'!K11,'NH13-14'!J11))</f>
        <v>9.3000000000000007</v>
      </c>
      <c r="I11" s="485">
        <f>IF('NH13-14'!M11="",'NH13-14'!L11,IF('NH13-14'!M11&gt;='NH13-14'!L11,'NH13-14'!M11,'NH13-14'!L11))</f>
        <v>7.2</v>
      </c>
      <c r="J11" s="485">
        <f>IF('NH13-14'!O11="",'NH13-14'!N11,IF('NH13-14'!O11&gt;='NH13-14'!N11,'NH13-14'!O11,'NH13-14'!N11))</f>
        <v>5.8</v>
      </c>
      <c r="K11" s="485">
        <f>IF('NH13-14'!Q11="",'NH13-14'!P11,IF('NH13-14'!Q11&gt;='NH13-14'!P11,'NH13-14'!Q11,'NH13-14'!P11))</f>
        <v>6.3</v>
      </c>
      <c r="L11" s="485">
        <f>IF('NH13-14'!S11="",'NH13-14'!R11,IF('NH13-14'!S11&gt;='NH13-14'!R11,'NH13-14'!S11,'NH13-14'!R11))</f>
        <v>7.2</v>
      </c>
      <c r="M11" s="485">
        <f>IF('NH13-14'!U11="",'NH13-14'!T11,IF('NH13-14'!U11&gt;='NH13-14'!T11,'NH13-14'!U11,'NH13-14'!T11))</f>
        <v>8.3000000000000007</v>
      </c>
      <c r="N11" s="485" t="str">
        <f>IF('NH13-14'!W11="",'NH13-14'!V11,IF('NH13-14'!W11&gt;='NH13-14'!V11,'NH13-14'!W11,'NH13-14'!V11))</f>
        <v/>
      </c>
      <c r="O11" s="485" t="str">
        <f>IF('NH13-14'!Y11="",'NH13-14'!X11,IF('NH13-14'!Y11&gt;='NH13-14'!X11,'NH13-14'!Y11,'NH13-14'!X11))</f>
        <v/>
      </c>
      <c r="P11" s="485">
        <f>IF('NH13-14'!AA11="",'NH13-14'!Z11,IF('NH13-14'!AA11&gt;='NH13-14'!Z11,'NH13-14'!AA11,'NH13-14'!Z11))</f>
        <v>8.1</v>
      </c>
      <c r="Q11" s="485">
        <f>IF('NH13-14'!AC11="",'NH13-14'!AB11,IF('NH13-14'!AC11&gt;='NH13-14'!AB11,'NH13-14'!AC11,'NH13-14'!AB11))</f>
        <v>5.5</v>
      </c>
      <c r="R11" s="485" t="str">
        <f>IF('NH13-14'!AE11="",'NH13-14'!AD11,IF('NH13-14'!AE11&gt;='NH13-14'!AD11,'NH13-14'!AE11,'NH13-14'!AD11))</f>
        <v/>
      </c>
      <c r="S11" s="485">
        <f>IF('NH13-14'!AG11="",'NH13-14'!AF11,IF('NH13-14'!AG11&gt;='NH13-14'!AF11,'NH13-14'!AG11,'NH13-14'!AF11))</f>
        <v>9.8000000000000007</v>
      </c>
      <c r="T11" s="485">
        <f>IF('NH13-14'!AI11="",'NH13-14'!AH11,IF('NH13-14'!AI11&gt;='NH13-14'!AH11,'NH13-14'!AI11,'NH13-14'!AH11))</f>
        <v>9.1</v>
      </c>
      <c r="U11" s="485">
        <f>IF('NH13-14'!AK11="",'NH13-14'!AJ11,IF('NH13-14'!AK11&gt;='NH13-14'!AJ11,'NH13-14'!AK11,'NH13-14'!AJ11))</f>
        <v>8</v>
      </c>
      <c r="V11" s="485">
        <f>IF('NH13-14'!AM11="",'NH13-14'!AL11,IF('NH13-14'!AM11&gt;='NH13-14'!AL11,'NH13-14'!AM11,'NH13-14'!AL11))</f>
        <v>8.1</v>
      </c>
      <c r="W11" s="485">
        <f>IF('NH13-14'!AO11="",'NH13-14'!AN11,IF('NH13-14'!AO11&gt;='NH13-14'!AN11,'NH13-14'!AO11,'NH13-14'!AN11))</f>
        <v>6</v>
      </c>
      <c r="X11" s="485">
        <f>IF('NH13-14'!AQ11="",'NH13-14'!AP11,IF('NH13-14'!AQ11&gt;='NH13-14'!AP11,'NH13-14'!AQ11,'NH13-14'!AP11))</f>
        <v>8</v>
      </c>
      <c r="Y11" s="485" t="str">
        <f>IF('NH13-14'!AS11="",'NH13-14'!AR11,IF('NH13-14'!AS11&gt;='NH13-14'!AR11,'NH13-14'!AS11,'NH13-14'!AR11))</f>
        <v/>
      </c>
      <c r="Z11" s="485" t="str">
        <f>IF('NH13-14'!AU11="",'NH13-14'!AT11,IF('NH13-14'!AU11&gt;='NH13-14'!AT11,'NH13-14'!AU11,'NH13-14'!AT11))</f>
        <v/>
      </c>
      <c r="AA11" s="485" t="str">
        <f>IF('NH13-14'!AW11="",'NH13-14'!AV11,IF('NH13-14'!AW11&gt;='NH13-14'!AV11,'NH13-14'!AW11,'NH13-14'!AV11))</f>
        <v/>
      </c>
      <c r="AB11" s="485">
        <f>IF('NH13-14'!AY11="",'NH13-14'!AX11,IF('NH13-14'!AY11&gt;='NH13-14'!AX11,'NH13-14'!AY11,'NH13-14'!AX11))</f>
        <v>7</v>
      </c>
      <c r="AC11" s="485" t="str">
        <f>IF('NH13-14'!BA11="",'NH13-14'!AZ11,IF('NH13-14'!BA11&gt;='NH13-14'!AZ11,'NH13-14'!BA11,'NH13-14'!AZ11))</f>
        <v/>
      </c>
      <c r="AD11" s="486">
        <f>IF('NH13-14'!B11="","",ROUND(SUMPRODUCT(G11:AC11,$G$7:$AC$7)/SUMIF(G11:AC11,"&gt;=0",$G$7:$AC$7),2))</f>
        <v>7.33</v>
      </c>
      <c r="AE11" s="487">
        <f t="shared" ref="AE11:BA11" si="0">IF(G11="","",IF(G11&lt;4,"",IF(G11&lt;5.5,1,IF(G11&lt;7,2,IF(G11&lt;8.5,3,4)))))</f>
        <v>1</v>
      </c>
      <c r="AF11" s="488">
        <f t="shared" si="0"/>
        <v>4</v>
      </c>
      <c r="AG11" s="488">
        <f t="shared" si="0"/>
        <v>3</v>
      </c>
      <c r="AH11" s="488">
        <f t="shared" si="0"/>
        <v>2</v>
      </c>
      <c r="AI11" s="488">
        <f t="shared" si="0"/>
        <v>2</v>
      </c>
      <c r="AJ11" s="488">
        <f t="shared" si="0"/>
        <v>3</v>
      </c>
      <c r="AK11" s="488">
        <f t="shared" si="0"/>
        <v>3</v>
      </c>
      <c r="AL11" s="488" t="str">
        <f t="shared" si="0"/>
        <v/>
      </c>
      <c r="AM11" s="488" t="str">
        <f t="shared" si="0"/>
        <v/>
      </c>
      <c r="AN11" s="488">
        <f t="shared" si="0"/>
        <v>3</v>
      </c>
      <c r="AO11" s="488">
        <f t="shared" si="0"/>
        <v>2</v>
      </c>
      <c r="AP11" s="488" t="str">
        <f t="shared" si="0"/>
        <v/>
      </c>
      <c r="AQ11" s="488">
        <f t="shared" si="0"/>
        <v>4</v>
      </c>
      <c r="AR11" s="488">
        <f t="shared" si="0"/>
        <v>4</v>
      </c>
      <c r="AS11" s="488">
        <f t="shared" si="0"/>
        <v>3</v>
      </c>
      <c r="AT11" s="488">
        <f t="shared" si="0"/>
        <v>3</v>
      </c>
      <c r="AU11" s="488">
        <f t="shared" si="0"/>
        <v>2</v>
      </c>
      <c r="AV11" s="488">
        <f t="shared" si="0"/>
        <v>3</v>
      </c>
      <c r="AW11" s="488" t="str">
        <f t="shared" si="0"/>
        <v/>
      </c>
      <c r="AX11" s="488" t="str">
        <f t="shared" si="0"/>
        <v/>
      </c>
      <c r="AY11" s="488" t="str">
        <f t="shared" si="0"/>
        <v/>
      </c>
      <c r="AZ11" s="488">
        <f t="shared" si="0"/>
        <v>3</v>
      </c>
      <c r="BA11" s="488" t="str">
        <f t="shared" si="0"/>
        <v/>
      </c>
      <c r="BB11" s="486">
        <f>IF('NH13-14'!B11="","",ROUND(SUMPRODUCT(AE11:BA11,$AE$7:$BA$7)/SUMIF(AE11:BA11,"&gt;=1",$AE$7:$BA$7),2))</f>
        <v>2.77</v>
      </c>
      <c r="BC11" s="527">
        <f>IF(G11&lt;4,"",G11)</f>
        <v>5.2</v>
      </c>
      <c r="BD11" s="507">
        <f t="shared" ref="BD11:BY11" si="1">IF(H11&lt;4,"",H11)</f>
        <v>9.3000000000000007</v>
      </c>
      <c r="BE11" s="507">
        <f t="shared" si="1"/>
        <v>7.2</v>
      </c>
      <c r="BF11" s="507">
        <f t="shared" si="1"/>
        <v>5.8</v>
      </c>
      <c r="BG11" s="507">
        <f t="shared" si="1"/>
        <v>6.3</v>
      </c>
      <c r="BH11" s="507">
        <f t="shared" si="1"/>
        <v>7.2</v>
      </c>
      <c r="BI11" s="507">
        <f t="shared" si="1"/>
        <v>8.3000000000000007</v>
      </c>
      <c r="BJ11" s="507" t="str">
        <f t="shared" si="1"/>
        <v/>
      </c>
      <c r="BK11" s="507" t="str">
        <f t="shared" si="1"/>
        <v/>
      </c>
      <c r="BL11" s="507">
        <f t="shared" si="1"/>
        <v>8.1</v>
      </c>
      <c r="BM11" s="507">
        <f t="shared" si="1"/>
        <v>5.5</v>
      </c>
      <c r="BN11" s="507" t="str">
        <f t="shared" si="1"/>
        <v/>
      </c>
      <c r="BO11" s="507">
        <f t="shared" si="1"/>
        <v>9.8000000000000007</v>
      </c>
      <c r="BP11" s="507">
        <f t="shared" si="1"/>
        <v>9.1</v>
      </c>
      <c r="BQ11" s="507">
        <f t="shared" si="1"/>
        <v>8</v>
      </c>
      <c r="BR11" s="507">
        <f t="shared" si="1"/>
        <v>8.1</v>
      </c>
      <c r="BS11" s="507">
        <f t="shared" si="1"/>
        <v>6</v>
      </c>
      <c r="BT11" s="507">
        <f t="shared" si="1"/>
        <v>8</v>
      </c>
      <c r="BU11" s="507" t="str">
        <f t="shared" si="1"/>
        <v/>
      </c>
      <c r="BV11" s="507" t="str">
        <f t="shared" si="1"/>
        <v/>
      </c>
      <c r="BW11" s="507" t="str">
        <f t="shared" si="1"/>
        <v/>
      </c>
      <c r="BX11" s="507">
        <f t="shared" si="1"/>
        <v>7</v>
      </c>
      <c r="BY11" s="507" t="str">
        <f t="shared" si="1"/>
        <v/>
      </c>
    </row>
    <row r="12" spans="1:77">
      <c r="A12" s="481">
        <f>IF('NH13-14'!A12="","",'NH13-14'!A12)</f>
        <v>2</v>
      </c>
      <c r="B12" s="482" t="str">
        <f>IF('NH13-14'!B12="","",'NH13-14'!B12)</f>
        <v>13D301Đ009</v>
      </c>
      <c r="C12" s="490">
        <f t="shared" ref="C12:C75" si="2">IF(B12="","",SUMIF(G12:AC12,"&gt;=4",$G$7:$AC$7))</f>
        <v>37</v>
      </c>
      <c r="D12" s="490">
        <f t="shared" ref="D12:D75" si="3">IF(B12="","",SUMIF(G12:AC12,"&lt;4",$G$7:$AC$7))</f>
        <v>2</v>
      </c>
      <c r="E12" s="483" t="str">
        <f>IF('NH13-14'!C12="","",'NH13-14'!C12)</f>
        <v>Võ Thành</v>
      </c>
      <c r="F12" s="484" t="str">
        <f>IF('NH13-14'!D12="","",'NH13-14'!D12)</f>
        <v>Bảo</v>
      </c>
      <c r="G12" s="485">
        <f>IF('NH13-14'!I12="",'NH13-14'!H12,IF('NH13-14'!I12&gt;='NH13-14'!H12,'NH13-14'!I12,'NH13-14'!H12))</f>
        <v>4.5999999999999996</v>
      </c>
      <c r="H12" s="485">
        <f>IF('NH13-14'!K12="",'NH13-14'!J12,IF('NH13-14'!K12&gt;='NH13-14'!J12,'NH13-14'!K12,'NH13-14'!J12))</f>
        <v>5.7</v>
      </c>
      <c r="I12" s="485">
        <f>IF('NH13-14'!M12="",'NH13-14'!L12,IF('NH13-14'!M12&gt;='NH13-14'!L12,'NH13-14'!M12,'NH13-14'!L12))</f>
        <v>6.1</v>
      </c>
      <c r="J12" s="485">
        <f>IF('NH13-14'!O12="",'NH13-14'!N12,IF('NH13-14'!O12&gt;='NH13-14'!N12,'NH13-14'!O12,'NH13-14'!N12))</f>
        <v>6.3</v>
      </c>
      <c r="K12" s="485">
        <f>IF('NH13-14'!Q12="",'NH13-14'!P12,IF('NH13-14'!Q12&gt;='NH13-14'!P12,'NH13-14'!Q12,'NH13-14'!P12))</f>
        <v>5.6</v>
      </c>
      <c r="L12" s="485">
        <f>IF('NH13-14'!S12="",'NH13-14'!R12,IF('NH13-14'!S12&gt;='NH13-14'!R12,'NH13-14'!S12,'NH13-14'!R12))</f>
        <v>6.4</v>
      </c>
      <c r="M12" s="485">
        <f>IF('NH13-14'!U12="",'NH13-14'!T12,IF('NH13-14'!U12&gt;='NH13-14'!T12,'NH13-14'!U12,'NH13-14'!T12))</f>
        <v>5.9</v>
      </c>
      <c r="N12" s="485" t="str">
        <f>IF('NH13-14'!W12="",'NH13-14'!V12,IF('NH13-14'!W12&gt;='NH13-14'!V12,'NH13-14'!W12,'NH13-14'!V12))</f>
        <v/>
      </c>
      <c r="O12" s="485" t="str">
        <f>IF('NH13-14'!Y12="",'NH13-14'!X12,IF('NH13-14'!Y12&gt;='NH13-14'!X12,'NH13-14'!Y12,'NH13-14'!X12))</f>
        <v/>
      </c>
      <c r="P12" s="485">
        <f>IF('NH13-14'!AA12="",'NH13-14'!Z12,IF('NH13-14'!AA12&gt;='NH13-14'!Z12,'NH13-14'!AA12,'NH13-14'!Z12))</f>
        <v>6.1</v>
      </c>
      <c r="Q12" s="485">
        <f>IF('NH13-14'!AC12="",'NH13-14'!AB12,IF('NH13-14'!AC12&gt;='NH13-14'!AB12,'NH13-14'!AC12,'NH13-14'!AB12))</f>
        <v>4.2</v>
      </c>
      <c r="R12" s="485">
        <f>IF('NH13-14'!AE12="",'NH13-14'!AD12,IF('NH13-14'!AE12&gt;='NH13-14'!AD12,'NH13-14'!AE12,'NH13-14'!AD12))</f>
        <v>5.5</v>
      </c>
      <c r="S12" s="485" t="str">
        <f>IF('NH13-14'!AG12="",'NH13-14'!AF12,IF('NH13-14'!AG12&gt;='NH13-14'!AF12,'NH13-14'!AG12,'NH13-14'!AF12))</f>
        <v/>
      </c>
      <c r="T12" s="485">
        <f>IF('NH13-14'!AI12="",'NH13-14'!AH12,IF('NH13-14'!AI12&gt;='NH13-14'!AH12,'NH13-14'!AI12,'NH13-14'!AH12))</f>
        <v>6</v>
      </c>
      <c r="U12" s="485">
        <f>IF('NH13-14'!AK12="",'NH13-14'!AJ12,IF('NH13-14'!AK12&gt;='NH13-14'!AJ12,'NH13-14'!AK12,'NH13-14'!AJ12))</f>
        <v>6.3</v>
      </c>
      <c r="V12" s="485">
        <f>IF('NH13-14'!AM12="",'NH13-14'!AL12,IF('NH13-14'!AM12&gt;='NH13-14'!AL12,'NH13-14'!AM12,'NH13-14'!AL12))</f>
        <v>5.8</v>
      </c>
      <c r="W12" s="485">
        <f>IF('NH13-14'!AO12="",'NH13-14'!AN12,IF('NH13-14'!AO12&gt;='NH13-14'!AN12,'NH13-14'!AO12,'NH13-14'!AN12))</f>
        <v>2.4</v>
      </c>
      <c r="X12" s="485">
        <f>IF('NH13-14'!AQ12="",'NH13-14'!AP12,IF('NH13-14'!AQ12&gt;='NH13-14'!AP12,'NH13-14'!AQ12,'NH13-14'!AP12))</f>
        <v>7.4</v>
      </c>
      <c r="Y12" s="485" t="str">
        <f>IF('NH13-14'!AS12="",'NH13-14'!AR12,IF('NH13-14'!AS12&gt;='NH13-14'!AR12,'NH13-14'!AS12,'NH13-14'!AR12))</f>
        <v/>
      </c>
      <c r="Z12" s="485" t="str">
        <f>IF('NH13-14'!AU12="",'NH13-14'!AT12,IF('NH13-14'!AU12&gt;='NH13-14'!AT12,'NH13-14'!AU12,'NH13-14'!AT12))</f>
        <v/>
      </c>
      <c r="AA12" s="485" t="str">
        <f>IF('NH13-14'!AW12="",'NH13-14'!AV12,IF('NH13-14'!AW12&gt;='NH13-14'!AV12,'NH13-14'!AW12,'NH13-14'!AV12))</f>
        <v/>
      </c>
      <c r="AB12" s="485">
        <f>IF('NH13-14'!AY12="",'NH13-14'!AX12,IF('NH13-14'!AY12&gt;='NH13-14'!AX12,'NH13-14'!AY12,'NH13-14'!AX12))</f>
        <v>5.6</v>
      </c>
      <c r="AC12" s="485" t="str">
        <f>IF('NH13-14'!BA12="",'NH13-14'!AZ12,IF('NH13-14'!BA12&gt;='NH13-14'!AZ12,'NH13-14'!BA12,'NH13-14'!AZ12))</f>
        <v/>
      </c>
      <c r="AD12" s="486">
        <f>IF('NH13-14'!B12="","",ROUND(SUMPRODUCT(G12:AC12,$G$7:$AC$7)/SUMIF(G12:AC12,"&gt;=0",$G$7:$AC$7),2))</f>
        <v>5.62</v>
      </c>
      <c r="AE12" s="487">
        <f t="shared" ref="AE12:AE43" si="4">IF(G12="","",IF(G12&lt;4,"",IF(G12&lt;5.5,1,IF(G12&lt;7,2,IF(G12&lt;8.5,3,4)))))</f>
        <v>1</v>
      </c>
      <c r="AF12" s="488">
        <f t="shared" ref="AF12:AF43" si="5">IF(H12="","",IF(H12&lt;4,"",IF(H12&lt;5.5,1,IF(H12&lt;7,2,IF(H12&lt;8.5,3,4)))))</f>
        <v>2</v>
      </c>
      <c r="AG12" s="488">
        <f t="shared" ref="AG12:AG43" si="6">IF(I12="","",IF(I12&lt;4,"",IF(I12&lt;5.5,1,IF(I12&lt;7,2,IF(I12&lt;8.5,3,4)))))</f>
        <v>2</v>
      </c>
      <c r="AH12" s="488">
        <f t="shared" ref="AH12:AH43" si="7">IF(J12="","",IF(J12&lt;4,"",IF(J12&lt;5.5,1,IF(J12&lt;7,2,IF(J12&lt;8.5,3,4)))))</f>
        <v>2</v>
      </c>
      <c r="AI12" s="488">
        <f t="shared" ref="AI12:AI43" si="8">IF(K12="","",IF(K12&lt;4,"",IF(K12&lt;5.5,1,IF(K12&lt;7,2,IF(K12&lt;8.5,3,4)))))</f>
        <v>2</v>
      </c>
      <c r="AJ12" s="488">
        <f t="shared" ref="AJ12:AJ43" si="9">IF(L12="","",IF(L12&lt;4,"",IF(L12&lt;5.5,1,IF(L12&lt;7,2,IF(L12&lt;8.5,3,4)))))</f>
        <v>2</v>
      </c>
      <c r="AK12" s="488">
        <f t="shared" ref="AK12:AK43" si="10">IF(M12="","",IF(M12&lt;4,"",IF(M12&lt;5.5,1,IF(M12&lt;7,2,IF(M12&lt;8.5,3,4)))))</f>
        <v>2</v>
      </c>
      <c r="AL12" s="488" t="str">
        <f t="shared" ref="AL12:AL43" si="11">IF(N12="","",IF(N12&lt;4,"",IF(N12&lt;5.5,1,IF(N12&lt;7,2,IF(N12&lt;8.5,3,4)))))</f>
        <v/>
      </c>
      <c r="AM12" s="488" t="str">
        <f t="shared" ref="AM12:AM43" si="12">IF(O12="","",IF(O12&lt;4,"",IF(O12&lt;5.5,1,IF(O12&lt;7,2,IF(O12&lt;8.5,3,4)))))</f>
        <v/>
      </c>
      <c r="AN12" s="488">
        <f t="shared" ref="AN12:AN43" si="13">IF(P12="","",IF(P12&lt;4,"",IF(P12&lt;5.5,1,IF(P12&lt;7,2,IF(P12&lt;8.5,3,4)))))</f>
        <v>2</v>
      </c>
      <c r="AO12" s="488">
        <f t="shared" ref="AO12:AO43" si="14">IF(Q12="","",IF(Q12&lt;4,"",IF(Q12&lt;5.5,1,IF(Q12&lt;7,2,IF(Q12&lt;8.5,3,4)))))</f>
        <v>1</v>
      </c>
      <c r="AP12" s="488">
        <f t="shared" ref="AP12:AP43" si="15">IF(R12="","",IF(R12&lt;4,"",IF(R12&lt;5.5,1,IF(R12&lt;7,2,IF(R12&lt;8.5,3,4)))))</f>
        <v>2</v>
      </c>
      <c r="AQ12" s="488" t="str">
        <f t="shared" ref="AQ12:AQ43" si="16">IF(S12="","",IF(S12&lt;4,"",IF(S12&lt;5.5,1,IF(S12&lt;7,2,IF(S12&lt;8.5,3,4)))))</f>
        <v/>
      </c>
      <c r="AR12" s="488">
        <f t="shared" ref="AR12:AR43" si="17">IF(T12="","",IF(T12&lt;4,"",IF(T12&lt;5.5,1,IF(T12&lt;7,2,IF(T12&lt;8.5,3,4)))))</f>
        <v>2</v>
      </c>
      <c r="AS12" s="488">
        <f t="shared" ref="AS12:AS43" si="18">IF(U12="","",IF(U12&lt;4,"",IF(U12&lt;5.5,1,IF(U12&lt;7,2,IF(U12&lt;8.5,3,4)))))</f>
        <v>2</v>
      </c>
      <c r="AT12" s="488">
        <f t="shared" ref="AT12:AT43" si="19">IF(V12="","",IF(V12&lt;4,"",IF(V12&lt;5.5,1,IF(V12&lt;7,2,IF(V12&lt;8.5,3,4)))))</f>
        <v>2</v>
      </c>
      <c r="AU12" s="488" t="str">
        <f t="shared" ref="AU12:AU43" si="20">IF(W12="","",IF(W12&lt;4,"",IF(W12&lt;5.5,1,IF(W12&lt;7,2,IF(W12&lt;8.5,3,4)))))</f>
        <v/>
      </c>
      <c r="AV12" s="488">
        <f t="shared" ref="AV12:AV43" si="21">IF(X12="","",IF(X12&lt;4,"",IF(X12&lt;5.5,1,IF(X12&lt;7,2,IF(X12&lt;8.5,3,4)))))</f>
        <v>3</v>
      </c>
      <c r="AW12" s="488" t="str">
        <f t="shared" ref="AW12:AW43" si="22">IF(Y12="","",IF(Y12&lt;4,"",IF(Y12&lt;5.5,1,IF(Y12&lt;7,2,IF(Y12&lt;8.5,3,4)))))</f>
        <v/>
      </c>
      <c r="AX12" s="488" t="str">
        <f t="shared" ref="AX12:AX43" si="23">IF(Z12="","",IF(Z12&lt;4,"",IF(Z12&lt;5.5,1,IF(Z12&lt;7,2,IF(Z12&lt;8.5,3,4)))))</f>
        <v/>
      </c>
      <c r="AY12" s="488" t="str">
        <f t="shared" ref="AY12:AY43" si="24">IF(AA12="","",IF(AA12&lt;4,"",IF(AA12&lt;5.5,1,IF(AA12&lt;7,2,IF(AA12&lt;8.5,3,4)))))</f>
        <v/>
      </c>
      <c r="AZ12" s="488">
        <f t="shared" ref="AZ12:AZ43" si="25">IF(AB12="","",IF(AB12&lt;4,"",IF(AB12&lt;5.5,1,IF(AB12&lt;7,2,IF(AB12&lt;8.5,3,4)))))</f>
        <v>2</v>
      </c>
      <c r="BA12" s="488" t="str">
        <f t="shared" ref="BA12:BA75" si="26">IF(AC12="","",IF(AC12&lt;4,"",IF(AC12&lt;5.5,1,IF(AC12&lt;7,2,IF(AC12&lt;8.5,3,4)))))</f>
        <v/>
      </c>
      <c r="BB12" s="486">
        <f>IF('NH13-14'!B12="","",ROUND(SUMPRODUCT(AE12:BA12,$AE$7:$BA$7)/SUMIF(AE12:BA12,"&gt;=1",$AE$7:$BA$7),2))</f>
        <v>1.89</v>
      </c>
      <c r="BC12" s="527">
        <f t="shared" ref="BC12:BC75" si="27">IF(G12&lt;4,"",G12)</f>
        <v>4.5999999999999996</v>
      </c>
      <c r="BD12" s="507">
        <f t="shared" ref="BD12:BD75" si="28">IF(H12&lt;4,"",H12)</f>
        <v>5.7</v>
      </c>
      <c r="BE12" s="507">
        <f t="shared" ref="BE12:BE75" si="29">IF(I12&lt;4,"",I12)</f>
        <v>6.1</v>
      </c>
      <c r="BF12" s="507">
        <f t="shared" ref="BF12:BF75" si="30">IF(J12&lt;4,"",J12)</f>
        <v>6.3</v>
      </c>
      <c r="BG12" s="507">
        <f t="shared" ref="BG12:BG75" si="31">IF(K12&lt;4,"",K12)</f>
        <v>5.6</v>
      </c>
      <c r="BH12" s="507">
        <f t="shared" ref="BH12:BH75" si="32">IF(L12&lt;4,"",L12)</f>
        <v>6.4</v>
      </c>
      <c r="BI12" s="507">
        <f t="shared" ref="BI12:BI75" si="33">IF(M12&lt;4,"",M12)</f>
        <v>5.9</v>
      </c>
      <c r="BJ12" s="507" t="str">
        <f t="shared" ref="BJ12:BJ75" si="34">IF(N12&lt;4,"",N12)</f>
        <v/>
      </c>
      <c r="BK12" s="507" t="str">
        <f t="shared" ref="BK12:BK75" si="35">IF(O12&lt;4,"",O12)</f>
        <v/>
      </c>
      <c r="BL12" s="507">
        <f t="shared" ref="BL12:BL75" si="36">IF(P12&lt;4,"",P12)</f>
        <v>6.1</v>
      </c>
      <c r="BM12" s="507">
        <f t="shared" ref="BM12:BM75" si="37">IF(Q12&lt;4,"",Q12)</f>
        <v>4.2</v>
      </c>
      <c r="BN12" s="507">
        <f t="shared" ref="BN12:BN75" si="38">IF(R12&lt;4,"",R12)</f>
        <v>5.5</v>
      </c>
      <c r="BO12" s="507" t="str">
        <f t="shared" ref="BO12:BO75" si="39">IF(S12&lt;4,"",S12)</f>
        <v/>
      </c>
      <c r="BP12" s="507">
        <f t="shared" ref="BP12:BP75" si="40">IF(T12&lt;4,"",T12)</f>
        <v>6</v>
      </c>
      <c r="BQ12" s="507">
        <f t="shared" ref="BQ12:BQ75" si="41">IF(U12&lt;4,"",U12)</f>
        <v>6.3</v>
      </c>
      <c r="BR12" s="507">
        <f t="shared" ref="BR12:BR75" si="42">IF(V12&lt;4,"",V12)</f>
        <v>5.8</v>
      </c>
      <c r="BS12" s="507" t="str">
        <f t="shared" ref="BS12:BS75" si="43">IF(W12&lt;4,"",W12)</f>
        <v/>
      </c>
      <c r="BT12" s="507">
        <f t="shared" ref="BT12:BT75" si="44">IF(X12&lt;4,"",X12)</f>
        <v>7.4</v>
      </c>
      <c r="BU12" s="507" t="str">
        <f t="shared" ref="BU12:BU75" si="45">IF(Y12&lt;4,"",Y12)</f>
        <v/>
      </c>
      <c r="BV12" s="507" t="str">
        <f t="shared" ref="BV12:BV75" si="46">IF(Z12&lt;4,"",Z12)</f>
        <v/>
      </c>
      <c r="BW12" s="507" t="str">
        <f t="shared" ref="BW12:BW75" si="47">IF(AA12&lt;4,"",AA12)</f>
        <v/>
      </c>
      <c r="BX12" s="507">
        <f t="shared" ref="BX12:BX75" si="48">IF(AB12&lt;4,"",AB12)</f>
        <v>5.6</v>
      </c>
      <c r="BY12" s="507" t="str">
        <f t="shared" ref="BY12:BY75" si="49">IF(AC12&lt;4,"",AC12)</f>
        <v/>
      </c>
    </row>
    <row r="13" spans="1:77">
      <c r="A13" s="481">
        <f>IF('NH13-14'!A13="","",'NH13-14'!A13)</f>
        <v>3</v>
      </c>
      <c r="B13" s="482" t="str">
        <f>IF('NH13-14'!B13="","",'NH13-14'!B13)</f>
        <v>13D301Đ013</v>
      </c>
      <c r="C13" s="490">
        <f t="shared" si="2"/>
        <v>32</v>
      </c>
      <c r="D13" s="490">
        <f t="shared" si="3"/>
        <v>7</v>
      </c>
      <c r="E13" s="483" t="str">
        <f>IF('NH13-14'!C13="","",'NH13-14'!C13)</f>
        <v>Nguyễn Chí</v>
      </c>
      <c r="F13" s="484" t="str">
        <f>IF('NH13-14'!D13="","",'NH13-14'!D13)</f>
        <v>Bình</v>
      </c>
      <c r="G13" s="485">
        <f>IF('NH13-14'!I13="",'NH13-14'!H13,IF('NH13-14'!I13&gt;='NH13-14'!H13,'NH13-14'!I13,'NH13-14'!H13))</f>
        <v>4.3</v>
      </c>
      <c r="H13" s="485">
        <f>IF('NH13-14'!K13="",'NH13-14'!J13,IF('NH13-14'!K13&gt;='NH13-14'!J13,'NH13-14'!K13,'NH13-14'!J13))</f>
        <v>4.5999999999999996</v>
      </c>
      <c r="I13" s="485">
        <f>IF('NH13-14'!M13="",'NH13-14'!L13,IF('NH13-14'!M13&gt;='NH13-14'!L13,'NH13-14'!M13,'NH13-14'!L13))</f>
        <v>6</v>
      </c>
      <c r="J13" s="485">
        <f>IF('NH13-14'!O13="",'NH13-14'!N13,IF('NH13-14'!O13&gt;='NH13-14'!N13,'NH13-14'!O13,'NH13-14'!N13))</f>
        <v>5.0999999999999996</v>
      </c>
      <c r="K13" s="485">
        <f>IF('NH13-14'!Q13="",'NH13-14'!P13,IF('NH13-14'!Q13&gt;='NH13-14'!P13,'NH13-14'!Q13,'NH13-14'!P13))</f>
        <v>5</v>
      </c>
      <c r="L13" s="485">
        <f>IF('NH13-14'!S13="",'NH13-14'!R13,IF('NH13-14'!S13&gt;='NH13-14'!R13,'NH13-14'!S13,'NH13-14'!R13))</f>
        <v>6.4</v>
      </c>
      <c r="M13" s="485">
        <f>IF('NH13-14'!U13="",'NH13-14'!T13,IF('NH13-14'!U13&gt;='NH13-14'!T13,'NH13-14'!U13,'NH13-14'!T13))</f>
        <v>6.1</v>
      </c>
      <c r="N13" s="485" t="str">
        <f>IF('NH13-14'!W13="",'NH13-14'!V13,IF('NH13-14'!W13&gt;='NH13-14'!V13,'NH13-14'!W13,'NH13-14'!V13))</f>
        <v/>
      </c>
      <c r="O13" s="485" t="str">
        <f>IF('NH13-14'!Y13="",'NH13-14'!X13,IF('NH13-14'!Y13&gt;='NH13-14'!X13,'NH13-14'!Y13,'NH13-14'!X13))</f>
        <v/>
      </c>
      <c r="P13" s="485">
        <f>IF('NH13-14'!AA13="",'NH13-14'!Z13,IF('NH13-14'!AA13&gt;='NH13-14'!Z13,'NH13-14'!AA13,'NH13-14'!Z13))</f>
        <v>4.2</v>
      </c>
      <c r="Q13" s="485">
        <f>IF('NH13-14'!AC13="",'NH13-14'!AB13,IF('NH13-14'!AC13&gt;='NH13-14'!AB13,'NH13-14'!AC13,'NH13-14'!AB13))</f>
        <v>1.9</v>
      </c>
      <c r="R13" s="485" t="str">
        <f>IF('NH13-14'!AE13="",'NH13-14'!AD13,IF('NH13-14'!AE13&gt;='NH13-14'!AD13,'NH13-14'!AE13,'NH13-14'!AD13))</f>
        <v/>
      </c>
      <c r="S13" s="485">
        <f>IF('NH13-14'!AG13="",'NH13-14'!AF13,IF('NH13-14'!AG13&gt;='NH13-14'!AF13,'NH13-14'!AG13,'NH13-14'!AF13))</f>
        <v>5.3</v>
      </c>
      <c r="T13" s="485">
        <f>IF('NH13-14'!AI13="",'NH13-14'!AH13,IF('NH13-14'!AI13&gt;='NH13-14'!AH13,'NH13-14'!AI13,'NH13-14'!AH13))</f>
        <v>0.8</v>
      </c>
      <c r="U13" s="485">
        <f>IF('NH13-14'!AK13="",'NH13-14'!AJ13,IF('NH13-14'!AK13&gt;='NH13-14'!AJ13,'NH13-14'!AK13,'NH13-14'!AJ13))</f>
        <v>5.7</v>
      </c>
      <c r="V13" s="485">
        <f>IF('NH13-14'!AM13="",'NH13-14'!AL13,IF('NH13-14'!AM13&gt;='NH13-14'!AL13,'NH13-14'!AM13,'NH13-14'!AL13))</f>
        <v>6.1</v>
      </c>
      <c r="W13" s="485">
        <f>IF('NH13-14'!AO13="",'NH13-14'!AN13,IF('NH13-14'!AO13&gt;='NH13-14'!AN13,'NH13-14'!AO13,'NH13-14'!AN13))</f>
        <v>0.9</v>
      </c>
      <c r="X13" s="485">
        <f>IF('NH13-14'!AQ13="",'NH13-14'!AP13,IF('NH13-14'!AQ13&gt;='NH13-14'!AP13,'NH13-14'!AQ13,'NH13-14'!AP13))</f>
        <v>5.9</v>
      </c>
      <c r="Y13" s="485" t="str">
        <f>IF('NH13-14'!AS13="",'NH13-14'!AR13,IF('NH13-14'!AS13&gt;='NH13-14'!AR13,'NH13-14'!AS13,'NH13-14'!AR13))</f>
        <v/>
      </c>
      <c r="Z13" s="485" t="str">
        <f>IF('NH13-14'!AU13="",'NH13-14'!AT13,IF('NH13-14'!AU13&gt;='NH13-14'!AT13,'NH13-14'!AU13,'NH13-14'!AT13))</f>
        <v/>
      </c>
      <c r="AA13" s="485" t="str">
        <f>IF('NH13-14'!AW13="",'NH13-14'!AV13,IF('NH13-14'!AW13&gt;='NH13-14'!AV13,'NH13-14'!AW13,'NH13-14'!AV13))</f>
        <v/>
      </c>
      <c r="AB13" s="485">
        <f>IF('NH13-14'!AY13="",'NH13-14'!AX13,IF('NH13-14'!AY13&gt;='NH13-14'!AX13,'NH13-14'!AY13,'NH13-14'!AX13))</f>
        <v>5</v>
      </c>
      <c r="AC13" s="485" t="str">
        <f>IF('NH13-14'!BA13="",'NH13-14'!AZ13,IF('NH13-14'!BA13&gt;='NH13-14'!AZ13,'NH13-14'!BA13,'NH13-14'!AZ13))</f>
        <v/>
      </c>
      <c r="AD13" s="486">
        <f>IF('NH13-14'!B13="","",ROUND(SUMPRODUCT(G13:AC13,$G$7:$AC$7)/SUMIF(G13:AC13,"&gt;=0",$G$7:$AC$7),2))</f>
        <v>4.66</v>
      </c>
      <c r="AE13" s="487">
        <f t="shared" si="4"/>
        <v>1</v>
      </c>
      <c r="AF13" s="488">
        <f t="shared" si="5"/>
        <v>1</v>
      </c>
      <c r="AG13" s="488">
        <f t="shared" si="6"/>
        <v>2</v>
      </c>
      <c r="AH13" s="488">
        <f t="shared" si="7"/>
        <v>1</v>
      </c>
      <c r="AI13" s="488">
        <f t="shared" si="8"/>
        <v>1</v>
      </c>
      <c r="AJ13" s="488">
        <f t="shared" si="9"/>
        <v>2</v>
      </c>
      <c r="AK13" s="488">
        <f t="shared" si="10"/>
        <v>2</v>
      </c>
      <c r="AL13" s="488" t="str">
        <f t="shared" si="11"/>
        <v/>
      </c>
      <c r="AM13" s="488" t="str">
        <f t="shared" si="12"/>
        <v/>
      </c>
      <c r="AN13" s="488">
        <f t="shared" si="13"/>
        <v>1</v>
      </c>
      <c r="AO13" s="488" t="str">
        <f t="shared" si="14"/>
        <v/>
      </c>
      <c r="AP13" s="488" t="str">
        <f t="shared" si="15"/>
        <v/>
      </c>
      <c r="AQ13" s="488">
        <f t="shared" si="16"/>
        <v>1</v>
      </c>
      <c r="AR13" s="488" t="str">
        <f t="shared" si="17"/>
        <v/>
      </c>
      <c r="AS13" s="488">
        <f t="shared" si="18"/>
        <v>2</v>
      </c>
      <c r="AT13" s="488">
        <f t="shared" si="19"/>
        <v>2</v>
      </c>
      <c r="AU13" s="488" t="str">
        <f t="shared" si="20"/>
        <v/>
      </c>
      <c r="AV13" s="488">
        <f t="shared" si="21"/>
        <v>2</v>
      </c>
      <c r="AW13" s="488" t="str">
        <f t="shared" si="22"/>
        <v/>
      </c>
      <c r="AX13" s="488" t="str">
        <f t="shared" si="23"/>
        <v/>
      </c>
      <c r="AY13" s="488" t="str">
        <f t="shared" si="24"/>
        <v/>
      </c>
      <c r="AZ13" s="488">
        <f t="shared" si="25"/>
        <v>1</v>
      </c>
      <c r="BA13" s="488" t="str">
        <f t="shared" si="26"/>
        <v/>
      </c>
      <c r="BB13" s="486">
        <f>IF('NH13-14'!B13="","",ROUND(SUMPRODUCT(AE13:BA13,$AE$7:$BA$7)/SUMIF(AE13:BA13,"&gt;=1",$AE$7:$BA$7),2))</f>
        <v>1.47</v>
      </c>
      <c r="BC13" s="527">
        <f t="shared" si="27"/>
        <v>4.3</v>
      </c>
      <c r="BD13" s="507">
        <f t="shared" si="28"/>
        <v>4.5999999999999996</v>
      </c>
      <c r="BE13" s="507">
        <f t="shared" si="29"/>
        <v>6</v>
      </c>
      <c r="BF13" s="507">
        <f t="shared" si="30"/>
        <v>5.0999999999999996</v>
      </c>
      <c r="BG13" s="507">
        <f t="shared" si="31"/>
        <v>5</v>
      </c>
      <c r="BH13" s="507">
        <f t="shared" si="32"/>
        <v>6.4</v>
      </c>
      <c r="BI13" s="507">
        <f t="shared" si="33"/>
        <v>6.1</v>
      </c>
      <c r="BJ13" s="507" t="str">
        <f t="shared" si="34"/>
        <v/>
      </c>
      <c r="BK13" s="507" t="str">
        <f t="shared" si="35"/>
        <v/>
      </c>
      <c r="BL13" s="507">
        <f t="shared" si="36"/>
        <v>4.2</v>
      </c>
      <c r="BM13" s="507" t="str">
        <f t="shared" si="37"/>
        <v/>
      </c>
      <c r="BN13" s="507" t="str">
        <f t="shared" si="38"/>
        <v/>
      </c>
      <c r="BO13" s="507">
        <f t="shared" si="39"/>
        <v>5.3</v>
      </c>
      <c r="BP13" s="507" t="str">
        <f t="shared" si="40"/>
        <v/>
      </c>
      <c r="BQ13" s="507">
        <f t="shared" si="41"/>
        <v>5.7</v>
      </c>
      <c r="BR13" s="507">
        <f t="shared" si="42"/>
        <v>6.1</v>
      </c>
      <c r="BS13" s="507" t="str">
        <f t="shared" si="43"/>
        <v/>
      </c>
      <c r="BT13" s="507">
        <f t="shared" si="44"/>
        <v>5.9</v>
      </c>
      <c r="BU13" s="507" t="str">
        <f t="shared" si="45"/>
        <v/>
      </c>
      <c r="BV13" s="507" t="str">
        <f t="shared" si="46"/>
        <v/>
      </c>
      <c r="BW13" s="507" t="str">
        <f t="shared" si="47"/>
        <v/>
      </c>
      <c r="BX13" s="507">
        <f t="shared" si="48"/>
        <v>5</v>
      </c>
      <c r="BY13" s="507" t="str">
        <f t="shared" si="49"/>
        <v/>
      </c>
    </row>
    <row r="14" spans="1:77">
      <c r="A14" s="481">
        <f>IF('NH13-14'!A14="","",'NH13-14'!A14)</f>
        <v>4</v>
      </c>
      <c r="B14" s="482" t="str">
        <f>IF('NH13-14'!B14="","",'NH13-14'!B14)</f>
        <v>13D301Đ014</v>
      </c>
      <c r="C14" s="490">
        <f t="shared" si="2"/>
        <v>37</v>
      </c>
      <c r="D14" s="490">
        <f t="shared" si="3"/>
        <v>2</v>
      </c>
      <c r="E14" s="483" t="str">
        <f>IF('NH13-14'!C14="","",'NH13-14'!C14)</f>
        <v>Trịnh Thanh</v>
      </c>
      <c r="F14" s="484" t="str">
        <f>IF('NH13-14'!D14="","",'NH13-14'!D14)</f>
        <v>Bình</v>
      </c>
      <c r="G14" s="485">
        <f>IF('NH13-14'!I14="",'NH13-14'!H14,IF('NH13-14'!I14&gt;='NH13-14'!H14,'NH13-14'!I14,'NH13-14'!H14))</f>
        <v>6.8</v>
      </c>
      <c r="H14" s="485">
        <f>IF('NH13-14'!K14="",'NH13-14'!J14,IF('NH13-14'!K14&gt;='NH13-14'!J14,'NH13-14'!K14,'NH13-14'!J14))</f>
        <v>6.8</v>
      </c>
      <c r="I14" s="485">
        <f>IF('NH13-14'!M14="",'NH13-14'!L14,IF('NH13-14'!M14&gt;='NH13-14'!L14,'NH13-14'!M14,'NH13-14'!L14))</f>
        <v>5.8</v>
      </c>
      <c r="J14" s="485">
        <f>IF('NH13-14'!O14="",'NH13-14'!N14,IF('NH13-14'!O14&gt;='NH13-14'!N14,'NH13-14'!O14,'NH13-14'!N14))</f>
        <v>4.7</v>
      </c>
      <c r="K14" s="485">
        <f>IF('NH13-14'!Q14="",'NH13-14'!P14,IF('NH13-14'!Q14&gt;='NH13-14'!P14,'NH13-14'!Q14,'NH13-14'!P14))</f>
        <v>5</v>
      </c>
      <c r="L14" s="485">
        <f>IF('NH13-14'!S14="",'NH13-14'!R14,IF('NH13-14'!S14&gt;='NH13-14'!R14,'NH13-14'!S14,'NH13-14'!R14))</f>
        <v>4.8</v>
      </c>
      <c r="M14" s="485">
        <f>IF('NH13-14'!U14="",'NH13-14'!T14,IF('NH13-14'!U14&gt;='NH13-14'!T14,'NH13-14'!U14,'NH13-14'!T14))</f>
        <v>5.7</v>
      </c>
      <c r="N14" s="485" t="str">
        <f>IF('NH13-14'!W14="",'NH13-14'!V14,IF('NH13-14'!W14&gt;='NH13-14'!V14,'NH13-14'!W14,'NH13-14'!V14))</f>
        <v/>
      </c>
      <c r="O14" s="485" t="str">
        <f>IF('NH13-14'!Y14="",'NH13-14'!X14,IF('NH13-14'!Y14&gt;='NH13-14'!X14,'NH13-14'!Y14,'NH13-14'!X14))</f>
        <v/>
      </c>
      <c r="P14" s="485">
        <f>IF('NH13-14'!AA14="",'NH13-14'!Z14,IF('NH13-14'!AA14&gt;='NH13-14'!Z14,'NH13-14'!AA14,'NH13-14'!Z14))</f>
        <v>6.3</v>
      </c>
      <c r="Q14" s="485">
        <f>IF('NH13-14'!AC14="",'NH13-14'!AB14,IF('NH13-14'!AC14&gt;='NH13-14'!AB14,'NH13-14'!AC14,'NH13-14'!AB14))</f>
        <v>4.2</v>
      </c>
      <c r="R14" s="485" t="str">
        <f>IF('NH13-14'!AE14="",'NH13-14'!AD14,IF('NH13-14'!AE14&gt;='NH13-14'!AD14,'NH13-14'!AE14,'NH13-14'!AD14))</f>
        <v/>
      </c>
      <c r="S14" s="485">
        <f>IF('NH13-14'!AG14="",'NH13-14'!AF14,IF('NH13-14'!AG14&gt;='NH13-14'!AF14,'NH13-14'!AG14,'NH13-14'!AF14))</f>
        <v>7.4</v>
      </c>
      <c r="T14" s="485">
        <f>IF('NH13-14'!AI14="",'NH13-14'!AH14,IF('NH13-14'!AI14&gt;='NH13-14'!AH14,'NH13-14'!AI14,'NH13-14'!AH14))</f>
        <v>4.4000000000000004</v>
      </c>
      <c r="U14" s="485">
        <f>IF('NH13-14'!AK14="",'NH13-14'!AJ14,IF('NH13-14'!AK14&gt;='NH13-14'!AJ14,'NH13-14'!AK14,'NH13-14'!AJ14))</f>
        <v>6.7</v>
      </c>
      <c r="V14" s="485">
        <f>IF('NH13-14'!AM14="",'NH13-14'!AL14,IF('NH13-14'!AM14&gt;='NH13-14'!AL14,'NH13-14'!AM14,'NH13-14'!AL14))</f>
        <v>5.3</v>
      </c>
      <c r="W14" s="485">
        <f>IF('NH13-14'!AO14="",'NH13-14'!AN14,IF('NH13-14'!AO14&gt;='NH13-14'!AN14,'NH13-14'!AO14,'NH13-14'!AN14))</f>
        <v>3.5</v>
      </c>
      <c r="X14" s="485">
        <f>IF('NH13-14'!AQ14="",'NH13-14'!AP14,IF('NH13-14'!AQ14&gt;='NH13-14'!AP14,'NH13-14'!AQ14,'NH13-14'!AP14))</f>
        <v>6.4</v>
      </c>
      <c r="Y14" s="485" t="str">
        <f>IF('NH13-14'!AS14="",'NH13-14'!AR14,IF('NH13-14'!AS14&gt;='NH13-14'!AR14,'NH13-14'!AS14,'NH13-14'!AR14))</f>
        <v/>
      </c>
      <c r="Z14" s="485" t="str">
        <f>IF('NH13-14'!AU14="",'NH13-14'!AT14,IF('NH13-14'!AU14&gt;='NH13-14'!AT14,'NH13-14'!AU14,'NH13-14'!AT14))</f>
        <v/>
      </c>
      <c r="AA14" s="485" t="str">
        <f>IF('NH13-14'!AW14="",'NH13-14'!AV14,IF('NH13-14'!AW14&gt;='NH13-14'!AV14,'NH13-14'!AW14,'NH13-14'!AV14))</f>
        <v/>
      </c>
      <c r="AB14" s="485">
        <f>IF('NH13-14'!AY14="",'NH13-14'!AX14,IF('NH13-14'!AY14&gt;='NH13-14'!AX14,'NH13-14'!AY14,'NH13-14'!AX14))</f>
        <v>6</v>
      </c>
      <c r="AC14" s="485" t="str">
        <f>IF('NH13-14'!BA14="",'NH13-14'!AZ14,IF('NH13-14'!BA14&gt;='NH13-14'!AZ14,'NH13-14'!BA14,'NH13-14'!AZ14))</f>
        <v/>
      </c>
      <c r="AD14" s="486">
        <f>IF('NH13-14'!B14="","",ROUND(SUMPRODUCT(G14:AC14,$G$7:$AC$7)/SUMIF(G14:AC14,"&gt;=0",$G$7:$AC$7),2))</f>
        <v>5.56</v>
      </c>
      <c r="AE14" s="487">
        <f t="shared" si="4"/>
        <v>2</v>
      </c>
      <c r="AF14" s="488">
        <f t="shared" si="5"/>
        <v>2</v>
      </c>
      <c r="AG14" s="488">
        <f t="shared" si="6"/>
        <v>2</v>
      </c>
      <c r="AH14" s="488">
        <f t="shared" si="7"/>
        <v>1</v>
      </c>
      <c r="AI14" s="488">
        <f t="shared" si="8"/>
        <v>1</v>
      </c>
      <c r="AJ14" s="488">
        <f t="shared" si="9"/>
        <v>1</v>
      </c>
      <c r="AK14" s="488">
        <f t="shared" si="10"/>
        <v>2</v>
      </c>
      <c r="AL14" s="488" t="str">
        <f t="shared" si="11"/>
        <v/>
      </c>
      <c r="AM14" s="488" t="str">
        <f t="shared" si="12"/>
        <v/>
      </c>
      <c r="AN14" s="488">
        <f t="shared" si="13"/>
        <v>2</v>
      </c>
      <c r="AO14" s="488">
        <f t="shared" si="14"/>
        <v>1</v>
      </c>
      <c r="AP14" s="488" t="str">
        <f t="shared" si="15"/>
        <v/>
      </c>
      <c r="AQ14" s="488">
        <f t="shared" si="16"/>
        <v>3</v>
      </c>
      <c r="AR14" s="488">
        <f t="shared" si="17"/>
        <v>1</v>
      </c>
      <c r="AS14" s="488">
        <f t="shared" si="18"/>
        <v>2</v>
      </c>
      <c r="AT14" s="488">
        <f t="shared" si="19"/>
        <v>1</v>
      </c>
      <c r="AU14" s="488" t="str">
        <f t="shared" si="20"/>
        <v/>
      </c>
      <c r="AV14" s="488">
        <f t="shared" si="21"/>
        <v>2</v>
      </c>
      <c r="AW14" s="488" t="str">
        <f t="shared" si="22"/>
        <v/>
      </c>
      <c r="AX14" s="488" t="str">
        <f t="shared" si="23"/>
        <v/>
      </c>
      <c r="AY14" s="488" t="str">
        <f t="shared" si="24"/>
        <v/>
      </c>
      <c r="AZ14" s="488">
        <f t="shared" si="25"/>
        <v>2</v>
      </c>
      <c r="BA14" s="488" t="str">
        <f t="shared" si="26"/>
        <v/>
      </c>
      <c r="BB14" s="486">
        <f>IF('NH13-14'!B14="","",ROUND(SUMPRODUCT(AE14:BA14,$AE$7:$BA$7)/SUMIF(AE14:BA14,"&gt;=1",$AE$7:$BA$7),2))</f>
        <v>1.59</v>
      </c>
      <c r="BC14" s="527">
        <f t="shared" si="27"/>
        <v>6.8</v>
      </c>
      <c r="BD14" s="507">
        <f t="shared" si="28"/>
        <v>6.8</v>
      </c>
      <c r="BE14" s="507">
        <f t="shared" si="29"/>
        <v>5.8</v>
      </c>
      <c r="BF14" s="507">
        <f t="shared" si="30"/>
        <v>4.7</v>
      </c>
      <c r="BG14" s="507">
        <f t="shared" si="31"/>
        <v>5</v>
      </c>
      <c r="BH14" s="507">
        <f t="shared" si="32"/>
        <v>4.8</v>
      </c>
      <c r="BI14" s="507">
        <f t="shared" si="33"/>
        <v>5.7</v>
      </c>
      <c r="BJ14" s="507" t="str">
        <f t="shared" si="34"/>
        <v/>
      </c>
      <c r="BK14" s="507" t="str">
        <f t="shared" si="35"/>
        <v/>
      </c>
      <c r="BL14" s="507">
        <f t="shared" si="36"/>
        <v>6.3</v>
      </c>
      <c r="BM14" s="507">
        <f t="shared" si="37"/>
        <v>4.2</v>
      </c>
      <c r="BN14" s="507" t="str">
        <f t="shared" si="38"/>
        <v/>
      </c>
      <c r="BO14" s="507">
        <f t="shared" si="39"/>
        <v>7.4</v>
      </c>
      <c r="BP14" s="507">
        <f t="shared" si="40"/>
        <v>4.4000000000000004</v>
      </c>
      <c r="BQ14" s="507">
        <f t="shared" si="41"/>
        <v>6.7</v>
      </c>
      <c r="BR14" s="507">
        <f t="shared" si="42"/>
        <v>5.3</v>
      </c>
      <c r="BS14" s="507" t="str">
        <f t="shared" si="43"/>
        <v/>
      </c>
      <c r="BT14" s="507">
        <f t="shared" si="44"/>
        <v>6.4</v>
      </c>
      <c r="BU14" s="507" t="str">
        <f t="shared" si="45"/>
        <v/>
      </c>
      <c r="BV14" s="507" t="str">
        <f t="shared" si="46"/>
        <v/>
      </c>
      <c r="BW14" s="507" t="str">
        <f t="shared" si="47"/>
        <v/>
      </c>
      <c r="BX14" s="507">
        <f t="shared" si="48"/>
        <v>6</v>
      </c>
      <c r="BY14" s="507" t="str">
        <f t="shared" si="49"/>
        <v/>
      </c>
    </row>
    <row r="15" spans="1:77">
      <c r="A15" s="481">
        <f>IF('NH13-14'!A15="","",'NH13-14'!A15)</f>
        <v>5</v>
      </c>
      <c r="B15" s="482" t="str">
        <f>IF('NH13-14'!B15="","",'NH13-14'!B15)</f>
        <v>13D301Đ017</v>
      </c>
      <c r="C15" s="490">
        <f t="shared" si="2"/>
        <v>37</v>
      </c>
      <c r="D15" s="490">
        <f t="shared" si="3"/>
        <v>2</v>
      </c>
      <c r="E15" s="483" t="str">
        <f>IF('NH13-14'!C15="","",'NH13-14'!C15)</f>
        <v>Trần Văn</v>
      </c>
      <c r="F15" s="484" t="str">
        <f>IF('NH13-14'!D15="","",'NH13-14'!D15)</f>
        <v>Chinh</v>
      </c>
      <c r="G15" s="485">
        <f>IF('NH13-14'!I15="",'NH13-14'!H15,IF('NH13-14'!I15&gt;='NH13-14'!H15,'NH13-14'!I15,'NH13-14'!H15))</f>
        <v>5.5</v>
      </c>
      <c r="H15" s="485">
        <f>IF('NH13-14'!K15="",'NH13-14'!J15,IF('NH13-14'!K15&gt;='NH13-14'!J15,'NH13-14'!K15,'NH13-14'!J15))</f>
        <v>6.4</v>
      </c>
      <c r="I15" s="485">
        <f>IF('NH13-14'!M15="",'NH13-14'!L15,IF('NH13-14'!M15&gt;='NH13-14'!L15,'NH13-14'!M15,'NH13-14'!L15))</f>
        <v>6</v>
      </c>
      <c r="J15" s="485">
        <f>IF('NH13-14'!O15="",'NH13-14'!N15,IF('NH13-14'!O15&gt;='NH13-14'!N15,'NH13-14'!O15,'NH13-14'!N15))</f>
        <v>5.8</v>
      </c>
      <c r="K15" s="485">
        <f>IF('NH13-14'!Q15="",'NH13-14'!P15,IF('NH13-14'!Q15&gt;='NH13-14'!P15,'NH13-14'!Q15,'NH13-14'!P15))</f>
        <v>5.4</v>
      </c>
      <c r="L15" s="485">
        <f>IF('NH13-14'!S15="",'NH13-14'!R15,IF('NH13-14'!S15&gt;='NH13-14'!R15,'NH13-14'!S15,'NH13-14'!R15))</f>
        <v>6.5</v>
      </c>
      <c r="M15" s="485">
        <f>IF('NH13-14'!U15="",'NH13-14'!T15,IF('NH13-14'!U15&gt;='NH13-14'!T15,'NH13-14'!U15,'NH13-14'!T15))</f>
        <v>5.7</v>
      </c>
      <c r="N15" s="485" t="str">
        <f>IF('NH13-14'!W15="",'NH13-14'!V15,IF('NH13-14'!W15&gt;='NH13-14'!V15,'NH13-14'!W15,'NH13-14'!V15))</f>
        <v/>
      </c>
      <c r="O15" s="485" t="str">
        <f>IF('NH13-14'!Y15="",'NH13-14'!X15,IF('NH13-14'!Y15&gt;='NH13-14'!X15,'NH13-14'!Y15,'NH13-14'!X15))</f>
        <v/>
      </c>
      <c r="P15" s="485">
        <f>IF('NH13-14'!AA15="",'NH13-14'!Z15,IF('NH13-14'!AA15&gt;='NH13-14'!Z15,'NH13-14'!AA15,'NH13-14'!Z15))</f>
        <v>5.6</v>
      </c>
      <c r="Q15" s="485">
        <f>IF('NH13-14'!AC15="",'NH13-14'!AB15,IF('NH13-14'!AC15&gt;='NH13-14'!AB15,'NH13-14'!AC15,'NH13-14'!AB15))</f>
        <v>4.8</v>
      </c>
      <c r="R15" s="485" t="str">
        <f>IF('NH13-14'!AE15="",'NH13-14'!AD15,IF('NH13-14'!AE15&gt;='NH13-14'!AD15,'NH13-14'!AE15,'NH13-14'!AD15))</f>
        <v/>
      </c>
      <c r="S15" s="485">
        <f>IF('NH13-14'!AG15="",'NH13-14'!AF15,IF('NH13-14'!AG15&gt;='NH13-14'!AF15,'NH13-14'!AG15,'NH13-14'!AF15))</f>
        <v>6</v>
      </c>
      <c r="T15" s="485">
        <f>IF('NH13-14'!AI15="",'NH13-14'!AH15,IF('NH13-14'!AI15&gt;='NH13-14'!AH15,'NH13-14'!AI15,'NH13-14'!AH15))</f>
        <v>5.4</v>
      </c>
      <c r="U15" s="485">
        <f>IF('NH13-14'!AK15="",'NH13-14'!AJ15,IF('NH13-14'!AK15&gt;='NH13-14'!AJ15,'NH13-14'!AK15,'NH13-14'!AJ15))</f>
        <v>6.8</v>
      </c>
      <c r="V15" s="485">
        <f>IF('NH13-14'!AM15="",'NH13-14'!AL15,IF('NH13-14'!AM15&gt;='NH13-14'!AL15,'NH13-14'!AM15,'NH13-14'!AL15))</f>
        <v>6.9</v>
      </c>
      <c r="W15" s="485">
        <f>IF('NH13-14'!AO15="",'NH13-14'!AN15,IF('NH13-14'!AO15&gt;='NH13-14'!AN15,'NH13-14'!AO15,'NH13-14'!AN15))</f>
        <v>3.3</v>
      </c>
      <c r="X15" s="485">
        <f>IF('NH13-14'!AQ15="",'NH13-14'!AP15,IF('NH13-14'!AQ15&gt;='NH13-14'!AP15,'NH13-14'!AQ15,'NH13-14'!AP15))</f>
        <v>6</v>
      </c>
      <c r="Y15" s="485" t="str">
        <f>IF('NH13-14'!AS15="",'NH13-14'!AR15,IF('NH13-14'!AS15&gt;='NH13-14'!AR15,'NH13-14'!AS15,'NH13-14'!AR15))</f>
        <v/>
      </c>
      <c r="Z15" s="485" t="str">
        <f>IF('NH13-14'!AU15="",'NH13-14'!AT15,IF('NH13-14'!AU15&gt;='NH13-14'!AT15,'NH13-14'!AU15,'NH13-14'!AT15))</f>
        <v/>
      </c>
      <c r="AA15" s="485" t="str">
        <f>IF('NH13-14'!AW15="",'NH13-14'!AV15,IF('NH13-14'!AW15&gt;='NH13-14'!AV15,'NH13-14'!AW15,'NH13-14'!AV15))</f>
        <v/>
      </c>
      <c r="AB15" s="485">
        <f>IF('NH13-14'!AY15="",'NH13-14'!AX15,IF('NH13-14'!AY15&gt;='NH13-14'!AX15,'NH13-14'!AY15,'NH13-14'!AX15))</f>
        <v>5.7</v>
      </c>
      <c r="AC15" s="485" t="str">
        <f>IF('NH13-14'!BA15="",'NH13-14'!AZ15,IF('NH13-14'!BA15&gt;='NH13-14'!AZ15,'NH13-14'!BA15,'NH13-14'!AZ15))</f>
        <v/>
      </c>
      <c r="AD15" s="486">
        <f>IF('NH13-14'!B15="","",ROUND(SUMPRODUCT(G15:AC15,$G$7:$AC$7)/SUMIF(G15:AC15,"&gt;=0",$G$7:$AC$7),2))</f>
        <v>5.77</v>
      </c>
      <c r="AE15" s="487">
        <f t="shared" si="4"/>
        <v>2</v>
      </c>
      <c r="AF15" s="488">
        <f t="shared" si="5"/>
        <v>2</v>
      </c>
      <c r="AG15" s="488">
        <f t="shared" si="6"/>
        <v>2</v>
      </c>
      <c r="AH15" s="488">
        <f t="shared" si="7"/>
        <v>2</v>
      </c>
      <c r="AI15" s="488">
        <f t="shared" si="8"/>
        <v>1</v>
      </c>
      <c r="AJ15" s="488">
        <f t="shared" si="9"/>
        <v>2</v>
      </c>
      <c r="AK15" s="488">
        <f t="shared" si="10"/>
        <v>2</v>
      </c>
      <c r="AL15" s="488" t="str">
        <f t="shared" si="11"/>
        <v/>
      </c>
      <c r="AM15" s="488" t="str">
        <f t="shared" si="12"/>
        <v/>
      </c>
      <c r="AN15" s="488">
        <f t="shared" si="13"/>
        <v>2</v>
      </c>
      <c r="AO15" s="488">
        <f t="shared" si="14"/>
        <v>1</v>
      </c>
      <c r="AP15" s="488" t="str">
        <f t="shared" si="15"/>
        <v/>
      </c>
      <c r="AQ15" s="488">
        <f t="shared" si="16"/>
        <v>2</v>
      </c>
      <c r="AR15" s="488">
        <f t="shared" si="17"/>
        <v>1</v>
      </c>
      <c r="AS15" s="488">
        <f t="shared" si="18"/>
        <v>2</v>
      </c>
      <c r="AT15" s="488">
        <f t="shared" si="19"/>
        <v>2</v>
      </c>
      <c r="AU15" s="488" t="str">
        <f t="shared" si="20"/>
        <v/>
      </c>
      <c r="AV15" s="488">
        <f t="shared" si="21"/>
        <v>2</v>
      </c>
      <c r="AW15" s="488" t="str">
        <f t="shared" si="22"/>
        <v/>
      </c>
      <c r="AX15" s="488" t="str">
        <f t="shared" si="23"/>
        <v/>
      </c>
      <c r="AY15" s="488" t="str">
        <f t="shared" si="24"/>
        <v/>
      </c>
      <c r="AZ15" s="488">
        <f t="shared" si="25"/>
        <v>2</v>
      </c>
      <c r="BA15" s="488" t="str">
        <f t="shared" si="26"/>
        <v/>
      </c>
      <c r="BB15" s="486">
        <f>IF('NH13-14'!B15="","",ROUND(SUMPRODUCT(AE15:BA15,$AE$7:$BA$7)/SUMIF(AE15:BA15,"&gt;=1",$AE$7:$BA$7),2))</f>
        <v>1.78</v>
      </c>
      <c r="BC15" s="527">
        <f t="shared" si="27"/>
        <v>5.5</v>
      </c>
      <c r="BD15" s="507">
        <f t="shared" si="28"/>
        <v>6.4</v>
      </c>
      <c r="BE15" s="507">
        <f t="shared" si="29"/>
        <v>6</v>
      </c>
      <c r="BF15" s="507">
        <f t="shared" si="30"/>
        <v>5.8</v>
      </c>
      <c r="BG15" s="507">
        <f t="shared" si="31"/>
        <v>5.4</v>
      </c>
      <c r="BH15" s="507">
        <f t="shared" si="32"/>
        <v>6.5</v>
      </c>
      <c r="BI15" s="507">
        <f t="shared" si="33"/>
        <v>5.7</v>
      </c>
      <c r="BJ15" s="507" t="str">
        <f t="shared" si="34"/>
        <v/>
      </c>
      <c r="BK15" s="507" t="str">
        <f t="shared" si="35"/>
        <v/>
      </c>
      <c r="BL15" s="507">
        <f t="shared" si="36"/>
        <v>5.6</v>
      </c>
      <c r="BM15" s="507">
        <f t="shared" si="37"/>
        <v>4.8</v>
      </c>
      <c r="BN15" s="507" t="str">
        <f t="shared" si="38"/>
        <v/>
      </c>
      <c r="BO15" s="507">
        <f t="shared" si="39"/>
        <v>6</v>
      </c>
      <c r="BP15" s="507">
        <f t="shared" si="40"/>
        <v>5.4</v>
      </c>
      <c r="BQ15" s="507">
        <f t="shared" si="41"/>
        <v>6.8</v>
      </c>
      <c r="BR15" s="507">
        <f t="shared" si="42"/>
        <v>6.9</v>
      </c>
      <c r="BS15" s="507" t="str">
        <f t="shared" si="43"/>
        <v/>
      </c>
      <c r="BT15" s="507">
        <f t="shared" si="44"/>
        <v>6</v>
      </c>
      <c r="BU15" s="507" t="str">
        <f t="shared" si="45"/>
        <v/>
      </c>
      <c r="BV15" s="507" t="str">
        <f t="shared" si="46"/>
        <v/>
      </c>
      <c r="BW15" s="507" t="str">
        <f t="shared" si="47"/>
        <v/>
      </c>
      <c r="BX15" s="507">
        <f t="shared" si="48"/>
        <v>5.7</v>
      </c>
      <c r="BY15" s="507" t="str">
        <f t="shared" si="49"/>
        <v/>
      </c>
    </row>
    <row r="16" spans="1:77">
      <c r="A16" s="481">
        <f>IF('NH13-14'!A16="","",'NH13-14'!A16)</f>
        <v>6</v>
      </c>
      <c r="B16" s="482" t="str">
        <f>IF('NH13-14'!B16="","",'NH13-14'!B16)</f>
        <v>13D301Đ021</v>
      </c>
      <c r="C16" s="490">
        <f t="shared" si="2"/>
        <v>39</v>
      </c>
      <c r="D16" s="490">
        <f t="shared" si="3"/>
        <v>0</v>
      </c>
      <c r="E16" s="483" t="str">
        <f>IF('NH13-14'!C16="","",'NH13-14'!C16)</f>
        <v>Nguyễn Chí</v>
      </c>
      <c r="F16" s="484" t="str">
        <f>IF('NH13-14'!D16="","",'NH13-14'!D16)</f>
        <v>Cường</v>
      </c>
      <c r="G16" s="485">
        <f>IF('NH13-14'!I16="",'NH13-14'!H16,IF('NH13-14'!I16&gt;='NH13-14'!H16,'NH13-14'!I16,'NH13-14'!H16))</f>
        <v>4.5999999999999996</v>
      </c>
      <c r="H16" s="485">
        <f>IF('NH13-14'!K16="",'NH13-14'!J16,IF('NH13-14'!K16&gt;='NH13-14'!J16,'NH13-14'!K16,'NH13-14'!J16))</f>
        <v>6.5</v>
      </c>
      <c r="I16" s="485">
        <f>IF('NH13-14'!M16="",'NH13-14'!L16,IF('NH13-14'!M16&gt;='NH13-14'!L16,'NH13-14'!M16,'NH13-14'!L16))</f>
        <v>5.6</v>
      </c>
      <c r="J16" s="485">
        <f>IF('NH13-14'!O16="",'NH13-14'!N16,IF('NH13-14'!O16&gt;='NH13-14'!N16,'NH13-14'!O16,'NH13-14'!N16))</f>
        <v>6.9</v>
      </c>
      <c r="K16" s="485">
        <f>IF('NH13-14'!Q16="",'NH13-14'!P16,IF('NH13-14'!Q16&gt;='NH13-14'!P16,'NH13-14'!Q16,'NH13-14'!P16))</f>
        <v>5.8</v>
      </c>
      <c r="L16" s="485">
        <f>IF('NH13-14'!S16="",'NH13-14'!R16,IF('NH13-14'!S16&gt;='NH13-14'!R16,'NH13-14'!S16,'NH13-14'!R16))</f>
        <v>5.9</v>
      </c>
      <c r="M16" s="485">
        <f>IF('NH13-14'!U16="",'NH13-14'!T16,IF('NH13-14'!U16&gt;='NH13-14'!T16,'NH13-14'!U16,'NH13-14'!T16))</f>
        <v>5</v>
      </c>
      <c r="N16" s="485" t="str">
        <f>IF('NH13-14'!W16="",'NH13-14'!V16,IF('NH13-14'!W16&gt;='NH13-14'!V16,'NH13-14'!W16,'NH13-14'!V16))</f>
        <v/>
      </c>
      <c r="O16" s="485" t="str">
        <f>IF('NH13-14'!Y16="",'NH13-14'!X16,IF('NH13-14'!Y16&gt;='NH13-14'!X16,'NH13-14'!Y16,'NH13-14'!X16))</f>
        <v/>
      </c>
      <c r="P16" s="485">
        <f>IF('NH13-14'!AA16="",'NH13-14'!Z16,IF('NH13-14'!AA16&gt;='NH13-14'!Z16,'NH13-14'!AA16,'NH13-14'!Z16))</f>
        <v>7.1</v>
      </c>
      <c r="Q16" s="485">
        <f>IF('NH13-14'!AC16="",'NH13-14'!AB16,IF('NH13-14'!AC16&gt;='NH13-14'!AB16,'NH13-14'!AC16,'NH13-14'!AB16))</f>
        <v>5.7</v>
      </c>
      <c r="R16" s="485" t="str">
        <f>IF('NH13-14'!AE16="",'NH13-14'!AD16,IF('NH13-14'!AE16&gt;='NH13-14'!AD16,'NH13-14'!AE16,'NH13-14'!AD16))</f>
        <v/>
      </c>
      <c r="S16" s="485">
        <f>IF('NH13-14'!AG16="",'NH13-14'!AF16,IF('NH13-14'!AG16&gt;='NH13-14'!AF16,'NH13-14'!AG16,'NH13-14'!AF16))</f>
        <v>6.8</v>
      </c>
      <c r="T16" s="485">
        <f>IF('NH13-14'!AI16="",'NH13-14'!AH16,IF('NH13-14'!AI16&gt;='NH13-14'!AH16,'NH13-14'!AI16,'NH13-14'!AH16))</f>
        <v>6.1</v>
      </c>
      <c r="U16" s="485">
        <f>IF('NH13-14'!AK16="",'NH13-14'!AJ16,IF('NH13-14'!AK16&gt;='NH13-14'!AJ16,'NH13-14'!AK16,'NH13-14'!AJ16))</f>
        <v>7</v>
      </c>
      <c r="V16" s="485">
        <f>IF('NH13-14'!AM16="",'NH13-14'!AL16,IF('NH13-14'!AM16&gt;='NH13-14'!AL16,'NH13-14'!AM16,'NH13-14'!AL16))</f>
        <v>7.4</v>
      </c>
      <c r="W16" s="485">
        <f>IF('NH13-14'!AO16="",'NH13-14'!AN16,IF('NH13-14'!AO16&gt;='NH13-14'!AN16,'NH13-14'!AO16,'NH13-14'!AN16))</f>
        <v>5.3</v>
      </c>
      <c r="X16" s="485">
        <f>IF('NH13-14'!AQ16="",'NH13-14'!AP16,IF('NH13-14'!AQ16&gt;='NH13-14'!AP16,'NH13-14'!AQ16,'NH13-14'!AP16))</f>
        <v>7.3</v>
      </c>
      <c r="Y16" s="485" t="str">
        <f>IF('NH13-14'!AS16="",'NH13-14'!AR16,IF('NH13-14'!AS16&gt;='NH13-14'!AR16,'NH13-14'!AS16,'NH13-14'!AR16))</f>
        <v/>
      </c>
      <c r="Z16" s="485" t="str">
        <f>IF('NH13-14'!AU16="",'NH13-14'!AT16,IF('NH13-14'!AU16&gt;='NH13-14'!AT16,'NH13-14'!AU16,'NH13-14'!AT16))</f>
        <v/>
      </c>
      <c r="AA16" s="485" t="str">
        <f>IF('NH13-14'!AW16="",'NH13-14'!AV16,IF('NH13-14'!AW16&gt;='NH13-14'!AV16,'NH13-14'!AW16,'NH13-14'!AV16))</f>
        <v/>
      </c>
      <c r="AB16" s="485">
        <f>IF('NH13-14'!AY16="",'NH13-14'!AX16,IF('NH13-14'!AY16&gt;='NH13-14'!AX16,'NH13-14'!AY16,'NH13-14'!AX16))</f>
        <v>5.8</v>
      </c>
      <c r="AC16" s="485" t="str">
        <f>IF('NH13-14'!BA16="",'NH13-14'!AZ16,IF('NH13-14'!BA16&gt;='NH13-14'!AZ16,'NH13-14'!BA16,'NH13-14'!AZ16))</f>
        <v/>
      </c>
      <c r="AD16" s="486">
        <f>IF('NH13-14'!B16="","",ROUND(SUMPRODUCT(G16:AC16,$G$7:$AC$7)/SUMIF(G16:AC16,"&gt;=0",$G$7:$AC$7),2))</f>
        <v>6.1</v>
      </c>
      <c r="AE16" s="487">
        <f t="shared" si="4"/>
        <v>1</v>
      </c>
      <c r="AF16" s="488">
        <f t="shared" si="5"/>
        <v>2</v>
      </c>
      <c r="AG16" s="488">
        <f t="shared" si="6"/>
        <v>2</v>
      </c>
      <c r="AH16" s="488">
        <f t="shared" si="7"/>
        <v>2</v>
      </c>
      <c r="AI16" s="488">
        <f t="shared" si="8"/>
        <v>2</v>
      </c>
      <c r="AJ16" s="488">
        <f t="shared" si="9"/>
        <v>2</v>
      </c>
      <c r="AK16" s="488">
        <f t="shared" si="10"/>
        <v>1</v>
      </c>
      <c r="AL16" s="488" t="str">
        <f t="shared" si="11"/>
        <v/>
      </c>
      <c r="AM16" s="488" t="str">
        <f t="shared" si="12"/>
        <v/>
      </c>
      <c r="AN16" s="488">
        <f t="shared" si="13"/>
        <v>3</v>
      </c>
      <c r="AO16" s="488">
        <f t="shared" si="14"/>
        <v>2</v>
      </c>
      <c r="AP16" s="488" t="str">
        <f t="shared" si="15"/>
        <v/>
      </c>
      <c r="AQ16" s="488">
        <f t="shared" si="16"/>
        <v>2</v>
      </c>
      <c r="AR16" s="488">
        <f t="shared" si="17"/>
        <v>2</v>
      </c>
      <c r="AS16" s="488">
        <f t="shared" si="18"/>
        <v>3</v>
      </c>
      <c r="AT16" s="488">
        <f t="shared" si="19"/>
        <v>3</v>
      </c>
      <c r="AU16" s="488">
        <f t="shared" si="20"/>
        <v>1</v>
      </c>
      <c r="AV16" s="488">
        <f t="shared" si="21"/>
        <v>3</v>
      </c>
      <c r="AW16" s="488" t="str">
        <f t="shared" si="22"/>
        <v/>
      </c>
      <c r="AX16" s="488" t="str">
        <f t="shared" si="23"/>
        <v/>
      </c>
      <c r="AY16" s="488" t="str">
        <f t="shared" si="24"/>
        <v/>
      </c>
      <c r="AZ16" s="488">
        <f t="shared" si="25"/>
        <v>2</v>
      </c>
      <c r="BA16" s="488" t="str">
        <f t="shared" si="26"/>
        <v/>
      </c>
      <c r="BB16" s="486">
        <f>IF('NH13-14'!B16="","",ROUND(SUMPRODUCT(AE16:BA16,$AE$7:$BA$7)/SUMIF(AE16:BA16,"&gt;=1",$AE$7:$BA$7),2))</f>
        <v>2.0299999999999998</v>
      </c>
      <c r="BC16" s="527">
        <f t="shared" si="27"/>
        <v>4.5999999999999996</v>
      </c>
      <c r="BD16" s="507">
        <f t="shared" si="28"/>
        <v>6.5</v>
      </c>
      <c r="BE16" s="507">
        <f t="shared" si="29"/>
        <v>5.6</v>
      </c>
      <c r="BF16" s="507">
        <f t="shared" si="30"/>
        <v>6.9</v>
      </c>
      <c r="BG16" s="507">
        <f t="shared" si="31"/>
        <v>5.8</v>
      </c>
      <c r="BH16" s="507">
        <f t="shared" si="32"/>
        <v>5.9</v>
      </c>
      <c r="BI16" s="507">
        <f t="shared" si="33"/>
        <v>5</v>
      </c>
      <c r="BJ16" s="507" t="str">
        <f t="shared" si="34"/>
        <v/>
      </c>
      <c r="BK16" s="507" t="str">
        <f t="shared" si="35"/>
        <v/>
      </c>
      <c r="BL16" s="507">
        <f t="shared" si="36"/>
        <v>7.1</v>
      </c>
      <c r="BM16" s="507">
        <f t="shared" si="37"/>
        <v>5.7</v>
      </c>
      <c r="BN16" s="507" t="str">
        <f t="shared" si="38"/>
        <v/>
      </c>
      <c r="BO16" s="507">
        <f t="shared" si="39"/>
        <v>6.8</v>
      </c>
      <c r="BP16" s="507">
        <f t="shared" si="40"/>
        <v>6.1</v>
      </c>
      <c r="BQ16" s="507">
        <f t="shared" si="41"/>
        <v>7</v>
      </c>
      <c r="BR16" s="507">
        <f t="shared" si="42"/>
        <v>7.4</v>
      </c>
      <c r="BS16" s="507">
        <f t="shared" si="43"/>
        <v>5.3</v>
      </c>
      <c r="BT16" s="507">
        <f t="shared" si="44"/>
        <v>7.3</v>
      </c>
      <c r="BU16" s="507" t="str">
        <f t="shared" si="45"/>
        <v/>
      </c>
      <c r="BV16" s="507" t="str">
        <f t="shared" si="46"/>
        <v/>
      </c>
      <c r="BW16" s="507" t="str">
        <f t="shared" si="47"/>
        <v/>
      </c>
      <c r="BX16" s="507">
        <f t="shared" si="48"/>
        <v>5.8</v>
      </c>
      <c r="BY16" s="507" t="str">
        <f t="shared" si="49"/>
        <v/>
      </c>
    </row>
    <row r="17" spans="1:77">
      <c r="A17" s="481">
        <f>IF('NH13-14'!A17="","",'NH13-14'!A17)</f>
        <v>7</v>
      </c>
      <c r="B17" s="482" t="str">
        <f>IF('NH13-14'!B17="","",'NH13-14'!B17)</f>
        <v>13D301Đ025</v>
      </c>
      <c r="C17" s="490">
        <f t="shared" si="2"/>
        <v>39</v>
      </c>
      <c r="D17" s="490">
        <f t="shared" si="3"/>
        <v>0</v>
      </c>
      <c r="E17" s="483" t="str">
        <f>IF('NH13-14'!C17="","",'NH13-14'!C17)</f>
        <v>Nguyễn Ngọc</v>
      </c>
      <c r="F17" s="484" t="str">
        <f>IF('NH13-14'!D17="","",'NH13-14'!D17)</f>
        <v>Dũng</v>
      </c>
      <c r="G17" s="485">
        <f>IF('NH13-14'!I17="",'NH13-14'!H17,IF('NH13-14'!I17&gt;='NH13-14'!H17,'NH13-14'!I17,'NH13-14'!H17))</f>
        <v>5.4</v>
      </c>
      <c r="H17" s="485">
        <f>IF('NH13-14'!K17="",'NH13-14'!J17,IF('NH13-14'!K17&gt;='NH13-14'!J17,'NH13-14'!K17,'NH13-14'!J17))</f>
        <v>5.4</v>
      </c>
      <c r="I17" s="485">
        <f>IF('NH13-14'!M17="",'NH13-14'!L17,IF('NH13-14'!M17&gt;='NH13-14'!L17,'NH13-14'!M17,'NH13-14'!L17))</f>
        <v>5.5</v>
      </c>
      <c r="J17" s="485">
        <f>IF('NH13-14'!O17="",'NH13-14'!N17,IF('NH13-14'!O17&gt;='NH13-14'!N17,'NH13-14'!O17,'NH13-14'!N17))</f>
        <v>5.3</v>
      </c>
      <c r="K17" s="485">
        <f>IF('NH13-14'!Q17="",'NH13-14'!P17,IF('NH13-14'!Q17&gt;='NH13-14'!P17,'NH13-14'!Q17,'NH13-14'!P17))</f>
        <v>5.0999999999999996</v>
      </c>
      <c r="L17" s="485">
        <f>IF('NH13-14'!S17="",'NH13-14'!R17,IF('NH13-14'!S17&gt;='NH13-14'!R17,'NH13-14'!S17,'NH13-14'!R17))</f>
        <v>4.9000000000000004</v>
      </c>
      <c r="M17" s="485">
        <f>IF('NH13-14'!U17="",'NH13-14'!T17,IF('NH13-14'!U17&gt;='NH13-14'!T17,'NH13-14'!U17,'NH13-14'!T17))</f>
        <v>5.0999999999999996</v>
      </c>
      <c r="N17" s="485" t="str">
        <f>IF('NH13-14'!W17="",'NH13-14'!V17,IF('NH13-14'!W17&gt;='NH13-14'!V17,'NH13-14'!W17,'NH13-14'!V17))</f>
        <v/>
      </c>
      <c r="O17" s="485" t="str">
        <f>IF('NH13-14'!Y17="",'NH13-14'!X17,IF('NH13-14'!Y17&gt;='NH13-14'!X17,'NH13-14'!Y17,'NH13-14'!X17))</f>
        <v/>
      </c>
      <c r="P17" s="485">
        <f>IF('NH13-14'!AA17="",'NH13-14'!Z17,IF('NH13-14'!AA17&gt;='NH13-14'!Z17,'NH13-14'!AA17,'NH13-14'!Z17))</f>
        <v>5.7</v>
      </c>
      <c r="Q17" s="485">
        <f>IF('NH13-14'!AC17="",'NH13-14'!AB17,IF('NH13-14'!AC17&gt;='NH13-14'!AB17,'NH13-14'!AC17,'NH13-14'!AB17))</f>
        <v>5.7</v>
      </c>
      <c r="R17" s="485" t="str">
        <f>IF('NH13-14'!AE17="",'NH13-14'!AD17,IF('NH13-14'!AE17&gt;='NH13-14'!AD17,'NH13-14'!AE17,'NH13-14'!AD17))</f>
        <v/>
      </c>
      <c r="S17" s="485">
        <f>IF('NH13-14'!AG17="",'NH13-14'!AF17,IF('NH13-14'!AG17&gt;='NH13-14'!AF17,'NH13-14'!AG17,'NH13-14'!AF17))</f>
        <v>5.5</v>
      </c>
      <c r="T17" s="485">
        <f>IF('NH13-14'!AI17="",'NH13-14'!AH17,IF('NH13-14'!AI17&gt;='NH13-14'!AH17,'NH13-14'!AI17,'NH13-14'!AH17))</f>
        <v>4.9000000000000004</v>
      </c>
      <c r="U17" s="485">
        <f>IF('NH13-14'!AK17="",'NH13-14'!AJ17,IF('NH13-14'!AK17&gt;='NH13-14'!AJ17,'NH13-14'!AK17,'NH13-14'!AJ17))</f>
        <v>5.5</v>
      </c>
      <c r="V17" s="485">
        <f>IF('NH13-14'!AM17="",'NH13-14'!AL17,IF('NH13-14'!AM17&gt;='NH13-14'!AL17,'NH13-14'!AM17,'NH13-14'!AL17))</f>
        <v>5.9</v>
      </c>
      <c r="W17" s="485">
        <f>IF('NH13-14'!AO17="",'NH13-14'!AN17,IF('NH13-14'!AO17&gt;='NH13-14'!AN17,'NH13-14'!AO17,'NH13-14'!AN17))</f>
        <v>4.2</v>
      </c>
      <c r="X17" s="485">
        <f>IF('NH13-14'!AQ17="",'NH13-14'!AP17,IF('NH13-14'!AQ17&gt;='NH13-14'!AP17,'NH13-14'!AQ17,'NH13-14'!AP17))</f>
        <v>7</v>
      </c>
      <c r="Y17" s="485" t="str">
        <f>IF('NH13-14'!AS17="",'NH13-14'!AR17,IF('NH13-14'!AS17&gt;='NH13-14'!AR17,'NH13-14'!AS17,'NH13-14'!AR17))</f>
        <v/>
      </c>
      <c r="Z17" s="485" t="str">
        <f>IF('NH13-14'!AU17="",'NH13-14'!AT17,IF('NH13-14'!AU17&gt;='NH13-14'!AT17,'NH13-14'!AU17,'NH13-14'!AT17))</f>
        <v/>
      </c>
      <c r="AA17" s="485" t="str">
        <f>IF('NH13-14'!AW17="",'NH13-14'!AV17,IF('NH13-14'!AW17&gt;='NH13-14'!AV17,'NH13-14'!AW17,'NH13-14'!AV17))</f>
        <v/>
      </c>
      <c r="AB17" s="485">
        <f>IF('NH13-14'!AY17="",'NH13-14'!AX17,IF('NH13-14'!AY17&gt;='NH13-14'!AX17,'NH13-14'!AY17,'NH13-14'!AX17))</f>
        <v>5.7</v>
      </c>
      <c r="AC17" s="485" t="str">
        <f>IF('NH13-14'!BA17="",'NH13-14'!AZ17,IF('NH13-14'!BA17&gt;='NH13-14'!AZ17,'NH13-14'!BA17,'NH13-14'!AZ17))</f>
        <v/>
      </c>
      <c r="AD17" s="486">
        <f>IF('NH13-14'!B17="","",ROUND(SUMPRODUCT(G17:AC17,$G$7:$AC$7)/SUMIF(G17:AC17,"&gt;=0",$G$7:$AC$7),2))</f>
        <v>5.38</v>
      </c>
      <c r="AE17" s="487">
        <f t="shared" si="4"/>
        <v>1</v>
      </c>
      <c r="AF17" s="488">
        <f t="shared" si="5"/>
        <v>1</v>
      </c>
      <c r="AG17" s="488">
        <f t="shared" si="6"/>
        <v>2</v>
      </c>
      <c r="AH17" s="488">
        <f t="shared" si="7"/>
        <v>1</v>
      </c>
      <c r="AI17" s="488">
        <f t="shared" si="8"/>
        <v>1</v>
      </c>
      <c r="AJ17" s="488">
        <f t="shared" si="9"/>
        <v>1</v>
      </c>
      <c r="AK17" s="488">
        <f t="shared" si="10"/>
        <v>1</v>
      </c>
      <c r="AL17" s="488" t="str">
        <f t="shared" si="11"/>
        <v/>
      </c>
      <c r="AM17" s="488" t="str">
        <f t="shared" si="12"/>
        <v/>
      </c>
      <c r="AN17" s="488">
        <f t="shared" si="13"/>
        <v>2</v>
      </c>
      <c r="AO17" s="488">
        <f t="shared" si="14"/>
        <v>2</v>
      </c>
      <c r="AP17" s="488" t="str">
        <f t="shared" si="15"/>
        <v/>
      </c>
      <c r="AQ17" s="488">
        <f t="shared" si="16"/>
        <v>2</v>
      </c>
      <c r="AR17" s="488">
        <f t="shared" si="17"/>
        <v>1</v>
      </c>
      <c r="AS17" s="488">
        <f t="shared" si="18"/>
        <v>2</v>
      </c>
      <c r="AT17" s="488">
        <f t="shared" si="19"/>
        <v>2</v>
      </c>
      <c r="AU17" s="488">
        <f t="shared" si="20"/>
        <v>1</v>
      </c>
      <c r="AV17" s="488">
        <f t="shared" si="21"/>
        <v>3</v>
      </c>
      <c r="AW17" s="488" t="str">
        <f t="shared" si="22"/>
        <v/>
      </c>
      <c r="AX17" s="488" t="str">
        <f t="shared" si="23"/>
        <v/>
      </c>
      <c r="AY17" s="488" t="str">
        <f t="shared" si="24"/>
        <v/>
      </c>
      <c r="AZ17" s="488">
        <f t="shared" si="25"/>
        <v>2</v>
      </c>
      <c r="BA17" s="488" t="str">
        <f t="shared" si="26"/>
        <v/>
      </c>
      <c r="BB17" s="486">
        <f>IF('NH13-14'!B17="","",ROUND(SUMPRODUCT(AE17:BA17,$AE$7:$BA$7)/SUMIF(AE17:BA17,"&gt;=1",$AE$7:$BA$7),2))</f>
        <v>1.49</v>
      </c>
      <c r="BC17" s="527">
        <f t="shared" si="27"/>
        <v>5.4</v>
      </c>
      <c r="BD17" s="507">
        <f t="shared" si="28"/>
        <v>5.4</v>
      </c>
      <c r="BE17" s="507">
        <f t="shared" si="29"/>
        <v>5.5</v>
      </c>
      <c r="BF17" s="507">
        <f t="shared" si="30"/>
        <v>5.3</v>
      </c>
      <c r="BG17" s="507">
        <f t="shared" si="31"/>
        <v>5.0999999999999996</v>
      </c>
      <c r="BH17" s="507">
        <f t="shared" si="32"/>
        <v>4.9000000000000004</v>
      </c>
      <c r="BI17" s="507">
        <f t="shared" si="33"/>
        <v>5.0999999999999996</v>
      </c>
      <c r="BJ17" s="507" t="str">
        <f t="shared" si="34"/>
        <v/>
      </c>
      <c r="BK17" s="507" t="str">
        <f t="shared" si="35"/>
        <v/>
      </c>
      <c r="BL17" s="507">
        <f t="shared" si="36"/>
        <v>5.7</v>
      </c>
      <c r="BM17" s="507">
        <f t="shared" si="37"/>
        <v>5.7</v>
      </c>
      <c r="BN17" s="507" t="str">
        <f t="shared" si="38"/>
        <v/>
      </c>
      <c r="BO17" s="507">
        <f t="shared" si="39"/>
        <v>5.5</v>
      </c>
      <c r="BP17" s="507">
        <f t="shared" si="40"/>
        <v>4.9000000000000004</v>
      </c>
      <c r="BQ17" s="507">
        <f t="shared" si="41"/>
        <v>5.5</v>
      </c>
      <c r="BR17" s="507">
        <f t="shared" si="42"/>
        <v>5.9</v>
      </c>
      <c r="BS17" s="507">
        <f t="shared" si="43"/>
        <v>4.2</v>
      </c>
      <c r="BT17" s="507">
        <f t="shared" si="44"/>
        <v>7</v>
      </c>
      <c r="BU17" s="507" t="str">
        <f t="shared" si="45"/>
        <v/>
      </c>
      <c r="BV17" s="507" t="str">
        <f t="shared" si="46"/>
        <v/>
      </c>
      <c r="BW17" s="507" t="str">
        <f t="shared" si="47"/>
        <v/>
      </c>
      <c r="BX17" s="507">
        <f t="shared" si="48"/>
        <v>5.7</v>
      </c>
      <c r="BY17" s="507" t="str">
        <f t="shared" si="49"/>
        <v/>
      </c>
    </row>
    <row r="18" spans="1:77">
      <c r="A18" s="481">
        <f>IF('NH13-14'!A18="","",'NH13-14'!A18)</f>
        <v>8</v>
      </c>
      <c r="B18" s="482" t="str">
        <f>IF('NH13-14'!B18="","",'NH13-14'!B18)</f>
        <v>13D301Đ033</v>
      </c>
      <c r="C18" s="490">
        <f t="shared" si="2"/>
        <v>39</v>
      </c>
      <c r="D18" s="490">
        <f t="shared" si="3"/>
        <v>0</v>
      </c>
      <c r="E18" s="483" t="str">
        <f>IF('NH13-14'!C18="","",'NH13-14'!C18)</f>
        <v xml:space="preserve">Trương Văn </v>
      </c>
      <c r="F18" s="484" t="str">
        <f>IF('NH13-14'!D18="","",'NH13-14'!D18)</f>
        <v>Đạt</v>
      </c>
      <c r="G18" s="485">
        <f>IF('NH13-14'!I18="",'NH13-14'!H18,IF('NH13-14'!I18&gt;='NH13-14'!H18,'NH13-14'!I18,'NH13-14'!H18))</f>
        <v>5.4</v>
      </c>
      <c r="H18" s="485">
        <f>IF('NH13-14'!K18="",'NH13-14'!J18,IF('NH13-14'!K18&gt;='NH13-14'!J18,'NH13-14'!K18,'NH13-14'!J18))</f>
        <v>8.1</v>
      </c>
      <c r="I18" s="485">
        <f>IF('NH13-14'!M18="",'NH13-14'!L18,IF('NH13-14'!M18&gt;='NH13-14'!L18,'NH13-14'!M18,'NH13-14'!L18))</f>
        <v>5.4</v>
      </c>
      <c r="J18" s="485">
        <f>IF('NH13-14'!O18="",'NH13-14'!N18,IF('NH13-14'!O18&gt;='NH13-14'!N18,'NH13-14'!O18,'NH13-14'!N18))</f>
        <v>6.1</v>
      </c>
      <c r="K18" s="485">
        <f>IF('NH13-14'!Q18="",'NH13-14'!P18,IF('NH13-14'!Q18&gt;='NH13-14'!P18,'NH13-14'!Q18,'NH13-14'!P18))</f>
        <v>5.9</v>
      </c>
      <c r="L18" s="485">
        <f>IF('NH13-14'!S18="",'NH13-14'!R18,IF('NH13-14'!S18&gt;='NH13-14'!R18,'NH13-14'!S18,'NH13-14'!R18))</f>
        <v>5.3</v>
      </c>
      <c r="M18" s="485">
        <f>IF('NH13-14'!U18="",'NH13-14'!T18,IF('NH13-14'!U18&gt;='NH13-14'!T18,'NH13-14'!U18,'NH13-14'!T18))</f>
        <v>6.6</v>
      </c>
      <c r="N18" s="485" t="str">
        <f>IF('NH13-14'!W18="",'NH13-14'!V18,IF('NH13-14'!W18&gt;='NH13-14'!V18,'NH13-14'!W18,'NH13-14'!V18))</f>
        <v/>
      </c>
      <c r="O18" s="485" t="str">
        <f>IF('NH13-14'!Y18="",'NH13-14'!X18,IF('NH13-14'!Y18&gt;='NH13-14'!X18,'NH13-14'!Y18,'NH13-14'!X18))</f>
        <v/>
      </c>
      <c r="P18" s="485">
        <f>IF('NH13-14'!AA18="",'NH13-14'!Z18,IF('NH13-14'!AA18&gt;='NH13-14'!Z18,'NH13-14'!AA18,'NH13-14'!Z18))</f>
        <v>6.8</v>
      </c>
      <c r="Q18" s="485">
        <f>IF('NH13-14'!AC18="",'NH13-14'!AB18,IF('NH13-14'!AC18&gt;='NH13-14'!AB18,'NH13-14'!AC18,'NH13-14'!AB18))</f>
        <v>5.6</v>
      </c>
      <c r="R18" s="485">
        <f>IF('NH13-14'!AE18="",'NH13-14'!AD18,IF('NH13-14'!AE18&gt;='NH13-14'!AD18,'NH13-14'!AE18,'NH13-14'!AD18))</f>
        <v>6.8</v>
      </c>
      <c r="S18" s="485">
        <f>IF('NH13-14'!AG18="",'NH13-14'!AF18,IF('NH13-14'!AG18&gt;='NH13-14'!AF18,'NH13-14'!AG18,'NH13-14'!AF18))</f>
        <v>6.1</v>
      </c>
      <c r="T18" s="485" t="str">
        <f>IF('NH13-14'!AI18="",'NH13-14'!AH18,IF('NH13-14'!AI18&gt;='NH13-14'!AH18,'NH13-14'!AI18,'NH13-14'!AH18))</f>
        <v/>
      </c>
      <c r="U18" s="485">
        <f>IF('NH13-14'!AK18="",'NH13-14'!AJ18,IF('NH13-14'!AK18&gt;='NH13-14'!AJ18,'NH13-14'!AK18,'NH13-14'!AJ18))</f>
        <v>6.8</v>
      </c>
      <c r="V18" s="485">
        <f>IF('NH13-14'!AM18="",'NH13-14'!AL18,IF('NH13-14'!AM18&gt;='NH13-14'!AL18,'NH13-14'!AM18,'NH13-14'!AL18))</f>
        <v>5.7</v>
      </c>
      <c r="W18" s="485">
        <f>IF('NH13-14'!AO18="",'NH13-14'!AN18,IF('NH13-14'!AO18&gt;='NH13-14'!AN18,'NH13-14'!AO18,'NH13-14'!AN18))</f>
        <v>5.4</v>
      </c>
      <c r="X18" s="485">
        <f>IF('NH13-14'!AQ18="",'NH13-14'!AP18,IF('NH13-14'!AQ18&gt;='NH13-14'!AP18,'NH13-14'!AQ18,'NH13-14'!AP18))</f>
        <v>6.1</v>
      </c>
      <c r="Y18" s="485" t="str">
        <f>IF('NH13-14'!AS18="",'NH13-14'!AR18,IF('NH13-14'!AS18&gt;='NH13-14'!AR18,'NH13-14'!AS18,'NH13-14'!AR18))</f>
        <v/>
      </c>
      <c r="Z18" s="485" t="str">
        <f>IF('NH13-14'!AU18="",'NH13-14'!AT18,IF('NH13-14'!AU18&gt;='NH13-14'!AT18,'NH13-14'!AU18,'NH13-14'!AT18))</f>
        <v/>
      </c>
      <c r="AA18" s="485" t="str">
        <f>IF('NH13-14'!AW18="",'NH13-14'!AV18,IF('NH13-14'!AW18&gt;='NH13-14'!AV18,'NH13-14'!AW18,'NH13-14'!AV18))</f>
        <v/>
      </c>
      <c r="AB18" s="485">
        <f>IF('NH13-14'!AY18="",'NH13-14'!AX18,IF('NH13-14'!AY18&gt;='NH13-14'!AX18,'NH13-14'!AY18,'NH13-14'!AX18))</f>
        <v>6.6</v>
      </c>
      <c r="AC18" s="485" t="str">
        <f>IF('NH13-14'!BA18="",'NH13-14'!AZ18,IF('NH13-14'!BA18&gt;='NH13-14'!AZ18,'NH13-14'!BA18,'NH13-14'!AZ18))</f>
        <v/>
      </c>
      <c r="AD18" s="486">
        <f>IF('NH13-14'!B18="","",ROUND(SUMPRODUCT(G18:AC18,$G$7:$AC$7)/SUMIF(G18:AC18,"&gt;=0",$G$7:$AC$7),2))</f>
        <v>6.11</v>
      </c>
      <c r="AE18" s="487">
        <f t="shared" si="4"/>
        <v>1</v>
      </c>
      <c r="AF18" s="488">
        <f t="shared" si="5"/>
        <v>3</v>
      </c>
      <c r="AG18" s="488">
        <f t="shared" si="6"/>
        <v>1</v>
      </c>
      <c r="AH18" s="488">
        <f t="shared" si="7"/>
        <v>2</v>
      </c>
      <c r="AI18" s="488">
        <f t="shared" si="8"/>
        <v>2</v>
      </c>
      <c r="AJ18" s="488">
        <f t="shared" si="9"/>
        <v>1</v>
      </c>
      <c r="AK18" s="488">
        <f t="shared" si="10"/>
        <v>2</v>
      </c>
      <c r="AL18" s="488" t="str">
        <f t="shared" si="11"/>
        <v/>
      </c>
      <c r="AM18" s="488" t="str">
        <f t="shared" si="12"/>
        <v/>
      </c>
      <c r="AN18" s="488">
        <f t="shared" si="13"/>
        <v>2</v>
      </c>
      <c r="AO18" s="488">
        <f t="shared" si="14"/>
        <v>2</v>
      </c>
      <c r="AP18" s="488">
        <f t="shared" si="15"/>
        <v>2</v>
      </c>
      <c r="AQ18" s="488">
        <f t="shared" si="16"/>
        <v>2</v>
      </c>
      <c r="AR18" s="488" t="str">
        <f t="shared" si="17"/>
        <v/>
      </c>
      <c r="AS18" s="488">
        <f t="shared" si="18"/>
        <v>2</v>
      </c>
      <c r="AT18" s="488">
        <f t="shared" si="19"/>
        <v>2</v>
      </c>
      <c r="AU18" s="488">
        <f t="shared" si="20"/>
        <v>1</v>
      </c>
      <c r="AV18" s="488">
        <f t="shared" si="21"/>
        <v>2</v>
      </c>
      <c r="AW18" s="488" t="str">
        <f t="shared" si="22"/>
        <v/>
      </c>
      <c r="AX18" s="488" t="str">
        <f t="shared" si="23"/>
        <v/>
      </c>
      <c r="AY18" s="488" t="str">
        <f t="shared" si="24"/>
        <v/>
      </c>
      <c r="AZ18" s="488">
        <f t="shared" si="25"/>
        <v>2</v>
      </c>
      <c r="BA18" s="488" t="str">
        <f t="shared" si="26"/>
        <v/>
      </c>
      <c r="BB18" s="486">
        <f>IF('NH13-14'!B18="","",ROUND(SUMPRODUCT(AE18:BA18,$AE$7:$BA$7)/SUMIF(AE18:BA18,"&gt;=1",$AE$7:$BA$7),2))</f>
        <v>1.77</v>
      </c>
      <c r="BC18" s="527">
        <f t="shared" si="27"/>
        <v>5.4</v>
      </c>
      <c r="BD18" s="507">
        <f t="shared" si="28"/>
        <v>8.1</v>
      </c>
      <c r="BE18" s="507">
        <f t="shared" si="29"/>
        <v>5.4</v>
      </c>
      <c r="BF18" s="507">
        <f t="shared" si="30"/>
        <v>6.1</v>
      </c>
      <c r="BG18" s="507">
        <f t="shared" si="31"/>
        <v>5.9</v>
      </c>
      <c r="BH18" s="507">
        <f t="shared" si="32"/>
        <v>5.3</v>
      </c>
      <c r="BI18" s="507">
        <f t="shared" si="33"/>
        <v>6.6</v>
      </c>
      <c r="BJ18" s="507" t="str">
        <f t="shared" si="34"/>
        <v/>
      </c>
      <c r="BK18" s="507" t="str">
        <f t="shared" si="35"/>
        <v/>
      </c>
      <c r="BL18" s="507">
        <f t="shared" si="36"/>
        <v>6.8</v>
      </c>
      <c r="BM18" s="507">
        <f t="shared" si="37"/>
        <v>5.6</v>
      </c>
      <c r="BN18" s="507">
        <f t="shared" si="38"/>
        <v>6.8</v>
      </c>
      <c r="BO18" s="507">
        <f t="shared" si="39"/>
        <v>6.1</v>
      </c>
      <c r="BP18" s="507" t="str">
        <f t="shared" si="40"/>
        <v/>
      </c>
      <c r="BQ18" s="507">
        <f t="shared" si="41"/>
        <v>6.8</v>
      </c>
      <c r="BR18" s="507">
        <f t="shared" si="42"/>
        <v>5.7</v>
      </c>
      <c r="BS18" s="507">
        <f t="shared" si="43"/>
        <v>5.4</v>
      </c>
      <c r="BT18" s="507">
        <f t="shared" si="44"/>
        <v>6.1</v>
      </c>
      <c r="BU18" s="507" t="str">
        <f t="shared" si="45"/>
        <v/>
      </c>
      <c r="BV18" s="507" t="str">
        <f t="shared" si="46"/>
        <v/>
      </c>
      <c r="BW18" s="507" t="str">
        <f t="shared" si="47"/>
        <v/>
      </c>
      <c r="BX18" s="507">
        <f t="shared" si="48"/>
        <v>6.6</v>
      </c>
      <c r="BY18" s="507" t="str">
        <f t="shared" si="49"/>
        <v/>
      </c>
    </row>
    <row r="19" spans="1:77">
      <c r="A19" s="481">
        <f>IF('NH13-14'!A19="","",'NH13-14'!A19)</f>
        <v>9</v>
      </c>
      <c r="B19" s="482" t="str">
        <f>IF('NH13-14'!B19="","",'NH13-14'!B19)</f>
        <v>13D301Đ037</v>
      </c>
      <c r="C19" s="490">
        <f t="shared" si="2"/>
        <v>39</v>
      </c>
      <c r="D19" s="490">
        <f t="shared" si="3"/>
        <v>0</v>
      </c>
      <c r="E19" s="483" t="str">
        <f>IF('NH13-14'!C19="","",'NH13-14'!C19)</f>
        <v>Nguyễn Thành</v>
      </c>
      <c r="F19" s="484" t="str">
        <f>IF('NH13-14'!D19="","",'NH13-14'!D19)</f>
        <v>Đông</v>
      </c>
      <c r="G19" s="485">
        <f>IF('NH13-14'!I19="",'NH13-14'!H19,IF('NH13-14'!I19&gt;='NH13-14'!H19,'NH13-14'!I19,'NH13-14'!H19))</f>
        <v>6</v>
      </c>
      <c r="H19" s="485">
        <f>IF('NH13-14'!K19="",'NH13-14'!J19,IF('NH13-14'!K19&gt;='NH13-14'!J19,'NH13-14'!K19,'NH13-14'!J19))</f>
        <v>6.1</v>
      </c>
      <c r="I19" s="485">
        <f>IF('NH13-14'!M19="",'NH13-14'!L19,IF('NH13-14'!M19&gt;='NH13-14'!L19,'NH13-14'!M19,'NH13-14'!L19))</f>
        <v>7.3</v>
      </c>
      <c r="J19" s="485">
        <f>IF('NH13-14'!O19="",'NH13-14'!N19,IF('NH13-14'!O19&gt;='NH13-14'!N19,'NH13-14'!O19,'NH13-14'!N19))</f>
        <v>5.5</v>
      </c>
      <c r="K19" s="485">
        <f>IF('NH13-14'!Q19="",'NH13-14'!P19,IF('NH13-14'!Q19&gt;='NH13-14'!P19,'NH13-14'!Q19,'NH13-14'!P19))</f>
        <v>5.4</v>
      </c>
      <c r="L19" s="485">
        <f>IF('NH13-14'!S19="",'NH13-14'!R19,IF('NH13-14'!S19&gt;='NH13-14'!R19,'NH13-14'!S19,'NH13-14'!R19))</f>
        <v>5</v>
      </c>
      <c r="M19" s="485">
        <f>IF('NH13-14'!U19="",'NH13-14'!T19,IF('NH13-14'!U19&gt;='NH13-14'!T19,'NH13-14'!U19,'NH13-14'!T19))</f>
        <v>6.2</v>
      </c>
      <c r="N19" s="485" t="str">
        <f>IF('NH13-14'!W19="",'NH13-14'!V19,IF('NH13-14'!W19&gt;='NH13-14'!V19,'NH13-14'!W19,'NH13-14'!V19))</f>
        <v/>
      </c>
      <c r="O19" s="485" t="str">
        <f>IF('NH13-14'!Y19="",'NH13-14'!X19,IF('NH13-14'!Y19&gt;='NH13-14'!X19,'NH13-14'!Y19,'NH13-14'!X19))</f>
        <v/>
      </c>
      <c r="P19" s="485">
        <f>IF('NH13-14'!AA19="",'NH13-14'!Z19,IF('NH13-14'!AA19&gt;='NH13-14'!Z19,'NH13-14'!AA19,'NH13-14'!Z19))</f>
        <v>6.1</v>
      </c>
      <c r="Q19" s="485">
        <f>IF('NH13-14'!AC19="",'NH13-14'!AB19,IF('NH13-14'!AC19&gt;='NH13-14'!AB19,'NH13-14'!AC19,'NH13-14'!AB19))</f>
        <v>6.2</v>
      </c>
      <c r="R19" s="485">
        <f>IF('NH13-14'!AE19="",'NH13-14'!AD19,IF('NH13-14'!AE19&gt;='NH13-14'!AD19,'NH13-14'!AE19,'NH13-14'!AD19))</f>
        <v>5.9</v>
      </c>
      <c r="S19" s="485" t="str">
        <f>IF('NH13-14'!AG19="",'NH13-14'!AF19,IF('NH13-14'!AG19&gt;='NH13-14'!AF19,'NH13-14'!AG19,'NH13-14'!AF19))</f>
        <v/>
      </c>
      <c r="T19" s="485">
        <f>IF('NH13-14'!AI19="",'NH13-14'!AH19,IF('NH13-14'!AI19&gt;='NH13-14'!AH19,'NH13-14'!AI19,'NH13-14'!AH19))</f>
        <v>6.5</v>
      </c>
      <c r="U19" s="485">
        <f>IF('NH13-14'!AK19="",'NH13-14'!AJ19,IF('NH13-14'!AK19&gt;='NH13-14'!AJ19,'NH13-14'!AK19,'NH13-14'!AJ19))</f>
        <v>6.1</v>
      </c>
      <c r="V19" s="485">
        <f>IF('NH13-14'!AM19="",'NH13-14'!AL19,IF('NH13-14'!AM19&gt;='NH13-14'!AL19,'NH13-14'!AM19,'NH13-14'!AL19))</f>
        <v>6.2</v>
      </c>
      <c r="W19" s="485">
        <f>IF('NH13-14'!AO19="",'NH13-14'!AN19,IF('NH13-14'!AO19&gt;='NH13-14'!AN19,'NH13-14'!AO19,'NH13-14'!AN19))</f>
        <v>4.2</v>
      </c>
      <c r="X19" s="485">
        <f>IF('NH13-14'!AQ19="",'NH13-14'!AP19,IF('NH13-14'!AQ19&gt;='NH13-14'!AP19,'NH13-14'!AQ19,'NH13-14'!AP19))</f>
        <v>5.2</v>
      </c>
      <c r="Y19" s="485" t="str">
        <f>IF('NH13-14'!AS19="",'NH13-14'!AR19,IF('NH13-14'!AS19&gt;='NH13-14'!AR19,'NH13-14'!AS19,'NH13-14'!AR19))</f>
        <v/>
      </c>
      <c r="Z19" s="485" t="str">
        <f>IF('NH13-14'!AU19="",'NH13-14'!AT19,IF('NH13-14'!AU19&gt;='NH13-14'!AT19,'NH13-14'!AU19,'NH13-14'!AT19))</f>
        <v/>
      </c>
      <c r="AA19" s="485" t="str">
        <f>IF('NH13-14'!AW19="",'NH13-14'!AV19,IF('NH13-14'!AW19&gt;='NH13-14'!AV19,'NH13-14'!AW19,'NH13-14'!AV19))</f>
        <v/>
      </c>
      <c r="AB19" s="485">
        <f>IF('NH13-14'!AY19="",'NH13-14'!AX19,IF('NH13-14'!AY19&gt;='NH13-14'!AX19,'NH13-14'!AY19,'NH13-14'!AX19))</f>
        <v>5.7</v>
      </c>
      <c r="AC19" s="485" t="str">
        <f>IF('NH13-14'!BA19="",'NH13-14'!AZ19,IF('NH13-14'!BA19&gt;='NH13-14'!AZ19,'NH13-14'!BA19,'NH13-14'!AZ19))</f>
        <v/>
      </c>
      <c r="AD19" s="486">
        <f>IF('NH13-14'!B19="","",ROUND(SUMPRODUCT(G19:AC19,$G$7:$AC$7)/SUMIF(G19:AC19,"&gt;=0",$G$7:$AC$7),2))</f>
        <v>5.79</v>
      </c>
      <c r="AE19" s="487">
        <f t="shared" si="4"/>
        <v>2</v>
      </c>
      <c r="AF19" s="488">
        <f t="shared" si="5"/>
        <v>2</v>
      </c>
      <c r="AG19" s="488">
        <f t="shared" si="6"/>
        <v>3</v>
      </c>
      <c r="AH19" s="488">
        <f t="shared" si="7"/>
        <v>2</v>
      </c>
      <c r="AI19" s="488">
        <f t="shared" si="8"/>
        <v>1</v>
      </c>
      <c r="AJ19" s="488">
        <f t="shared" si="9"/>
        <v>1</v>
      </c>
      <c r="AK19" s="488">
        <f t="shared" si="10"/>
        <v>2</v>
      </c>
      <c r="AL19" s="488" t="str">
        <f t="shared" si="11"/>
        <v/>
      </c>
      <c r="AM19" s="488" t="str">
        <f t="shared" si="12"/>
        <v/>
      </c>
      <c r="AN19" s="488">
        <f t="shared" si="13"/>
        <v>2</v>
      </c>
      <c r="AO19" s="488">
        <f t="shared" si="14"/>
        <v>2</v>
      </c>
      <c r="AP19" s="488">
        <f t="shared" si="15"/>
        <v>2</v>
      </c>
      <c r="AQ19" s="488" t="str">
        <f t="shared" si="16"/>
        <v/>
      </c>
      <c r="AR19" s="488">
        <f t="shared" si="17"/>
        <v>2</v>
      </c>
      <c r="AS19" s="488">
        <f t="shared" si="18"/>
        <v>2</v>
      </c>
      <c r="AT19" s="488">
        <f t="shared" si="19"/>
        <v>2</v>
      </c>
      <c r="AU19" s="488">
        <f t="shared" si="20"/>
        <v>1</v>
      </c>
      <c r="AV19" s="488">
        <f t="shared" si="21"/>
        <v>1</v>
      </c>
      <c r="AW19" s="488" t="str">
        <f t="shared" si="22"/>
        <v/>
      </c>
      <c r="AX19" s="488" t="str">
        <f t="shared" si="23"/>
        <v/>
      </c>
      <c r="AY19" s="488" t="str">
        <f t="shared" si="24"/>
        <v/>
      </c>
      <c r="AZ19" s="488">
        <f t="shared" si="25"/>
        <v>2</v>
      </c>
      <c r="BA19" s="488" t="str">
        <f t="shared" si="26"/>
        <v/>
      </c>
      <c r="BB19" s="486">
        <f>IF('NH13-14'!B19="","",ROUND(SUMPRODUCT(AE19:BA19,$AE$7:$BA$7)/SUMIF(AE19:BA19,"&gt;=1",$AE$7:$BA$7),2))</f>
        <v>1.74</v>
      </c>
      <c r="BC19" s="527">
        <f t="shared" si="27"/>
        <v>6</v>
      </c>
      <c r="BD19" s="507">
        <f t="shared" si="28"/>
        <v>6.1</v>
      </c>
      <c r="BE19" s="507">
        <f t="shared" si="29"/>
        <v>7.3</v>
      </c>
      <c r="BF19" s="507">
        <f t="shared" si="30"/>
        <v>5.5</v>
      </c>
      <c r="BG19" s="507">
        <f t="shared" si="31"/>
        <v>5.4</v>
      </c>
      <c r="BH19" s="507">
        <f t="shared" si="32"/>
        <v>5</v>
      </c>
      <c r="BI19" s="507">
        <f t="shared" si="33"/>
        <v>6.2</v>
      </c>
      <c r="BJ19" s="507" t="str">
        <f t="shared" si="34"/>
        <v/>
      </c>
      <c r="BK19" s="507" t="str">
        <f t="shared" si="35"/>
        <v/>
      </c>
      <c r="BL19" s="507">
        <f t="shared" si="36"/>
        <v>6.1</v>
      </c>
      <c r="BM19" s="507">
        <f t="shared" si="37"/>
        <v>6.2</v>
      </c>
      <c r="BN19" s="507">
        <f t="shared" si="38"/>
        <v>5.9</v>
      </c>
      <c r="BO19" s="507" t="str">
        <f t="shared" si="39"/>
        <v/>
      </c>
      <c r="BP19" s="507">
        <f t="shared" si="40"/>
        <v>6.5</v>
      </c>
      <c r="BQ19" s="507">
        <f t="shared" si="41"/>
        <v>6.1</v>
      </c>
      <c r="BR19" s="507">
        <f t="shared" si="42"/>
        <v>6.2</v>
      </c>
      <c r="BS19" s="507">
        <f t="shared" si="43"/>
        <v>4.2</v>
      </c>
      <c r="BT19" s="507">
        <f t="shared" si="44"/>
        <v>5.2</v>
      </c>
      <c r="BU19" s="507" t="str">
        <f t="shared" si="45"/>
        <v/>
      </c>
      <c r="BV19" s="507" t="str">
        <f t="shared" si="46"/>
        <v/>
      </c>
      <c r="BW19" s="507" t="str">
        <f t="shared" si="47"/>
        <v/>
      </c>
      <c r="BX19" s="507">
        <f t="shared" si="48"/>
        <v>5.7</v>
      </c>
      <c r="BY19" s="507" t="str">
        <f t="shared" si="49"/>
        <v/>
      </c>
    </row>
    <row r="20" spans="1:77">
      <c r="A20" s="481">
        <f>IF('NH13-14'!A20="","",'NH13-14'!A20)</f>
        <v>10</v>
      </c>
      <c r="B20" s="482" t="str">
        <f>IF('NH13-14'!B20="","",'NH13-14'!B20)</f>
        <v>13D301Đ041</v>
      </c>
      <c r="C20" s="490">
        <f t="shared" si="2"/>
        <v>35</v>
      </c>
      <c r="D20" s="490">
        <f t="shared" si="3"/>
        <v>4</v>
      </c>
      <c r="E20" s="483" t="str">
        <f>IF('NH13-14'!C20="","",'NH13-14'!C20)</f>
        <v>Lê Hoàng</v>
      </c>
      <c r="F20" s="484" t="str">
        <f>IF('NH13-14'!D20="","",'NH13-14'!D20)</f>
        <v>Giang</v>
      </c>
      <c r="G20" s="485">
        <f>IF('NH13-14'!I20="",'NH13-14'!H20,IF('NH13-14'!I20&gt;='NH13-14'!H20,'NH13-14'!I20,'NH13-14'!H20))</f>
        <v>5.9</v>
      </c>
      <c r="H20" s="485">
        <f>IF('NH13-14'!K20="",'NH13-14'!J20,IF('NH13-14'!K20&gt;='NH13-14'!J20,'NH13-14'!K20,'NH13-14'!J20))</f>
        <v>5.8</v>
      </c>
      <c r="I20" s="485">
        <f>IF('NH13-14'!M20="",'NH13-14'!L20,IF('NH13-14'!M20&gt;='NH13-14'!L20,'NH13-14'!M20,'NH13-14'!L20))</f>
        <v>5</v>
      </c>
      <c r="J20" s="485">
        <f>IF('NH13-14'!O20="",'NH13-14'!N20,IF('NH13-14'!O20&gt;='NH13-14'!N20,'NH13-14'!O20,'NH13-14'!N20))</f>
        <v>5.5</v>
      </c>
      <c r="K20" s="485">
        <f>IF('NH13-14'!Q20="",'NH13-14'!P20,IF('NH13-14'!Q20&gt;='NH13-14'!P20,'NH13-14'!Q20,'NH13-14'!P20))</f>
        <v>5.2</v>
      </c>
      <c r="L20" s="485">
        <f>IF('NH13-14'!S20="",'NH13-14'!R20,IF('NH13-14'!S20&gt;='NH13-14'!R20,'NH13-14'!S20,'NH13-14'!R20))</f>
        <v>6.7</v>
      </c>
      <c r="M20" s="485">
        <f>IF('NH13-14'!U20="",'NH13-14'!T20,IF('NH13-14'!U20&gt;='NH13-14'!T20,'NH13-14'!U20,'NH13-14'!T20))</f>
        <v>6.6</v>
      </c>
      <c r="N20" s="485" t="str">
        <f>IF('NH13-14'!W20="",'NH13-14'!V20,IF('NH13-14'!W20&gt;='NH13-14'!V20,'NH13-14'!W20,'NH13-14'!V20))</f>
        <v/>
      </c>
      <c r="O20" s="485" t="str">
        <f>IF('NH13-14'!Y20="",'NH13-14'!X20,IF('NH13-14'!Y20&gt;='NH13-14'!X20,'NH13-14'!Y20,'NH13-14'!X20))</f>
        <v/>
      </c>
      <c r="P20" s="485">
        <f>IF('NH13-14'!AA20="",'NH13-14'!Z20,IF('NH13-14'!AA20&gt;='NH13-14'!Z20,'NH13-14'!AA20,'NH13-14'!Z20))</f>
        <v>3.5</v>
      </c>
      <c r="Q20" s="485">
        <f>IF('NH13-14'!AC20="",'NH13-14'!AB20,IF('NH13-14'!AC20&gt;='NH13-14'!AB20,'NH13-14'!AC20,'NH13-14'!AB20))</f>
        <v>4.7</v>
      </c>
      <c r="R20" s="485" t="str">
        <f>IF('NH13-14'!AE20="",'NH13-14'!AD20,IF('NH13-14'!AE20&gt;='NH13-14'!AD20,'NH13-14'!AE20,'NH13-14'!AD20))</f>
        <v/>
      </c>
      <c r="S20" s="485">
        <f>IF('NH13-14'!AG20="",'NH13-14'!AF20,IF('NH13-14'!AG20&gt;='NH13-14'!AF20,'NH13-14'!AG20,'NH13-14'!AF20))</f>
        <v>5.8</v>
      </c>
      <c r="T20" s="485">
        <f>IF('NH13-14'!AI20="",'NH13-14'!AH20,IF('NH13-14'!AI20&gt;='NH13-14'!AH20,'NH13-14'!AI20,'NH13-14'!AH20))</f>
        <v>4.5</v>
      </c>
      <c r="U20" s="485">
        <f>IF('NH13-14'!AK20="",'NH13-14'!AJ20,IF('NH13-14'!AK20&gt;='NH13-14'!AJ20,'NH13-14'!AK20,'NH13-14'!AJ20))</f>
        <v>5.8</v>
      </c>
      <c r="V20" s="485">
        <f>IF('NH13-14'!AM20="",'NH13-14'!AL20,IF('NH13-14'!AM20&gt;='NH13-14'!AL20,'NH13-14'!AM20,'NH13-14'!AL20))</f>
        <v>5.6</v>
      </c>
      <c r="W20" s="485">
        <f>IF('NH13-14'!AO20="",'NH13-14'!AN20,IF('NH13-14'!AO20&gt;='NH13-14'!AN20,'NH13-14'!AO20,'NH13-14'!AN20))</f>
        <v>3.2</v>
      </c>
      <c r="X20" s="485">
        <f>IF('NH13-14'!AQ20="",'NH13-14'!AP20,IF('NH13-14'!AQ20&gt;='NH13-14'!AP20,'NH13-14'!AQ20,'NH13-14'!AP20))</f>
        <v>5.9</v>
      </c>
      <c r="Y20" s="485" t="str">
        <f>IF('NH13-14'!AS20="",'NH13-14'!AR20,IF('NH13-14'!AS20&gt;='NH13-14'!AR20,'NH13-14'!AS20,'NH13-14'!AR20))</f>
        <v/>
      </c>
      <c r="Z20" s="485" t="str">
        <f>IF('NH13-14'!AU20="",'NH13-14'!AT20,IF('NH13-14'!AU20&gt;='NH13-14'!AT20,'NH13-14'!AU20,'NH13-14'!AT20))</f>
        <v/>
      </c>
      <c r="AA20" s="485" t="str">
        <f>IF('NH13-14'!AW20="",'NH13-14'!AV20,IF('NH13-14'!AW20&gt;='NH13-14'!AV20,'NH13-14'!AW20,'NH13-14'!AV20))</f>
        <v/>
      </c>
      <c r="AB20" s="485">
        <f>IF('NH13-14'!AY20="",'NH13-14'!AX20,IF('NH13-14'!AY20&gt;='NH13-14'!AX20,'NH13-14'!AY20,'NH13-14'!AX20))</f>
        <v>6.3</v>
      </c>
      <c r="AC20" s="485" t="str">
        <f>IF('NH13-14'!BA20="",'NH13-14'!AZ20,IF('NH13-14'!BA20&gt;='NH13-14'!AZ20,'NH13-14'!BA20,'NH13-14'!AZ20))</f>
        <v/>
      </c>
      <c r="AD20" s="486">
        <f>IF('NH13-14'!B20="","",ROUND(SUMPRODUCT(G20:AC20,$G$7:$AC$7)/SUMIF(G20:AC20,"&gt;=0",$G$7:$AC$7),2))</f>
        <v>5.48</v>
      </c>
      <c r="AE20" s="487">
        <f t="shared" si="4"/>
        <v>2</v>
      </c>
      <c r="AF20" s="488">
        <f t="shared" si="5"/>
        <v>2</v>
      </c>
      <c r="AG20" s="488">
        <f t="shared" si="6"/>
        <v>1</v>
      </c>
      <c r="AH20" s="488">
        <f t="shared" si="7"/>
        <v>2</v>
      </c>
      <c r="AI20" s="488">
        <f t="shared" si="8"/>
        <v>1</v>
      </c>
      <c r="AJ20" s="488">
        <f t="shared" si="9"/>
        <v>2</v>
      </c>
      <c r="AK20" s="488">
        <f t="shared" si="10"/>
        <v>2</v>
      </c>
      <c r="AL20" s="488" t="str">
        <f t="shared" si="11"/>
        <v/>
      </c>
      <c r="AM20" s="488" t="str">
        <f t="shared" si="12"/>
        <v/>
      </c>
      <c r="AN20" s="488" t="str">
        <f t="shared" si="13"/>
        <v/>
      </c>
      <c r="AO20" s="488">
        <f t="shared" si="14"/>
        <v>1</v>
      </c>
      <c r="AP20" s="488" t="str">
        <f t="shared" si="15"/>
        <v/>
      </c>
      <c r="AQ20" s="488">
        <f t="shared" si="16"/>
        <v>2</v>
      </c>
      <c r="AR20" s="488">
        <f t="shared" si="17"/>
        <v>1</v>
      </c>
      <c r="AS20" s="488">
        <f t="shared" si="18"/>
        <v>2</v>
      </c>
      <c r="AT20" s="488">
        <f t="shared" si="19"/>
        <v>2</v>
      </c>
      <c r="AU20" s="488" t="str">
        <f t="shared" si="20"/>
        <v/>
      </c>
      <c r="AV20" s="488">
        <f t="shared" si="21"/>
        <v>2</v>
      </c>
      <c r="AW20" s="488" t="str">
        <f t="shared" si="22"/>
        <v/>
      </c>
      <c r="AX20" s="488" t="str">
        <f t="shared" si="23"/>
        <v/>
      </c>
      <c r="AY20" s="488" t="str">
        <f t="shared" si="24"/>
        <v/>
      </c>
      <c r="AZ20" s="488">
        <f t="shared" si="25"/>
        <v>2</v>
      </c>
      <c r="BA20" s="488" t="str">
        <f t="shared" si="26"/>
        <v/>
      </c>
      <c r="BB20" s="486">
        <f>IF('NH13-14'!B20="","",ROUND(SUMPRODUCT(AE20:BA20,$AE$7:$BA$7)/SUMIF(AE20:BA20,"&gt;=1",$AE$7:$BA$7),2))</f>
        <v>1.71</v>
      </c>
      <c r="BC20" s="527">
        <f t="shared" si="27"/>
        <v>5.9</v>
      </c>
      <c r="BD20" s="507">
        <f t="shared" si="28"/>
        <v>5.8</v>
      </c>
      <c r="BE20" s="507">
        <f t="shared" si="29"/>
        <v>5</v>
      </c>
      <c r="BF20" s="507">
        <f t="shared" si="30"/>
        <v>5.5</v>
      </c>
      <c r="BG20" s="507">
        <f t="shared" si="31"/>
        <v>5.2</v>
      </c>
      <c r="BH20" s="507">
        <f t="shared" si="32"/>
        <v>6.7</v>
      </c>
      <c r="BI20" s="507">
        <f t="shared" si="33"/>
        <v>6.6</v>
      </c>
      <c r="BJ20" s="507" t="str">
        <f t="shared" si="34"/>
        <v/>
      </c>
      <c r="BK20" s="507" t="str">
        <f t="shared" si="35"/>
        <v/>
      </c>
      <c r="BL20" s="507" t="str">
        <f t="shared" si="36"/>
        <v/>
      </c>
      <c r="BM20" s="507">
        <f t="shared" si="37"/>
        <v>4.7</v>
      </c>
      <c r="BN20" s="507" t="str">
        <f t="shared" si="38"/>
        <v/>
      </c>
      <c r="BO20" s="507">
        <f t="shared" si="39"/>
        <v>5.8</v>
      </c>
      <c r="BP20" s="507">
        <f t="shared" si="40"/>
        <v>4.5</v>
      </c>
      <c r="BQ20" s="507">
        <f t="shared" si="41"/>
        <v>5.8</v>
      </c>
      <c r="BR20" s="507">
        <f t="shared" si="42"/>
        <v>5.6</v>
      </c>
      <c r="BS20" s="507" t="str">
        <f t="shared" si="43"/>
        <v/>
      </c>
      <c r="BT20" s="507">
        <f t="shared" si="44"/>
        <v>5.9</v>
      </c>
      <c r="BU20" s="507" t="str">
        <f t="shared" si="45"/>
        <v/>
      </c>
      <c r="BV20" s="507" t="str">
        <f t="shared" si="46"/>
        <v/>
      </c>
      <c r="BW20" s="507" t="str">
        <f t="shared" si="47"/>
        <v/>
      </c>
      <c r="BX20" s="507">
        <f t="shared" si="48"/>
        <v>6.3</v>
      </c>
      <c r="BY20" s="507" t="str">
        <f t="shared" si="49"/>
        <v/>
      </c>
    </row>
    <row r="21" spans="1:77">
      <c r="A21" s="481">
        <f>IF('NH13-14'!A21="","",'NH13-14'!A21)</f>
        <v>11</v>
      </c>
      <c r="B21" s="482" t="str">
        <f>IF('NH13-14'!B21="","",'NH13-14'!B21)</f>
        <v>13D301Đ045</v>
      </c>
      <c r="C21" s="490">
        <f t="shared" si="2"/>
        <v>37</v>
      </c>
      <c r="D21" s="490">
        <f t="shared" si="3"/>
        <v>2</v>
      </c>
      <c r="E21" s="483" t="str">
        <f>IF('NH13-14'!C21="","",'NH13-14'!C21)</f>
        <v>Lê Công</v>
      </c>
      <c r="F21" s="484" t="str">
        <f>IF('NH13-14'!D21="","",'NH13-14'!D21)</f>
        <v>Hậu</v>
      </c>
      <c r="G21" s="485">
        <f>IF('NH13-14'!I21="",'NH13-14'!H21,IF('NH13-14'!I21&gt;='NH13-14'!H21,'NH13-14'!I21,'NH13-14'!H21))</f>
        <v>5</v>
      </c>
      <c r="H21" s="485">
        <f>IF('NH13-14'!K21="",'NH13-14'!J21,IF('NH13-14'!K21&gt;='NH13-14'!J21,'NH13-14'!K21,'NH13-14'!J21))</f>
        <v>5.5</v>
      </c>
      <c r="I21" s="485">
        <f>IF('NH13-14'!M21="",'NH13-14'!L21,IF('NH13-14'!M21&gt;='NH13-14'!L21,'NH13-14'!M21,'NH13-14'!L21))</f>
        <v>5</v>
      </c>
      <c r="J21" s="485">
        <f>IF('NH13-14'!O21="",'NH13-14'!N21,IF('NH13-14'!O21&gt;='NH13-14'!N21,'NH13-14'!O21,'NH13-14'!N21))</f>
        <v>5.2</v>
      </c>
      <c r="K21" s="485">
        <f>IF('NH13-14'!Q21="",'NH13-14'!P21,IF('NH13-14'!Q21&gt;='NH13-14'!P21,'NH13-14'!Q21,'NH13-14'!P21))</f>
        <v>5.9</v>
      </c>
      <c r="L21" s="485">
        <f>IF('NH13-14'!S21="",'NH13-14'!R21,IF('NH13-14'!S21&gt;='NH13-14'!R21,'NH13-14'!S21,'NH13-14'!R21))</f>
        <v>6.8</v>
      </c>
      <c r="M21" s="485">
        <f>IF('NH13-14'!U21="",'NH13-14'!T21,IF('NH13-14'!U21&gt;='NH13-14'!T21,'NH13-14'!U21,'NH13-14'!T21))</f>
        <v>6.4</v>
      </c>
      <c r="N21" s="485" t="str">
        <f>IF('NH13-14'!W21="",'NH13-14'!V21,IF('NH13-14'!W21&gt;='NH13-14'!V21,'NH13-14'!W21,'NH13-14'!V21))</f>
        <v/>
      </c>
      <c r="O21" s="485" t="str">
        <f>IF('NH13-14'!Y21="",'NH13-14'!X21,IF('NH13-14'!Y21&gt;='NH13-14'!X21,'NH13-14'!Y21,'NH13-14'!X21))</f>
        <v/>
      </c>
      <c r="P21" s="485">
        <f>IF('NH13-14'!AA21="",'NH13-14'!Z21,IF('NH13-14'!AA21&gt;='NH13-14'!Z21,'NH13-14'!AA21,'NH13-14'!Z21))</f>
        <v>5.5</v>
      </c>
      <c r="Q21" s="485">
        <f>IF('NH13-14'!AC21="",'NH13-14'!AB21,IF('NH13-14'!AC21&gt;='NH13-14'!AB21,'NH13-14'!AC21,'NH13-14'!AB21))</f>
        <v>5.4</v>
      </c>
      <c r="R21" s="485" t="str">
        <f>IF('NH13-14'!AE21="",'NH13-14'!AD21,IF('NH13-14'!AE21&gt;='NH13-14'!AD21,'NH13-14'!AE21,'NH13-14'!AD21))</f>
        <v/>
      </c>
      <c r="S21" s="485">
        <f>IF('NH13-14'!AG21="",'NH13-14'!AF21,IF('NH13-14'!AG21&gt;='NH13-14'!AF21,'NH13-14'!AG21,'NH13-14'!AF21))</f>
        <v>6.1</v>
      </c>
      <c r="T21" s="485">
        <f>IF('NH13-14'!AI21="",'NH13-14'!AH21,IF('NH13-14'!AI21&gt;='NH13-14'!AH21,'NH13-14'!AI21,'NH13-14'!AH21))</f>
        <v>5.7</v>
      </c>
      <c r="U21" s="485">
        <f>IF('NH13-14'!AK21="",'NH13-14'!AJ21,IF('NH13-14'!AK21&gt;='NH13-14'!AJ21,'NH13-14'!AK21,'NH13-14'!AJ21))</f>
        <v>7.1</v>
      </c>
      <c r="V21" s="485">
        <f>IF('NH13-14'!AM21="",'NH13-14'!AL21,IF('NH13-14'!AM21&gt;='NH13-14'!AL21,'NH13-14'!AM21,'NH13-14'!AL21))</f>
        <v>6</v>
      </c>
      <c r="W21" s="485">
        <f>IF('NH13-14'!AO21="",'NH13-14'!AN21,IF('NH13-14'!AO21&gt;='NH13-14'!AN21,'NH13-14'!AO21,'NH13-14'!AN21))</f>
        <v>1.7</v>
      </c>
      <c r="X21" s="485">
        <f>IF('NH13-14'!AQ21="",'NH13-14'!AP21,IF('NH13-14'!AQ21&gt;='NH13-14'!AP21,'NH13-14'!AQ21,'NH13-14'!AP21))</f>
        <v>6.4</v>
      </c>
      <c r="Y21" s="485" t="str">
        <f>IF('NH13-14'!AS21="",'NH13-14'!AR21,IF('NH13-14'!AS21&gt;='NH13-14'!AR21,'NH13-14'!AS21,'NH13-14'!AR21))</f>
        <v/>
      </c>
      <c r="Z21" s="485" t="str">
        <f>IF('NH13-14'!AU21="",'NH13-14'!AT21,IF('NH13-14'!AU21&gt;='NH13-14'!AT21,'NH13-14'!AU21,'NH13-14'!AT21))</f>
        <v/>
      </c>
      <c r="AA21" s="485" t="str">
        <f>IF('NH13-14'!AW21="",'NH13-14'!AV21,IF('NH13-14'!AW21&gt;='NH13-14'!AV21,'NH13-14'!AW21,'NH13-14'!AV21))</f>
        <v/>
      </c>
      <c r="AB21" s="485">
        <f>IF('NH13-14'!AY21="",'NH13-14'!AX21,IF('NH13-14'!AY21&gt;='NH13-14'!AX21,'NH13-14'!AY21,'NH13-14'!AX21))</f>
        <v>6.8</v>
      </c>
      <c r="AC21" s="485" t="str">
        <f>IF('NH13-14'!BA21="",'NH13-14'!AZ21,IF('NH13-14'!BA21&gt;='NH13-14'!AZ21,'NH13-14'!BA21,'NH13-14'!AZ21))</f>
        <v/>
      </c>
      <c r="AD21" s="486">
        <f>IF('NH13-14'!B21="","",ROUND(SUMPRODUCT(G21:AC21,$G$7:$AC$7)/SUMIF(G21:AC21,"&gt;=0",$G$7:$AC$7),2))</f>
        <v>5.72</v>
      </c>
      <c r="AE21" s="487">
        <f t="shared" si="4"/>
        <v>1</v>
      </c>
      <c r="AF21" s="488">
        <f t="shared" si="5"/>
        <v>2</v>
      </c>
      <c r="AG21" s="488">
        <f t="shared" si="6"/>
        <v>1</v>
      </c>
      <c r="AH21" s="488">
        <f t="shared" si="7"/>
        <v>1</v>
      </c>
      <c r="AI21" s="488">
        <f t="shared" si="8"/>
        <v>2</v>
      </c>
      <c r="AJ21" s="488">
        <f t="shared" si="9"/>
        <v>2</v>
      </c>
      <c r="AK21" s="488">
        <f t="shared" si="10"/>
        <v>2</v>
      </c>
      <c r="AL21" s="488" t="str">
        <f t="shared" si="11"/>
        <v/>
      </c>
      <c r="AM21" s="488" t="str">
        <f t="shared" si="12"/>
        <v/>
      </c>
      <c r="AN21" s="488">
        <f t="shared" si="13"/>
        <v>2</v>
      </c>
      <c r="AO21" s="488">
        <f t="shared" si="14"/>
        <v>1</v>
      </c>
      <c r="AP21" s="488" t="str">
        <f t="shared" si="15"/>
        <v/>
      </c>
      <c r="AQ21" s="488">
        <f t="shared" si="16"/>
        <v>2</v>
      </c>
      <c r="AR21" s="488">
        <f t="shared" si="17"/>
        <v>2</v>
      </c>
      <c r="AS21" s="488">
        <f t="shared" si="18"/>
        <v>3</v>
      </c>
      <c r="AT21" s="488">
        <f t="shared" si="19"/>
        <v>2</v>
      </c>
      <c r="AU21" s="488" t="str">
        <f t="shared" si="20"/>
        <v/>
      </c>
      <c r="AV21" s="488">
        <f t="shared" si="21"/>
        <v>2</v>
      </c>
      <c r="AW21" s="488" t="str">
        <f t="shared" si="22"/>
        <v/>
      </c>
      <c r="AX21" s="488" t="str">
        <f t="shared" si="23"/>
        <v/>
      </c>
      <c r="AY21" s="488" t="str">
        <f t="shared" si="24"/>
        <v/>
      </c>
      <c r="AZ21" s="488">
        <f t="shared" si="25"/>
        <v>2</v>
      </c>
      <c r="BA21" s="488" t="str">
        <f t="shared" si="26"/>
        <v/>
      </c>
      <c r="BB21" s="486">
        <f>IF('NH13-14'!B21="","",ROUND(SUMPRODUCT(AE21:BA21,$AE$7:$BA$7)/SUMIF(AE21:BA21,"&gt;=1",$AE$7:$BA$7),2))</f>
        <v>1.78</v>
      </c>
      <c r="BC21" s="527">
        <f t="shared" si="27"/>
        <v>5</v>
      </c>
      <c r="BD21" s="507">
        <f t="shared" si="28"/>
        <v>5.5</v>
      </c>
      <c r="BE21" s="507">
        <f t="shared" si="29"/>
        <v>5</v>
      </c>
      <c r="BF21" s="507">
        <f t="shared" si="30"/>
        <v>5.2</v>
      </c>
      <c r="BG21" s="507">
        <f t="shared" si="31"/>
        <v>5.9</v>
      </c>
      <c r="BH21" s="507">
        <f t="shared" si="32"/>
        <v>6.8</v>
      </c>
      <c r="BI21" s="507">
        <f t="shared" si="33"/>
        <v>6.4</v>
      </c>
      <c r="BJ21" s="507" t="str">
        <f t="shared" si="34"/>
        <v/>
      </c>
      <c r="BK21" s="507" t="str">
        <f t="shared" si="35"/>
        <v/>
      </c>
      <c r="BL21" s="507">
        <f t="shared" si="36"/>
        <v>5.5</v>
      </c>
      <c r="BM21" s="507">
        <f t="shared" si="37"/>
        <v>5.4</v>
      </c>
      <c r="BN21" s="507" t="str">
        <f t="shared" si="38"/>
        <v/>
      </c>
      <c r="BO21" s="507">
        <f t="shared" si="39"/>
        <v>6.1</v>
      </c>
      <c r="BP21" s="507">
        <f t="shared" si="40"/>
        <v>5.7</v>
      </c>
      <c r="BQ21" s="507">
        <f t="shared" si="41"/>
        <v>7.1</v>
      </c>
      <c r="BR21" s="507">
        <f t="shared" si="42"/>
        <v>6</v>
      </c>
      <c r="BS21" s="507" t="str">
        <f t="shared" si="43"/>
        <v/>
      </c>
      <c r="BT21" s="507">
        <f t="shared" si="44"/>
        <v>6.4</v>
      </c>
      <c r="BU21" s="507" t="str">
        <f t="shared" si="45"/>
        <v/>
      </c>
      <c r="BV21" s="507" t="str">
        <f t="shared" si="46"/>
        <v/>
      </c>
      <c r="BW21" s="507" t="str">
        <f t="shared" si="47"/>
        <v/>
      </c>
      <c r="BX21" s="507">
        <f t="shared" si="48"/>
        <v>6.8</v>
      </c>
      <c r="BY21" s="507" t="str">
        <f t="shared" si="49"/>
        <v/>
      </c>
    </row>
    <row r="22" spans="1:77">
      <c r="A22" s="481">
        <f>IF('NH13-14'!A22="","",'NH13-14'!A22)</f>
        <v>12</v>
      </c>
      <c r="B22" s="482" t="str">
        <f>IF('NH13-14'!B22="","",'NH13-14'!B22)</f>
        <v>13D301Đ049</v>
      </c>
      <c r="C22" s="490">
        <f t="shared" si="2"/>
        <v>37</v>
      </c>
      <c r="D22" s="490">
        <f t="shared" si="3"/>
        <v>2</v>
      </c>
      <c r="E22" s="483" t="str">
        <f>IF('NH13-14'!C22="","",'NH13-14'!C22)</f>
        <v>Lê Minh</v>
      </c>
      <c r="F22" s="484" t="str">
        <f>IF('NH13-14'!D22="","",'NH13-14'!D22)</f>
        <v>Hiếu</v>
      </c>
      <c r="G22" s="485">
        <f>IF('NH13-14'!I22="",'NH13-14'!H22,IF('NH13-14'!I22&gt;='NH13-14'!H22,'NH13-14'!I22,'NH13-14'!H22))</f>
        <v>5.2</v>
      </c>
      <c r="H22" s="485">
        <f>IF('NH13-14'!K22="",'NH13-14'!J22,IF('NH13-14'!K22&gt;='NH13-14'!J22,'NH13-14'!K22,'NH13-14'!J22))</f>
        <v>6.8</v>
      </c>
      <c r="I22" s="485">
        <f>IF('NH13-14'!M22="",'NH13-14'!L22,IF('NH13-14'!M22&gt;='NH13-14'!L22,'NH13-14'!M22,'NH13-14'!L22))</f>
        <v>6.1</v>
      </c>
      <c r="J22" s="485">
        <f>IF('NH13-14'!O22="",'NH13-14'!N22,IF('NH13-14'!O22&gt;='NH13-14'!N22,'NH13-14'!O22,'NH13-14'!N22))</f>
        <v>5.9</v>
      </c>
      <c r="K22" s="485">
        <f>IF('NH13-14'!Q22="",'NH13-14'!P22,IF('NH13-14'!Q22&gt;='NH13-14'!P22,'NH13-14'!Q22,'NH13-14'!P22))</f>
        <v>5</v>
      </c>
      <c r="L22" s="485">
        <f>IF('NH13-14'!S22="",'NH13-14'!R22,IF('NH13-14'!S22&gt;='NH13-14'!R22,'NH13-14'!S22,'NH13-14'!R22))</f>
        <v>5.5</v>
      </c>
      <c r="M22" s="485">
        <f>IF('NH13-14'!U22="",'NH13-14'!T22,IF('NH13-14'!U22&gt;='NH13-14'!T22,'NH13-14'!U22,'NH13-14'!T22))</f>
        <v>3.9</v>
      </c>
      <c r="N22" s="485" t="str">
        <f>IF('NH13-14'!W22="",'NH13-14'!V22,IF('NH13-14'!W22&gt;='NH13-14'!V22,'NH13-14'!W22,'NH13-14'!V22))</f>
        <v/>
      </c>
      <c r="O22" s="485" t="str">
        <f>IF('NH13-14'!Y22="",'NH13-14'!X22,IF('NH13-14'!Y22&gt;='NH13-14'!X22,'NH13-14'!Y22,'NH13-14'!X22))</f>
        <v/>
      </c>
      <c r="P22" s="485">
        <f>IF('NH13-14'!AA22="",'NH13-14'!Z22,IF('NH13-14'!AA22&gt;='NH13-14'!Z22,'NH13-14'!AA22,'NH13-14'!Z22))</f>
        <v>5.5</v>
      </c>
      <c r="Q22" s="485">
        <f>IF('NH13-14'!AC22="",'NH13-14'!AB22,IF('NH13-14'!AC22&gt;='NH13-14'!AB22,'NH13-14'!AC22,'NH13-14'!AB22))</f>
        <v>4.8</v>
      </c>
      <c r="R22" s="485" t="str">
        <f>IF('NH13-14'!AE22="",'NH13-14'!AD22,IF('NH13-14'!AE22&gt;='NH13-14'!AD22,'NH13-14'!AE22,'NH13-14'!AD22))</f>
        <v/>
      </c>
      <c r="S22" s="485">
        <f>IF('NH13-14'!AG22="",'NH13-14'!AF22,IF('NH13-14'!AG22&gt;='NH13-14'!AF22,'NH13-14'!AG22,'NH13-14'!AF22))</f>
        <v>8.6999999999999993</v>
      </c>
      <c r="T22" s="485">
        <f>IF('NH13-14'!AI22="",'NH13-14'!AH22,IF('NH13-14'!AI22&gt;='NH13-14'!AH22,'NH13-14'!AI22,'NH13-14'!AH22))</f>
        <v>5.4</v>
      </c>
      <c r="U22" s="485">
        <f>IF('NH13-14'!AK22="",'NH13-14'!AJ22,IF('NH13-14'!AK22&gt;='NH13-14'!AJ22,'NH13-14'!AK22,'NH13-14'!AJ22))</f>
        <v>6</v>
      </c>
      <c r="V22" s="485">
        <f>IF('NH13-14'!AM22="",'NH13-14'!AL22,IF('NH13-14'!AM22&gt;='NH13-14'!AL22,'NH13-14'!AM22,'NH13-14'!AL22))</f>
        <v>6.3</v>
      </c>
      <c r="W22" s="485">
        <f>IF('NH13-14'!AO22="",'NH13-14'!AN22,IF('NH13-14'!AO22&gt;='NH13-14'!AN22,'NH13-14'!AO22,'NH13-14'!AN22))</f>
        <v>4.5</v>
      </c>
      <c r="X22" s="485">
        <f>IF('NH13-14'!AQ22="",'NH13-14'!AP22,IF('NH13-14'!AQ22&gt;='NH13-14'!AP22,'NH13-14'!AQ22,'NH13-14'!AP22))</f>
        <v>6.2</v>
      </c>
      <c r="Y22" s="485" t="str">
        <f>IF('NH13-14'!AS22="",'NH13-14'!AR22,IF('NH13-14'!AS22&gt;='NH13-14'!AR22,'NH13-14'!AS22,'NH13-14'!AR22))</f>
        <v/>
      </c>
      <c r="Z22" s="485" t="str">
        <f>IF('NH13-14'!AU22="",'NH13-14'!AT22,IF('NH13-14'!AU22&gt;='NH13-14'!AT22,'NH13-14'!AU22,'NH13-14'!AT22))</f>
        <v/>
      </c>
      <c r="AA22" s="485" t="str">
        <f>IF('NH13-14'!AW22="",'NH13-14'!AV22,IF('NH13-14'!AW22&gt;='NH13-14'!AV22,'NH13-14'!AW22,'NH13-14'!AV22))</f>
        <v/>
      </c>
      <c r="AB22" s="485">
        <f>IF('NH13-14'!AY22="",'NH13-14'!AX22,IF('NH13-14'!AY22&gt;='NH13-14'!AX22,'NH13-14'!AY22,'NH13-14'!AX22))</f>
        <v>5</v>
      </c>
      <c r="AC22" s="485" t="str">
        <f>IF('NH13-14'!BA22="",'NH13-14'!AZ22,IF('NH13-14'!BA22&gt;='NH13-14'!AZ22,'NH13-14'!BA22,'NH13-14'!AZ22))</f>
        <v/>
      </c>
      <c r="AD22" s="486">
        <f>IF('NH13-14'!B22="","",ROUND(SUMPRODUCT(G22:AC22,$G$7:$AC$7)/SUMIF(G22:AC22,"&gt;=0",$G$7:$AC$7),2))</f>
        <v>5.64</v>
      </c>
      <c r="AE22" s="487">
        <f t="shared" si="4"/>
        <v>1</v>
      </c>
      <c r="AF22" s="488">
        <f t="shared" si="5"/>
        <v>2</v>
      </c>
      <c r="AG22" s="488">
        <f t="shared" si="6"/>
        <v>2</v>
      </c>
      <c r="AH22" s="488">
        <f t="shared" si="7"/>
        <v>2</v>
      </c>
      <c r="AI22" s="488">
        <f t="shared" si="8"/>
        <v>1</v>
      </c>
      <c r="AJ22" s="488">
        <f t="shared" si="9"/>
        <v>2</v>
      </c>
      <c r="AK22" s="488" t="str">
        <f t="shared" si="10"/>
        <v/>
      </c>
      <c r="AL22" s="488" t="str">
        <f t="shared" si="11"/>
        <v/>
      </c>
      <c r="AM22" s="488" t="str">
        <f t="shared" si="12"/>
        <v/>
      </c>
      <c r="AN22" s="488">
        <f t="shared" si="13"/>
        <v>2</v>
      </c>
      <c r="AO22" s="488">
        <f t="shared" si="14"/>
        <v>1</v>
      </c>
      <c r="AP22" s="488" t="str">
        <f t="shared" si="15"/>
        <v/>
      </c>
      <c r="AQ22" s="488">
        <f t="shared" si="16"/>
        <v>4</v>
      </c>
      <c r="AR22" s="488">
        <f t="shared" si="17"/>
        <v>1</v>
      </c>
      <c r="AS22" s="488">
        <f t="shared" si="18"/>
        <v>2</v>
      </c>
      <c r="AT22" s="488">
        <f t="shared" si="19"/>
        <v>2</v>
      </c>
      <c r="AU22" s="488">
        <f t="shared" si="20"/>
        <v>1</v>
      </c>
      <c r="AV22" s="488">
        <f t="shared" si="21"/>
        <v>2</v>
      </c>
      <c r="AW22" s="488" t="str">
        <f t="shared" si="22"/>
        <v/>
      </c>
      <c r="AX22" s="488" t="str">
        <f t="shared" si="23"/>
        <v/>
      </c>
      <c r="AY22" s="488" t="str">
        <f t="shared" si="24"/>
        <v/>
      </c>
      <c r="AZ22" s="488">
        <f t="shared" si="25"/>
        <v>1</v>
      </c>
      <c r="BA22" s="488" t="str">
        <f t="shared" si="26"/>
        <v/>
      </c>
      <c r="BB22" s="486">
        <f>IF('NH13-14'!B22="","",ROUND(SUMPRODUCT(AE22:BA22,$AE$7:$BA$7)/SUMIF(AE22:BA22,"&gt;=1",$AE$7:$BA$7),2))</f>
        <v>1.7</v>
      </c>
      <c r="BC22" s="527">
        <f t="shared" si="27"/>
        <v>5.2</v>
      </c>
      <c r="BD22" s="507">
        <f t="shared" si="28"/>
        <v>6.8</v>
      </c>
      <c r="BE22" s="507">
        <f t="shared" si="29"/>
        <v>6.1</v>
      </c>
      <c r="BF22" s="507">
        <f t="shared" si="30"/>
        <v>5.9</v>
      </c>
      <c r="BG22" s="507">
        <f t="shared" si="31"/>
        <v>5</v>
      </c>
      <c r="BH22" s="507">
        <f t="shared" si="32"/>
        <v>5.5</v>
      </c>
      <c r="BI22" s="507" t="str">
        <f t="shared" si="33"/>
        <v/>
      </c>
      <c r="BJ22" s="507" t="str">
        <f t="shared" si="34"/>
        <v/>
      </c>
      <c r="BK22" s="507" t="str">
        <f t="shared" si="35"/>
        <v/>
      </c>
      <c r="BL22" s="507">
        <f t="shared" si="36"/>
        <v>5.5</v>
      </c>
      <c r="BM22" s="507">
        <f t="shared" si="37"/>
        <v>4.8</v>
      </c>
      <c r="BN22" s="507" t="str">
        <f t="shared" si="38"/>
        <v/>
      </c>
      <c r="BO22" s="507">
        <f t="shared" si="39"/>
        <v>8.6999999999999993</v>
      </c>
      <c r="BP22" s="507">
        <f t="shared" si="40"/>
        <v>5.4</v>
      </c>
      <c r="BQ22" s="507">
        <f t="shared" si="41"/>
        <v>6</v>
      </c>
      <c r="BR22" s="507">
        <f t="shared" si="42"/>
        <v>6.3</v>
      </c>
      <c r="BS22" s="507">
        <f t="shared" si="43"/>
        <v>4.5</v>
      </c>
      <c r="BT22" s="507">
        <f t="shared" si="44"/>
        <v>6.2</v>
      </c>
      <c r="BU22" s="507" t="str">
        <f t="shared" si="45"/>
        <v/>
      </c>
      <c r="BV22" s="507" t="str">
        <f t="shared" si="46"/>
        <v/>
      </c>
      <c r="BW22" s="507" t="str">
        <f t="shared" si="47"/>
        <v/>
      </c>
      <c r="BX22" s="507">
        <f t="shared" si="48"/>
        <v>5</v>
      </c>
      <c r="BY22" s="507" t="str">
        <f t="shared" si="49"/>
        <v/>
      </c>
    </row>
    <row r="23" spans="1:77">
      <c r="A23" s="481">
        <f>IF('NH13-14'!A23="","",'NH13-14'!A23)</f>
        <v>13</v>
      </c>
      <c r="B23" s="482" t="str">
        <f>IF('NH13-14'!B23="","",'NH13-14'!B23)</f>
        <v>13D301Đ053</v>
      </c>
      <c r="C23" s="490">
        <f t="shared" si="2"/>
        <v>39</v>
      </c>
      <c r="D23" s="490">
        <f t="shared" si="3"/>
        <v>0</v>
      </c>
      <c r="E23" s="483" t="str">
        <f>IF('NH13-14'!C23="","",'NH13-14'!C23)</f>
        <v>Nguyễn Ngọc</v>
      </c>
      <c r="F23" s="484" t="str">
        <f>IF('NH13-14'!D23="","",'NH13-14'!D23)</f>
        <v>Hoài</v>
      </c>
      <c r="G23" s="485">
        <f>IF('NH13-14'!I23="",'NH13-14'!H23,IF('NH13-14'!I23&gt;='NH13-14'!H23,'NH13-14'!I23,'NH13-14'!H23))</f>
        <v>6.3</v>
      </c>
      <c r="H23" s="485">
        <f>IF('NH13-14'!K23="",'NH13-14'!J23,IF('NH13-14'!K23&gt;='NH13-14'!J23,'NH13-14'!K23,'NH13-14'!J23))</f>
        <v>6.2</v>
      </c>
      <c r="I23" s="485">
        <f>IF('NH13-14'!M23="",'NH13-14'!L23,IF('NH13-14'!M23&gt;='NH13-14'!L23,'NH13-14'!M23,'NH13-14'!L23))</f>
        <v>5.7</v>
      </c>
      <c r="J23" s="485">
        <f>IF('NH13-14'!O23="",'NH13-14'!N23,IF('NH13-14'!O23&gt;='NH13-14'!N23,'NH13-14'!O23,'NH13-14'!N23))</f>
        <v>6</v>
      </c>
      <c r="K23" s="485">
        <f>IF('NH13-14'!Q23="",'NH13-14'!P23,IF('NH13-14'!Q23&gt;='NH13-14'!P23,'NH13-14'!Q23,'NH13-14'!P23))</f>
        <v>5.9</v>
      </c>
      <c r="L23" s="485">
        <f>IF('NH13-14'!S23="",'NH13-14'!R23,IF('NH13-14'!S23&gt;='NH13-14'!R23,'NH13-14'!S23,'NH13-14'!R23))</f>
        <v>6.7</v>
      </c>
      <c r="M23" s="485">
        <f>IF('NH13-14'!U23="",'NH13-14'!T23,IF('NH13-14'!U23&gt;='NH13-14'!T23,'NH13-14'!U23,'NH13-14'!T23))</f>
        <v>6.8</v>
      </c>
      <c r="N23" s="485" t="str">
        <f>IF('NH13-14'!W23="",'NH13-14'!V23,IF('NH13-14'!W23&gt;='NH13-14'!V23,'NH13-14'!W23,'NH13-14'!V23))</f>
        <v/>
      </c>
      <c r="O23" s="485" t="str">
        <f>IF('NH13-14'!Y23="",'NH13-14'!X23,IF('NH13-14'!Y23&gt;='NH13-14'!X23,'NH13-14'!Y23,'NH13-14'!X23))</f>
        <v/>
      </c>
      <c r="P23" s="485">
        <f>IF('NH13-14'!AA23="",'NH13-14'!Z23,IF('NH13-14'!AA23&gt;='NH13-14'!Z23,'NH13-14'!AA23,'NH13-14'!Z23))</f>
        <v>6.9</v>
      </c>
      <c r="Q23" s="485">
        <f>IF('NH13-14'!AC23="",'NH13-14'!AB23,IF('NH13-14'!AC23&gt;='NH13-14'!AB23,'NH13-14'!AC23,'NH13-14'!AB23))</f>
        <v>5.2</v>
      </c>
      <c r="R23" s="485">
        <f>IF('NH13-14'!AE23="",'NH13-14'!AD23,IF('NH13-14'!AE23&gt;='NH13-14'!AD23,'NH13-14'!AE23,'NH13-14'!AD23))</f>
        <v>7.9</v>
      </c>
      <c r="S23" s="485" t="str">
        <f>IF('NH13-14'!AG23="",'NH13-14'!AF23,IF('NH13-14'!AG23&gt;='NH13-14'!AF23,'NH13-14'!AG23,'NH13-14'!AF23))</f>
        <v/>
      </c>
      <c r="T23" s="485">
        <f>IF('NH13-14'!AI23="",'NH13-14'!AH23,IF('NH13-14'!AI23&gt;='NH13-14'!AH23,'NH13-14'!AI23,'NH13-14'!AH23))</f>
        <v>6.4</v>
      </c>
      <c r="U23" s="485">
        <f>IF('NH13-14'!AK23="",'NH13-14'!AJ23,IF('NH13-14'!AK23&gt;='NH13-14'!AJ23,'NH13-14'!AK23,'NH13-14'!AJ23))</f>
        <v>7.2</v>
      </c>
      <c r="V23" s="485">
        <f>IF('NH13-14'!AM23="",'NH13-14'!AL23,IF('NH13-14'!AM23&gt;='NH13-14'!AL23,'NH13-14'!AM23,'NH13-14'!AL23))</f>
        <v>6.5</v>
      </c>
      <c r="W23" s="485">
        <f>IF('NH13-14'!AO23="",'NH13-14'!AN23,IF('NH13-14'!AO23&gt;='NH13-14'!AN23,'NH13-14'!AO23,'NH13-14'!AN23))</f>
        <v>7.2</v>
      </c>
      <c r="X23" s="485">
        <f>IF('NH13-14'!AQ23="",'NH13-14'!AP23,IF('NH13-14'!AQ23&gt;='NH13-14'!AP23,'NH13-14'!AQ23,'NH13-14'!AP23))</f>
        <v>6.9</v>
      </c>
      <c r="Y23" s="485" t="str">
        <f>IF('NH13-14'!AS23="",'NH13-14'!AR23,IF('NH13-14'!AS23&gt;='NH13-14'!AR23,'NH13-14'!AS23,'NH13-14'!AR23))</f>
        <v/>
      </c>
      <c r="Z23" s="485" t="str">
        <f>IF('NH13-14'!AU23="",'NH13-14'!AT23,IF('NH13-14'!AU23&gt;='NH13-14'!AT23,'NH13-14'!AU23,'NH13-14'!AT23))</f>
        <v/>
      </c>
      <c r="AA23" s="485" t="str">
        <f>IF('NH13-14'!AW23="",'NH13-14'!AV23,IF('NH13-14'!AW23&gt;='NH13-14'!AV23,'NH13-14'!AW23,'NH13-14'!AV23))</f>
        <v/>
      </c>
      <c r="AB23" s="485">
        <f>IF('NH13-14'!AY23="",'NH13-14'!AX23,IF('NH13-14'!AY23&gt;='NH13-14'!AX23,'NH13-14'!AY23,'NH13-14'!AX23))</f>
        <v>8.6</v>
      </c>
      <c r="AC23" s="485" t="str">
        <f>IF('NH13-14'!BA23="",'NH13-14'!AZ23,IF('NH13-14'!BA23&gt;='NH13-14'!AZ23,'NH13-14'!BA23,'NH13-14'!AZ23))</f>
        <v/>
      </c>
      <c r="AD23" s="486">
        <f>IF('NH13-14'!B23="","",ROUND(SUMPRODUCT(G23:AC23,$G$7:$AC$7)/SUMIF(G23:AC23,"&gt;=0",$G$7:$AC$7),2))</f>
        <v>6.58</v>
      </c>
      <c r="AE23" s="487">
        <f t="shared" si="4"/>
        <v>2</v>
      </c>
      <c r="AF23" s="488">
        <f t="shared" si="5"/>
        <v>2</v>
      </c>
      <c r="AG23" s="488">
        <f t="shared" si="6"/>
        <v>2</v>
      </c>
      <c r="AH23" s="488">
        <f t="shared" si="7"/>
        <v>2</v>
      </c>
      <c r="AI23" s="488">
        <f t="shared" si="8"/>
        <v>2</v>
      </c>
      <c r="AJ23" s="488">
        <f t="shared" si="9"/>
        <v>2</v>
      </c>
      <c r="AK23" s="488">
        <f t="shared" si="10"/>
        <v>2</v>
      </c>
      <c r="AL23" s="488" t="str">
        <f t="shared" si="11"/>
        <v/>
      </c>
      <c r="AM23" s="488" t="str">
        <f t="shared" si="12"/>
        <v/>
      </c>
      <c r="AN23" s="488">
        <f t="shared" si="13"/>
        <v>2</v>
      </c>
      <c r="AO23" s="488">
        <f t="shared" si="14"/>
        <v>1</v>
      </c>
      <c r="AP23" s="488">
        <f t="shared" si="15"/>
        <v>3</v>
      </c>
      <c r="AQ23" s="488" t="str">
        <f t="shared" si="16"/>
        <v/>
      </c>
      <c r="AR23" s="488">
        <f t="shared" si="17"/>
        <v>2</v>
      </c>
      <c r="AS23" s="488">
        <f t="shared" si="18"/>
        <v>3</v>
      </c>
      <c r="AT23" s="488">
        <f t="shared" si="19"/>
        <v>2</v>
      </c>
      <c r="AU23" s="488">
        <f t="shared" si="20"/>
        <v>3</v>
      </c>
      <c r="AV23" s="488">
        <f t="shared" si="21"/>
        <v>2</v>
      </c>
      <c r="AW23" s="488" t="str">
        <f t="shared" si="22"/>
        <v/>
      </c>
      <c r="AX23" s="488" t="str">
        <f t="shared" si="23"/>
        <v/>
      </c>
      <c r="AY23" s="488" t="str">
        <f t="shared" si="24"/>
        <v/>
      </c>
      <c r="AZ23" s="488">
        <f t="shared" si="25"/>
        <v>4</v>
      </c>
      <c r="BA23" s="488" t="str">
        <f t="shared" si="26"/>
        <v/>
      </c>
      <c r="BB23" s="486">
        <f>IF('NH13-14'!B23="","",ROUND(SUMPRODUCT(AE23:BA23,$AE$7:$BA$7)/SUMIF(AE23:BA23,"&gt;=1",$AE$7:$BA$7),2))</f>
        <v>2.1800000000000002</v>
      </c>
      <c r="BC23" s="527">
        <f t="shared" si="27"/>
        <v>6.3</v>
      </c>
      <c r="BD23" s="507">
        <f t="shared" si="28"/>
        <v>6.2</v>
      </c>
      <c r="BE23" s="507">
        <f t="shared" si="29"/>
        <v>5.7</v>
      </c>
      <c r="BF23" s="507">
        <f t="shared" si="30"/>
        <v>6</v>
      </c>
      <c r="BG23" s="507">
        <f t="shared" si="31"/>
        <v>5.9</v>
      </c>
      <c r="BH23" s="507">
        <f t="shared" si="32"/>
        <v>6.7</v>
      </c>
      <c r="BI23" s="507">
        <f t="shared" si="33"/>
        <v>6.8</v>
      </c>
      <c r="BJ23" s="507" t="str">
        <f t="shared" si="34"/>
        <v/>
      </c>
      <c r="BK23" s="507" t="str">
        <f t="shared" si="35"/>
        <v/>
      </c>
      <c r="BL23" s="507">
        <f t="shared" si="36"/>
        <v>6.9</v>
      </c>
      <c r="BM23" s="507">
        <f t="shared" si="37"/>
        <v>5.2</v>
      </c>
      <c r="BN23" s="507">
        <f t="shared" si="38"/>
        <v>7.9</v>
      </c>
      <c r="BO23" s="507" t="str">
        <f t="shared" si="39"/>
        <v/>
      </c>
      <c r="BP23" s="507">
        <f t="shared" si="40"/>
        <v>6.4</v>
      </c>
      <c r="BQ23" s="507">
        <f t="shared" si="41"/>
        <v>7.2</v>
      </c>
      <c r="BR23" s="507">
        <f t="shared" si="42"/>
        <v>6.5</v>
      </c>
      <c r="BS23" s="507">
        <f t="shared" si="43"/>
        <v>7.2</v>
      </c>
      <c r="BT23" s="507">
        <f t="shared" si="44"/>
        <v>6.9</v>
      </c>
      <c r="BU23" s="507" t="str">
        <f t="shared" si="45"/>
        <v/>
      </c>
      <c r="BV23" s="507" t="str">
        <f t="shared" si="46"/>
        <v/>
      </c>
      <c r="BW23" s="507" t="str">
        <f t="shared" si="47"/>
        <v/>
      </c>
      <c r="BX23" s="507">
        <f t="shared" si="48"/>
        <v>8.6</v>
      </c>
      <c r="BY23" s="507" t="str">
        <f t="shared" si="49"/>
        <v/>
      </c>
    </row>
    <row r="24" spans="1:77">
      <c r="A24" s="481">
        <f>IF('NH13-14'!A24="","",'NH13-14'!A24)</f>
        <v>14</v>
      </c>
      <c r="B24" s="482" t="str">
        <f>IF('NH13-14'!B24="","",'NH13-14'!B24)</f>
        <v>13D301Đ057</v>
      </c>
      <c r="C24" s="490">
        <f t="shared" si="2"/>
        <v>39</v>
      </c>
      <c r="D24" s="490">
        <f t="shared" si="3"/>
        <v>0</v>
      </c>
      <c r="E24" s="483" t="str">
        <f>IF('NH13-14'!C24="","",'NH13-14'!C24)</f>
        <v>Trịnh Thanh</v>
      </c>
      <c r="F24" s="484" t="str">
        <f>IF('NH13-14'!D24="","",'NH13-14'!D24)</f>
        <v>Hoàng</v>
      </c>
      <c r="G24" s="485">
        <f>IF('NH13-14'!I24="",'NH13-14'!H24,IF('NH13-14'!I24&gt;='NH13-14'!H24,'NH13-14'!I24,'NH13-14'!H24))</f>
        <v>6.2</v>
      </c>
      <c r="H24" s="485">
        <f>IF('NH13-14'!K24="",'NH13-14'!J24,IF('NH13-14'!K24&gt;='NH13-14'!J24,'NH13-14'!K24,'NH13-14'!J24))</f>
        <v>8.4</v>
      </c>
      <c r="I24" s="485">
        <f>IF('NH13-14'!M24="",'NH13-14'!L24,IF('NH13-14'!M24&gt;='NH13-14'!L24,'NH13-14'!M24,'NH13-14'!L24))</f>
        <v>7.7</v>
      </c>
      <c r="J24" s="485">
        <f>IF('NH13-14'!O24="",'NH13-14'!N24,IF('NH13-14'!O24&gt;='NH13-14'!N24,'NH13-14'!O24,'NH13-14'!N24))</f>
        <v>6.9</v>
      </c>
      <c r="K24" s="485">
        <f>IF('NH13-14'!Q24="",'NH13-14'!P24,IF('NH13-14'!Q24&gt;='NH13-14'!P24,'NH13-14'!Q24,'NH13-14'!P24))</f>
        <v>6.2</v>
      </c>
      <c r="L24" s="485">
        <f>IF('NH13-14'!S24="",'NH13-14'!R24,IF('NH13-14'!S24&gt;='NH13-14'!R24,'NH13-14'!S24,'NH13-14'!R24))</f>
        <v>7</v>
      </c>
      <c r="M24" s="485">
        <f>IF('NH13-14'!U24="",'NH13-14'!T24,IF('NH13-14'!U24&gt;='NH13-14'!T24,'NH13-14'!U24,'NH13-14'!T24))</f>
        <v>8.1</v>
      </c>
      <c r="N24" s="485" t="str">
        <f>IF('NH13-14'!W24="",'NH13-14'!V24,IF('NH13-14'!W24&gt;='NH13-14'!V24,'NH13-14'!W24,'NH13-14'!V24))</f>
        <v/>
      </c>
      <c r="O24" s="485" t="str">
        <f>IF('NH13-14'!Y24="",'NH13-14'!X24,IF('NH13-14'!Y24&gt;='NH13-14'!X24,'NH13-14'!Y24,'NH13-14'!X24))</f>
        <v/>
      </c>
      <c r="P24" s="485">
        <f>IF('NH13-14'!AA24="",'NH13-14'!Z24,IF('NH13-14'!AA24&gt;='NH13-14'!Z24,'NH13-14'!AA24,'NH13-14'!Z24))</f>
        <v>6.5</v>
      </c>
      <c r="Q24" s="485">
        <f>IF('NH13-14'!AC24="",'NH13-14'!AB24,IF('NH13-14'!AC24&gt;='NH13-14'!AB24,'NH13-14'!AC24,'NH13-14'!AB24))</f>
        <v>5.7</v>
      </c>
      <c r="R24" s="485" t="str">
        <f>IF('NH13-14'!AE24="",'NH13-14'!AD24,IF('NH13-14'!AE24&gt;='NH13-14'!AD24,'NH13-14'!AE24,'NH13-14'!AD24))</f>
        <v/>
      </c>
      <c r="S24" s="485">
        <f>IF('NH13-14'!AG24="",'NH13-14'!AF24,IF('NH13-14'!AG24&gt;='NH13-14'!AF24,'NH13-14'!AG24,'NH13-14'!AF24))</f>
        <v>8.4</v>
      </c>
      <c r="T24" s="485">
        <f>IF('NH13-14'!AI24="",'NH13-14'!AH24,IF('NH13-14'!AI24&gt;='NH13-14'!AH24,'NH13-14'!AI24,'NH13-14'!AH24))</f>
        <v>8.1999999999999993</v>
      </c>
      <c r="U24" s="485">
        <f>IF('NH13-14'!AK24="",'NH13-14'!AJ24,IF('NH13-14'!AK24&gt;='NH13-14'!AJ24,'NH13-14'!AK24,'NH13-14'!AJ24))</f>
        <v>7.9</v>
      </c>
      <c r="V24" s="485">
        <f>IF('NH13-14'!AM24="",'NH13-14'!AL24,IF('NH13-14'!AM24&gt;='NH13-14'!AL24,'NH13-14'!AM24,'NH13-14'!AL24))</f>
        <v>7.3</v>
      </c>
      <c r="W24" s="485">
        <f>IF('NH13-14'!AO24="",'NH13-14'!AN24,IF('NH13-14'!AO24&gt;='NH13-14'!AN24,'NH13-14'!AO24,'NH13-14'!AN24))</f>
        <v>5.4</v>
      </c>
      <c r="X24" s="485">
        <f>IF('NH13-14'!AQ24="",'NH13-14'!AP24,IF('NH13-14'!AQ24&gt;='NH13-14'!AP24,'NH13-14'!AQ24,'NH13-14'!AP24))</f>
        <v>6.8</v>
      </c>
      <c r="Y24" s="485" t="str">
        <f>IF('NH13-14'!AS24="",'NH13-14'!AR24,IF('NH13-14'!AS24&gt;='NH13-14'!AR24,'NH13-14'!AS24,'NH13-14'!AR24))</f>
        <v/>
      </c>
      <c r="Z24" s="485" t="str">
        <f>IF('NH13-14'!AU24="",'NH13-14'!AT24,IF('NH13-14'!AU24&gt;='NH13-14'!AT24,'NH13-14'!AU24,'NH13-14'!AT24))</f>
        <v/>
      </c>
      <c r="AA24" s="485" t="str">
        <f>IF('NH13-14'!AW24="",'NH13-14'!AV24,IF('NH13-14'!AW24&gt;='NH13-14'!AV24,'NH13-14'!AW24,'NH13-14'!AV24))</f>
        <v/>
      </c>
      <c r="AB24" s="485">
        <f>IF('NH13-14'!AY24="",'NH13-14'!AX24,IF('NH13-14'!AY24&gt;='NH13-14'!AX24,'NH13-14'!AY24,'NH13-14'!AX24))</f>
        <v>6.2</v>
      </c>
      <c r="AC24" s="485" t="str">
        <f>IF('NH13-14'!BA24="",'NH13-14'!AZ24,IF('NH13-14'!BA24&gt;='NH13-14'!AZ24,'NH13-14'!BA24,'NH13-14'!AZ24))</f>
        <v/>
      </c>
      <c r="AD24" s="486">
        <f>IF('NH13-14'!B24="","",ROUND(SUMPRODUCT(G24:AC24,$G$7:$AC$7)/SUMIF(G24:AC24,"&gt;=0",$G$7:$AC$7),2))</f>
        <v>7.01</v>
      </c>
      <c r="AE24" s="487">
        <f t="shared" si="4"/>
        <v>2</v>
      </c>
      <c r="AF24" s="488">
        <f t="shared" si="5"/>
        <v>3</v>
      </c>
      <c r="AG24" s="488">
        <f t="shared" si="6"/>
        <v>3</v>
      </c>
      <c r="AH24" s="488">
        <f t="shared" si="7"/>
        <v>2</v>
      </c>
      <c r="AI24" s="488">
        <f t="shared" si="8"/>
        <v>2</v>
      </c>
      <c r="AJ24" s="488">
        <f t="shared" si="9"/>
        <v>3</v>
      </c>
      <c r="AK24" s="488">
        <f t="shared" si="10"/>
        <v>3</v>
      </c>
      <c r="AL24" s="488" t="str">
        <f t="shared" si="11"/>
        <v/>
      </c>
      <c r="AM24" s="488" t="str">
        <f t="shared" si="12"/>
        <v/>
      </c>
      <c r="AN24" s="488">
        <f t="shared" si="13"/>
        <v>2</v>
      </c>
      <c r="AO24" s="488">
        <f t="shared" si="14"/>
        <v>2</v>
      </c>
      <c r="AP24" s="488" t="str">
        <f t="shared" si="15"/>
        <v/>
      </c>
      <c r="AQ24" s="488">
        <f t="shared" si="16"/>
        <v>3</v>
      </c>
      <c r="AR24" s="488">
        <f t="shared" si="17"/>
        <v>3</v>
      </c>
      <c r="AS24" s="488">
        <f t="shared" si="18"/>
        <v>3</v>
      </c>
      <c r="AT24" s="488">
        <f t="shared" si="19"/>
        <v>3</v>
      </c>
      <c r="AU24" s="488">
        <f t="shared" si="20"/>
        <v>1</v>
      </c>
      <c r="AV24" s="488">
        <f t="shared" si="21"/>
        <v>2</v>
      </c>
      <c r="AW24" s="488" t="str">
        <f t="shared" si="22"/>
        <v/>
      </c>
      <c r="AX24" s="488" t="str">
        <f t="shared" si="23"/>
        <v/>
      </c>
      <c r="AY24" s="488" t="str">
        <f t="shared" si="24"/>
        <v/>
      </c>
      <c r="AZ24" s="488">
        <f t="shared" si="25"/>
        <v>2</v>
      </c>
      <c r="BA24" s="488" t="str">
        <f t="shared" si="26"/>
        <v/>
      </c>
      <c r="BB24" s="486">
        <f>IF('NH13-14'!B24="","",ROUND(SUMPRODUCT(AE24:BA24,$AE$7:$BA$7)/SUMIF(AE24:BA24,"&gt;=1",$AE$7:$BA$7),2))</f>
        <v>2.46</v>
      </c>
      <c r="BC24" s="527">
        <f t="shared" si="27"/>
        <v>6.2</v>
      </c>
      <c r="BD24" s="507">
        <f t="shared" si="28"/>
        <v>8.4</v>
      </c>
      <c r="BE24" s="507">
        <f t="shared" si="29"/>
        <v>7.7</v>
      </c>
      <c r="BF24" s="507">
        <f t="shared" si="30"/>
        <v>6.9</v>
      </c>
      <c r="BG24" s="507">
        <f t="shared" si="31"/>
        <v>6.2</v>
      </c>
      <c r="BH24" s="507">
        <f t="shared" si="32"/>
        <v>7</v>
      </c>
      <c r="BI24" s="507">
        <f t="shared" si="33"/>
        <v>8.1</v>
      </c>
      <c r="BJ24" s="507" t="str">
        <f t="shared" si="34"/>
        <v/>
      </c>
      <c r="BK24" s="507" t="str">
        <f t="shared" si="35"/>
        <v/>
      </c>
      <c r="BL24" s="507">
        <f t="shared" si="36"/>
        <v>6.5</v>
      </c>
      <c r="BM24" s="507">
        <f t="shared" si="37"/>
        <v>5.7</v>
      </c>
      <c r="BN24" s="507" t="str">
        <f t="shared" si="38"/>
        <v/>
      </c>
      <c r="BO24" s="507">
        <f t="shared" si="39"/>
        <v>8.4</v>
      </c>
      <c r="BP24" s="507">
        <f t="shared" si="40"/>
        <v>8.1999999999999993</v>
      </c>
      <c r="BQ24" s="507">
        <f t="shared" si="41"/>
        <v>7.9</v>
      </c>
      <c r="BR24" s="507">
        <f t="shared" si="42"/>
        <v>7.3</v>
      </c>
      <c r="BS24" s="507">
        <f t="shared" si="43"/>
        <v>5.4</v>
      </c>
      <c r="BT24" s="507">
        <f t="shared" si="44"/>
        <v>6.8</v>
      </c>
      <c r="BU24" s="507" t="str">
        <f t="shared" si="45"/>
        <v/>
      </c>
      <c r="BV24" s="507" t="str">
        <f t="shared" si="46"/>
        <v/>
      </c>
      <c r="BW24" s="507" t="str">
        <f t="shared" si="47"/>
        <v/>
      </c>
      <c r="BX24" s="507">
        <f t="shared" si="48"/>
        <v>6.2</v>
      </c>
      <c r="BY24" s="507" t="str">
        <f t="shared" si="49"/>
        <v/>
      </c>
    </row>
    <row r="25" spans="1:77">
      <c r="A25" s="481">
        <f>IF('NH13-14'!A25="","",'NH13-14'!A25)</f>
        <v>15</v>
      </c>
      <c r="B25" s="482" t="str">
        <f>IF('NH13-14'!B25="","",'NH13-14'!B25)</f>
        <v>13D301Đ061</v>
      </c>
      <c r="C25" s="490">
        <f t="shared" si="2"/>
        <v>37</v>
      </c>
      <c r="D25" s="490">
        <f t="shared" si="3"/>
        <v>2</v>
      </c>
      <c r="E25" s="483" t="str">
        <f>IF('NH13-14'!C25="","",'NH13-14'!C25)</f>
        <v>Huỳnh Thanh</v>
      </c>
      <c r="F25" s="484" t="str">
        <f>IF('NH13-14'!D25="","",'NH13-14'!D25)</f>
        <v>Hùng</v>
      </c>
      <c r="G25" s="485">
        <f>IF('NH13-14'!I25="",'NH13-14'!H25,IF('NH13-14'!I25&gt;='NH13-14'!H25,'NH13-14'!I25,'NH13-14'!H25))</f>
        <v>4.8</v>
      </c>
      <c r="H25" s="485">
        <f>IF('NH13-14'!K25="",'NH13-14'!J25,IF('NH13-14'!K25&gt;='NH13-14'!J25,'NH13-14'!K25,'NH13-14'!J25))</f>
        <v>5.4</v>
      </c>
      <c r="I25" s="485">
        <f>IF('NH13-14'!M25="",'NH13-14'!L25,IF('NH13-14'!M25&gt;='NH13-14'!L25,'NH13-14'!M25,'NH13-14'!L25))</f>
        <v>5.0999999999999996</v>
      </c>
      <c r="J25" s="485">
        <f>IF('NH13-14'!O25="",'NH13-14'!N25,IF('NH13-14'!O25&gt;='NH13-14'!N25,'NH13-14'!O25,'NH13-14'!N25))</f>
        <v>4.5999999999999996</v>
      </c>
      <c r="K25" s="485">
        <f>IF('NH13-14'!Q25="",'NH13-14'!P25,IF('NH13-14'!Q25&gt;='NH13-14'!P25,'NH13-14'!Q25,'NH13-14'!P25))</f>
        <v>4.5</v>
      </c>
      <c r="L25" s="485">
        <f>IF('NH13-14'!S25="",'NH13-14'!R25,IF('NH13-14'!S25&gt;='NH13-14'!R25,'NH13-14'!S25,'NH13-14'!R25))</f>
        <v>5</v>
      </c>
      <c r="M25" s="485">
        <f>IF('NH13-14'!U25="",'NH13-14'!T25,IF('NH13-14'!U25&gt;='NH13-14'!T25,'NH13-14'!U25,'NH13-14'!T25))</f>
        <v>5.8</v>
      </c>
      <c r="N25" s="485" t="str">
        <f>IF('NH13-14'!W25="",'NH13-14'!V25,IF('NH13-14'!W25&gt;='NH13-14'!V25,'NH13-14'!W25,'NH13-14'!V25))</f>
        <v/>
      </c>
      <c r="O25" s="485" t="str">
        <f>IF('NH13-14'!Y25="",'NH13-14'!X25,IF('NH13-14'!Y25&gt;='NH13-14'!X25,'NH13-14'!Y25,'NH13-14'!X25))</f>
        <v/>
      </c>
      <c r="P25" s="485">
        <f>IF('NH13-14'!AA25="",'NH13-14'!Z25,IF('NH13-14'!AA25&gt;='NH13-14'!Z25,'NH13-14'!AA25,'NH13-14'!Z25))</f>
        <v>4.7</v>
      </c>
      <c r="Q25" s="485">
        <f>IF('NH13-14'!AC25="",'NH13-14'!AB25,IF('NH13-14'!AC25&gt;='NH13-14'!AB25,'NH13-14'!AC25,'NH13-14'!AB25))</f>
        <v>4.9000000000000004</v>
      </c>
      <c r="R25" s="485" t="str">
        <f>IF('NH13-14'!AE25="",'NH13-14'!AD25,IF('NH13-14'!AE25&gt;='NH13-14'!AD25,'NH13-14'!AE25,'NH13-14'!AD25))</f>
        <v/>
      </c>
      <c r="S25" s="485">
        <f>IF('NH13-14'!AG25="",'NH13-14'!AF25,IF('NH13-14'!AG25&gt;='NH13-14'!AF25,'NH13-14'!AG25,'NH13-14'!AF25))</f>
        <v>5.5</v>
      </c>
      <c r="T25" s="485">
        <f>IF('NH13-14'!AI25="",'NH13-14'!AH25,IF('NH13-14'!AI25&gt;='NH13-14'!AH25,'NH13-14'!AI25,'NH13-14'!AH25))</f>
        <v>2</v>
      </c>
      <c r="U25" s="485">
        <f>IF('NH13-14'!AK25="",'NH13-14'!AJ25,IF('NH13-14'!AK25&gt;='NH13-14'!AJ25,'NH13-14'!AK25,'NH13-14'!AJ25))</f>
        <v>5.9</v>
      </c>
      <c r="V25" s="485">
        <f>IF('NH13-14'!AM25="",'NH13-14'!AL25,IF('NH13-14'!AM25&gt;='NH13-14'!AL25,'NH13-14'!AM25,'NH13-14'!AL25))</f>
        <v>6</v>
      </c>
      <c r="W25" s="485">
        <f>IF('NH13-14'!AO25="",'NH13-14'!AN25,IF('NH13-14'!AO25&gt;='NH13-14'!AN25,'NH13-14'!AO25,'NH13-14'!AN25))</f>
        <v>4.3</v>
      </c>
      <c r="X25" s="485">
        <f>IF('NH13-14'!AQ25="",'NH13-14'!AP25,IF('NH13-14'!AQ25&gt;='NH13-14'!AP25,'NH13-14'!AQ25,'NH13-14'!AP25))</f>
        <v>5.9</v>
      </c>
      <c r="Y25" s="485" t="str">
        <f>IF('NH13-14'!AS25="",'NH13-14'!AR25,IF('NH13-14'!AS25&gt;='NH13-14'!AR25,'NH13-14'!AS25,'NH13-14'!AR25))</f>
        <v/>
      </c>
      <c r="Z25" s="485" t="str">
        <f>IF('NH13-14'!AU25="",'NH13-14'!AT25,IF('NH13-14'!AU25&gt;='NH13-14'!AT25,'NH13-14'!AU25,'NH13-14'!AT25))</f>
        <v/>
      </c>
      <c r="AA25" s="485" t="str">
        <f>IF('NH13-14'!AW25="",'NH13-14'!AV25,IF('NH13-14'!AW25&gt;='NH13-14'!AV25,'NH13-14'!AW25,'NH13-14'!AV25))</f>
        <v/>
      </c>
      <c r="AB25" s="485">
        <f>IF('NH13-14'!AY25="",'NH13-14'!AX25,IF('NH13-14'!AY25&gt;='NH13-14'!AX25,'NH13-14'!AY25,'NH13-14'!AX25))</f>
        <v>5.6</v>
      </c>
      <c r="AC25" s="485" t="str">
        <f>IF('NH13-14'!BA25="",'NH13-14'!AZ25,IF('NH13-14'!BA25&gt;='NH13-14'!AZ25,'NH13-14'!BA25,'NH13-14'!AZ25))</f>
        <v/>
      </c>
      <c r="AD25" s="486">
        <f>IF('NH13-14'!B25="","",ROUND(SUMPRODUCT(G25:AC25,$G$7:$AC$7)/SUMIF(G25:AC25,"&gt;=0",$G$7:$AC$7),2))</f>
        <v>4.99</v>
      </c>
      <c r="AE25" s="487">
        <f t="shared" si="4"/>
        <v>1</v>
      </c>
      <c r="AF25" s="488">
        <f t="shared" si="5"/>
        <v>1</v>
      </c>
      <c r="AG25" s="488">
        <f t="shared" si="6"/>
        <v>1</v>
      </c>
      <c r="AH25" s="488">
        <f t="shared" si="7"/>
        <v>1</v>
      </c>
      <c r="AI25" s="488">
        <f t="shared" si="8"/>
        <v>1</v>
      </c>
      <c r="AJ25" s="488">
        <f t="shared" si="9"/>
        <v>1</v>
      </c>
      <c r="AK25" s="488">
        <f t="shared" si="10"/>
        <v>2</v>
      </c>
      <c r="AL25" s="488" t="str">
        <f t="shared" si="11"/>
        <v/>
      </c>
      <c r="AM25" s="488" t="str">
        <f t="shared" si="12"/>
        <v/>
      </c>
      <c r="AN25" s="488">
        <f t="shared" si="13"/>
        <v>1</v>
      </c>
      <c r="AO25" s="488">
        <f t="shared" si="14"/>
        <v>1</v>
      </c>
      <c r="AP25" s="488" t="str">
        <f t="shared" si="15"/>
        <v/>
      </c>
      <c r="AQ25" s="488">
        <f t="shared" si="16"/>
        <v>2</v>
      </c>
      <c r="AR25" s="488" t="str">
        <f t="shared" si="17"/>
        <v/>
      </c>
      <c r="AS25" s="488">
        <f t="shared" si="18"/>
        <v>2</v>
      </c>
      <c r="AT25" s="488">
        <f t="shared" si="19"/>
        <v>2</v>
      </c>
      <c r="AU25" s="488">
        <f t="shared" si="20"/>
        <v>1</v>
      </c>
      <c r="AV25" s="488">
        <f t="shared" si="21"/>
        <v>2</v>
      </c>
      <c r="AW25" s="488" t="str">
        <f t="shared" si="22"/>
        <v/>
      </c>
      <c r="AX25" s="488" t="str">
        <f t="shared" si="23"/>
        <v/>
      </c>
      <c r="AY25" s="488" t="str">
        <f t="shared" si="24"/>
        <v/>
      </c>
      <c r="AZ25" s="488">
        <f t="shared" si="25"/>
        <v>2</v>
      </c>
      <c r="BA25" s="488" t="str">
        <f t="shared" si="26"/>
        <v/>
      </c>
      <c r="BB25" s="486">
        <f>IF('NH13-14'!B25="","",ROUND(SUMPRODUCT(AE25:BA25,$AE$7:$BA$7)/SUMIF(AE25:BA25,"&gt;=1",$AE$7:$BA$7),2))</f>
        <v>1.32</v>
      </c>
      <c r="BC25" s="527">
        <f t="shared" si="27"/>
        <v>4.8</v>
      </c>
      <c r="BD25" s="507">
        <f t="shared" si="28"/>
        <v>5.4</v>
      </c>
      <c r="BE25" s="507">
        <f t="shared" si="29"/>
        <v>5.0999999999999996</v>
      </c>
      <c r="BF25" s="507">
        <f t="shared" si="30"/>
        <v>4.5999999999999996</v>
      </c>
      <c r="BG25" s="507">
        <f t="shared" si="31"/>
        <v>4.5</v>
      </c>
      <c r="BH25" s="507">
        <f t="shared" si="32"/>
        <v>5</v>
      </c>
      <c r="BI25" s="507">
        <f t="shared" si="33"/>
        <v>5.8</v>
      </c>
      <c r="BJ25" s="507" t="str">
        <f t="shared" si="34"/>
        <v/>
      </c>
      <c r="BK25" s="507" t="str">
        <f t="shared" si="35"/>
        <v/>
      </c>
      <c r="BL25" s="507">
        <f t="shared" si="36"/>
        <v>4.7</v>
      </c>
      <c r="BM25" s="507">
        <f t="shared" si="37"/>
        <v>4.9000000000000004</v>
      </c>
      <c r="BN25" s="507" t="str">
        <f t="shared" si="38"/>
        <v/>
      </c>
      <c r="BO25" s="507">
        <f t="shared" si="39"/>
        <v>5.5</v>
      </c>
      <c r="BP25" s="507" t="str">
        <f t="shared" si="40"/>
        <v/>
      </c>
      <c r="BQ25" s="507">
        <f t="shared" si="41"/>
        <v>5.9</v>
      </c>
      <c r="BR25" s="507">
        <f t="shared" si="42"/>
        <v>6</v>
      </c>
      <c r="BS25" s="507">
        <f t="shared" si="43"/>
        <v>4.3</v>
      </c>
      <c r="BT25" s="507">
        <f t="shared" si="44"/>
        <v>5.9</v>
      </c>
      <c r="BU25" s="507" t="str">
        <f t="shared" si="45"/>
        <v/>
      </c>
      <c r="BV25" s="507" t="str">
        <f t="shared" si="46"/>
        <v/>
      </c>
      <c r="BW25" s="507" t="str">
        <f t="shared" si="47"/>
        <v/>
      </c>
      <c r="BX25" s="507">
        <f t="shared" si="48"/>
        <v>5.6</v>
      </c>
      <c r="BY25" s="507" t="str">
        <f t="shared" si="49"/>
        <v/>
      </c>
    </row>
    <row r="26" spans="1:77">
      <c r="A26" s="481">
        <f>IF('NH13-14'!A26="","",'NH13-14'!A26)</f>
        <v>16</v>
      </c>
      <c r="B26" s="482" t="str">
        <f>IF('NH13-14'!B26="","",'NH13-14'!B26)</f>
        <v>13D301Đ065</v>
      </c>
      <c r="C26" s="490">
        <f t="shared" si="2"/>
        <v>35</v>
      </c>
      <c r="D26" s="490">
        <f t="shared" si="3"/>
        <v>4</v>
      </c>
      <c r="E26" s="483" t="str">
        <f>IF('NH13-14'!C26="","",'NH13-14'!C26)</f>
        <v>Đoàn Lê Xuân</v>
      </c>
      <c r="F26" s="484" t="str">
        <f>IF('NH13-14'!D26="","",'NH13-14'!D26)</f>
        <v>Huy</v>
      </c>
      <c r="G26" s="485">
        <f>IF('NH13-14'!I26="",'NH13-14'!H26,IF('NH13-14'!I26&gt;='NH13-14'!H26,'NH13-14'!I26,'NH13-14'!H26))</f>
        <v>5.2</v>
      </c>
      <c r="H26" s="485">
        <f>IF('NH13-14'!K26="",'NH13-14'!J26,IF('NH13-14'!K26&gt;='NH13-14'!J26,'NH13-14'!K26,'NH13-14'!J26))</f>
        <v>6.1</v>
      </c>
      <c r="I26" s="485">
        <f>IF('NH13-14'!M26="",'NH13-14'!L26,IF('NH13-14'!M26&gt;='NH13-14'!L26,'NH13-14'!M26,'NH13-14'!L26))</f>
        <v>5</v>
      </c>
      <c r="J26" s="485">
        <f>IF('NH13-14'!O26="",'NH13-14'!N26,IF('NH13-14'!O26&gt;='NH13-14'!N26,'NH13-14'!O26,'NH13-14'!N26))</f>
        <v>5.7</v>
      </c>
      <c r="K26" s="485">
        <f>IF('NH13-14'!Q26="",'NH13-14'!P26,IF('NH13-14'!Q26&gt;='NH13-14'!P26,'NH13-14'!Q26,'NH13-14'!P26))</f>
        <v>5.8</v>
      </c>
      <c r="L26" s="485">
        <f>IF('NH13-14'!S26="",'NH13-14'!R26,IF('NH13-14'!S26&gt;='NH13-14'!R26,'NH13-14'!S26,'NH13-14'!R26))</f>
        <v>4.5</v>
      </c>
      <c r="M26" s="485">
        <f>IF('NH13-14'!U26="",'NH13-14'!T26,IF('NH13-14'!U26&gt;='NH13-14'!T26,'NH13-14'!U26,'NH13-14'!T26))</f>
        <v>5.4</v>
      </c>
      <c r="N26" s="485" t="str">
        <f>IF('NH13-14'!W26="",'NH13-14'!V26,IF('NH13-14'!W26&gt;='NH13-14'!V26,'NH13-14'!W26,'NH13-14'!V26))</f>
        <v/>
      </c>
      <c r="O26" s="485" t="str">
        <f>IF('NH13-14'!Y26="",'NH13-14'!X26,IF('NH13-14'!Y26&gt;='NH13-14'!X26,'NH13-14'!Y26,'NH13-14'!X26))</f>
        <v/>
      </c>
      <c r="P26" s="485">
        <f>IF('NH13-14'!AA26="",'NH13-14'!Z26,IF('NH13-14'!AA26&gt;='NH13-14'!Z26,'NH13-14'!AA26,'NH13-14'!Z26))</f>
        <v>4.0999999999999996</v>
      </c>
      <c r="Q26" s="485">
        <f>IF('NH13-14'!AC26="",'NH13-14'!AB26,IF('NH13-14'!AC26&gt;='NH13-14'!AB26,'NH13-14'!AC26,'NH13-14'!AB26))</f>
        <v>4.2</v>
      </c>
      <c r="R26" s="485">
        <f>IF('NH13-14'!AE26="",'NH13-14'!AD26,IF('NH13-14'!AE26&gt;='NH13-14'!AD26,'NH13-14'!AE26,'NH13-14'!AD26))</f>
        <v>3.6</v>
      </c>
      <c r="S26" s="485">
        <f>IF('NH13-14'!AG26="",'NH13-14'!AF26,IF('NH13-14'!AG26&gt;='NH13-14'!AF26,'NH13-14'!AG26,'NH13-14'!AF26))</f>
        <v>7.3</v>
      </c>
      <c r="T26" s="485" t="str">
        <f>IF('NH13-14'!AI26="",'NH13-14'!AH26,IF('NH13-14'!AI26&gt;='NH13-14'!AH26,'NH13-14'!AI26,'NH13-14'!AH26))</f>
        <v/>
      </c>
      <c r="U26" s="485">
        <f>IF('NH13-14'!AK26="",'NH13-14'!AJ26,IF('NH13-14'!AK26&gt;='NH13-14'!AJ26,'NH13-14'!AK26,'NH13-14'!AJ26))</f>
        <v>6.7</v>
      </c>
      <c r="V26" s="485">
        <f>IF('NH13-14'!AM26="",'NH13-14'!AL26,IF('NH13-14'!AM26&gt;='NH13-14'!AL26,'NH13-14'!AM26,'NH13-14'!AL26))</f>
        <v>5.8</v>
      </c>
      <c r="W26" s="485">
        <f>IF('NH13-14'!AO26="",'NH13-14'!AN26,IF('NH13-14'!AO26&gt;='NH13-14'!AN26,'NH13-14'!AO26,'NH13-14'!AN26))</f>
        <v>0.8</v>
      </c>
      <c r="X26" s="485">
        <f>IF('NH13-14'!AQ26="",'NH13-14'!AP26,IF('NH13-14'!AQ26&gt;='NH13-14'!AP26,'NH13-14'!AQ26,'NH13-14'!AP26))</f>
        <v>6.3</v>
      </c>
      <c r="Y26" s="485" t="str">
        <f>IF('NH13-14'!AS26="",'NH13-14'!AR26,IF('NH13-14'!AS26&gt;='NH13-14'!AR26,'NH13-14'!AS26,'NH13-14'!AR26))</f>
        <v/>
      </c>
      <c r="Z26" s="485" t="str">
        <f>IF('NH13-14'!AU26="",'NH13-14'!AT26,IF('NH13-14'!AU26&gt;='NH13-14'!AT26,'NH13-14'!AU26,'NH13-14'!AT26))</f>
        <v/>
      </c>
      <c r="AA26" s="485" t="str">
        <f>IF('NH13-14'!AW26="",'NH13-14'!AV26,IF('NH13-14'!AW26&gt;='NH13-14'!AV26,'NH13-14'!AW26,'NH13-14'!AV26))</f>
        <v/>
      </c>
      <c r="AB26" s="485">
        <f>IF('NH13-14'!AY26="",'NH13-14'!AX26,IF('NH13-14'!AY26&gt;='NH13-14'!AX26,'NH13-14'!AY26,'NH13-14'!AX26))</f>
        <v>6.3</v>
      </c>
      <c r="AC26" s="485" t="str">
        <f>IF('NH13-14'!BA26="",'NH13-14'!AZ26,IF('NH13-14'!BA26&gt;='NH13-14'!AZ26,'NH13-14'!BA26,'NH13-14'!AZ26))</f>
        <v/>
      </c>
      <c r="AD26" s="486">
        <f>IF('NH13-14'!B26="","",ROUND(SUMPRODUCT(G26:AC26,$G$7:$AC$7)/SUMIF(G26:AC26,"&gt;=0",$G$7:$AC$7),2))</f>
        <v>5.14</v>
      </c>
      <c r="AE26" s="487">
        <f t="shared" si="4"/>
        <v>1</v>
      </c>
      <c r="AF26" s="488">
        <f t="shared" si="5"/>
        <v>2</v>
      </c>
      <c r="AG26" s="488">
        <f t="shared" si="6"/>
        <v>1</v>
      </c>
      <c r="AH26" s="488">
        <f t="shared" si="7"/>
        <v>2</v>
      </c>
      <c r="AI26" s="488">
        <f t="shared" si="8"/>
        <v>2</v>
      </c>
      <c r="AJ26" s="488">
        <f t="shared" si="9"/>
        <v>1</v>
      </c>
      <c r="AK26" s="488">
        <f t="shared" si="10"/>
        <v>1</v>
      </c>
      <c r="AL26" s="488" t="str">
        <f t="shared" si="11"/>
        <v/>
      </c>
      <c r="AM26" s="488" t="str">
        <f t="shared" si="12"/>
        <v/>
      </c>
      <c r="AN26" s="488">
        <f t="shared" si="13"/>
        <v>1</v>
      </c>
      <c r="AO26" s="488">
        <f t="shared" si="14"/>
        <v>1</v>
      </c>
      <c r="AP26" s="488" t="str">
        <f t="shared" si="15"/>
        <v/>
      </c>
      <c r="AQ26" s="488">
        <f t="shared" si="16"/>
        <v>3</v>
      </c>
      <c r="AR26" s="488" t="str">
        <f t="shared" si="17"/>
        <v/>
      </c>
      <c r="AS26" s="488">
        <f t="shared" si="18"/>
        <v>2</v>
      </c>
      <c r="AT26" s="488">
        <f t="shared" si="19"/>
        <v>2</v>
      </c>
      <c r="AU26" s="488" t="str">
        <f t="shared" si="20"/>
        <v/>
      </c>
      <c r="AV26" s="488">
        <f t="shared" si="21"/>
        <v>2</v>
      </c>
      <c r="AW26" s="488" t="str">
        <f t="shared" si="22"/>
        <v/>
      </c>
      <c r="AX26" s="488" t="str">
        <f t="shared" si="23"/>
        <v/>
      </c>
      <c r="AY26" s="488" t="str">
        <f t="shared" si="24"/>
        <v/>
      </c>
      <c r="AZ26" s="488">
        <f t="shared" si="25"/>
        <v>2</v>
      </c>
      <c r="BA26" s="488" t="str">
        <f t="shared" si="26"/>
        <v/>
      </c>
      <c r="BB26" s="486">
        <f>IF('NH13-14'!B26="","",ROUND(SUMPRODUCT(AE26:BA26,$AE$7:$BA$7)/SUMIF(AE26:BA26,"&gt;=1",$AE$7:$BA$7),2))</f>
        <v>1.57</v>
      </c>
      <c r="BC26" s="527">
        <f t="shared" si="27"/>
        <v>5.2</v>
      </c>
      <c r="BD26" s="507">
        <f t="shared" si="28"/>
        <v>6.1</v>
      </c>
      <c r="BE26" s="507">
        <f t="shared" si="29"/>
        <v>5</v>
      </c>
      <c r="BF26" s="507">
        <f t="shared" si="30"/>
        <v>5.7</v>
      </c>
      <c r="BG26" s="507">
        <f t="shared" si="31"/>
        <v>5.8</v>
      </c>
      <c r="BH26" s="507">
        <f t="shared" si="32"/>
        <v>4.5</v>
      </c>
      <c r="BI26" s="507">
        <f t="shared" si="33"/>
        <v>5.4</v>
      </c>
      <c r="BJ26" s="507" t="str">
        <f t="shared" si="34"/>
        <v/>
      </c>
      <c r="BK26" s="507" t="str">
        <f t="shared" si="35"/>
        <v/>
      </c>
      <c r="BL26" s="507">
        <f t="shared" si="36"/>
        <v>4.0999999999999996</v>
      </c>
      <c r="BM26" s="507">
        <f t="shared" si="37"/>
        <v>4.2</v>
      </c>
      <c r="BN26" s="507" t="str">
        <f t="shared" si="38"/>
        <v/>
      </c>
      <c r="BO26" s="507">
        <f t="shared" si="39"/>
        <v>7.3</v>
      </c>
      <c r="BP26" s="507" t="str">
        <f t="shared" si="40"/>
        <v/>
      </c>
      <c r="BQ26" s="507">
        <f t="shared" si="41"/>
        <v>6.7</v>
      </c>
      <c r="BR26" s="507">
        <f t="shared" si="42"/>
        <v>5.8</v>
      </c>
      <c r="BS26" s="507" t="str">
        <f t="shared" si="43"/>
        <v/>
      </c>
      <c r="BT26" s="507">
        <f t="shared" si="44"/>
        <v>6.3</v>
      </c>
      <c r="BU26" s="507" t="str">
        <f t="shared" si="45"/>
        <v/>
      </c>
      <c r="BV26" s="507" t="str">
        <f t="shared" si="46"/>
        <v/>
      </c>
      <c r="BW26" s="507" t="str">
        <f t="shared" si="47"/>
        <v/>
      </c>
      <c r="BX26" s="507">
        <f t="shared" si="48"/>
        <v>6.3</v>
      </c>
      <c r="BY26" s="507" t="str">
        <f t="shared" si="49"/>
        <v/>
      </c>
    </row>
    <row r="27" spans="1:77">
      <c r="A27" s="481">
        <f>IF('NH13-14'!A27="","",'NH13-14'!A27)</f>
        <v>17</v>
      </c>
      <c r="B27" s="482" t="str">
        <f>IF('NH13-14'!B27="","",'NH13-14'!B27)</f>
        <v>13D301Đ073</v>
      </c>
      <c r="C27" s="490">
        <f t="shared" si="2"/>
        <v>39</v>
      </c>
      <c r="D27" s="490">
        <f t="shared" si="3"/>
        <v>0</v>
      </c>
      <c r="E27" s="483" t="str">
        <f>IF('NH13-14'!C27="","",'NH13-14'!C27)</f>
        <v>Trịnh Đại</v>
      </c>
      <c r="F27" s="484" t="str">
        <f>IF('NH13-14'!D27="","",'NH13-14'!D27)</f>
        <v>Lăng</v>
      </c>
      <c r="G27" s="485">
        <f>IF('NH13-14'!I27="",'NH13-14'!H27,IF('NH13-14'!I27&gt;='NH13-14'!H27,'NH13-14'!I27,'NH13-14'!H27))</f>
        <v>5.2</v>
      </c>
      <c r="H27" s="485">
        <f>IF('NH13-14'!K27="",'NH13-14'!J27,IF('NH13-14'!K27&gt;='NH13-14'!J27,'NH13-14'!K27,'NH13-14'!J27))</f>
        <v>6</v>
      </c>
      <c r="I27" s="485">
        <f>IF('NH13-14'!M27="",'NH13-14'!L27,IF('NH13-14'!M27&gt;='NH13-14'!L27,'NH13-14'!M27,'NH13-14'!L27))</f>
        <v>6.3</v>
      </c>
      <c r="J27" s="485">
        <f>IF('NH13-14'!O27="",'NH13-14'!N27,IF('NH13-14'!O27&gt;='NH13-14'!N27,'NH13-14'!O27,'NH13-14'!N27))</f>
        <v>5.2</v>
      </c>
      <c r="K27" s="485">
        <f>IF('NH13-14'!Q27="",'NH13-14'!P27,IF('NH13-14'!Q27&gt;='NH13-14'!P27,'NH13-14'!Q27,'NH13-14'!P27))</f>
        <v>6.2</v>
      </c>
      <c r="L27" s="485">
        <f>IF('NH13-14'!S27="",'NH13-14'!R27,IF('NH13-14'!S27&gt;='NH13-14'!R27,'NH13-14'!S27,'NH13-14'!R27))</f>
        <v>4.5999999999999996</v>
      </c>
      <c r="M27" s="485">
        <f>IF('NH13-14'!U27="",'NH13-14'!T27,IF('NH13-14'!U27&gt;='NH13-14'!T27,'NH13-14'!U27,'NH13-14'!T27))</f>
        <v>6.6</v>
      </c>
      <c r="N27" s="485" t="str">
        <f>IF('NH13-14'!W27="",'NH13-14'!V27,IF('NH13-14'!W27&gt;='NH13-14'!V27,'NH13-14'!W27,'NH13-14'!V27))</f>
        <v/>
      </c>
      <c r="O27" s="485" t="str">
        <f>IF('NH13-14'!Y27="",'NH13-14'!X27,IF('NH13-14'!Y27&gt;='NH13-14'!X27,'NH13-14'!Y27,'NH13-14'!X27))</f>
        <v/>
      </c>
      <c r="P27" s="485">
        <f>IF('NH13-14'!AA27="",'NH13-14'!Z27,IF('NH13-14'!AA27&gt;='NH13-14'!Z27,'NH13-14'!AA27,'NH13-14'!Z27))</f>
        <v>6.4</v>
      </c>
      <c r="Q27" s="485">
        <f>IF('NH13-14'!AC27="",'NH13-14'!AB27,IF('NH13-14'!AC27&gt;='NH13-14'!AB27,'NH13-14'!AC27,'NH13-14'!AB27))</f>
        <v>5.7</v>
      </c>
      <c r="R27" s="485" t="str">
        <f>IF('NH13-14'!AE27="",'NH13-14'!AD27,IF('NH13-14'!AE27&gt;='NH13-14'!AD27,'NH13-14'!AE27,'NH13-14'!AD27))</f>
        <v/>
      </c>
      <c r="S27" s="485">
        <f>IF('NH13-14'!AG27="",'NH13-14'!AF27,IF('NH13-14'!AG27&gt;='NH13-14'!AF27,'NH13-14'!AG27,'NH13-14'!AF27))</f>
        <v>7.8</v>
      </c>
      <c r="T27" s="485">
        <f>IF('NH13-14'!AI27="",'NH13-14'!AH27,IF('NH13-14'!AI27&gt;='NH13-14'!AH27,'NH13-14'!AI27,'NH13-14'!AH27))</f>
        <v>5.4</v>
      </c>
      <c r="U27" s="485">
        <f>IF('NH13-14'!AK27="",'NH13-14'!AJ27,IF('NH13-14'!AK27&gt;='NH13-14'!AJ27,'NH13-14'!AK27,'NH13-14'!AJ27))</f>
        <v>7.2</v>
      </c>
      <c r="V27" s="485">
        <f>IF('NH13-14'!AM27="",'NH13-14'!AL27,IF('NH13-14'!AM27&gt;='NH13-14'!AL27,'NH13-14'!AM27,'NH13-14'!AL27))</f>
        <v>6</v>
      </c>
      <c r="W27" s="485">
        <f>IF('NH13-14'!AO27="",'NH13-14'!AN27,IF('NH13-14'!AO27&gt;='NH13-14'!AN27,'NH13-14'!AO27,'NH13-14'!AN27))</f>
        <v>4.7</v>
      </c>
      <c r="X27" s="485">
        <f>IF('NH13-14'!AQ27="",'NH13-14'!AP27,IF('NH13-14'!AQ27&gt;='NH13-14'!AP27,'NH13-14'!AQ27,'NH13-14'!AP27))</f>
        <v>7</v>
      </c>
      <c r="Y27" s="485" t="str">
        <f>IF('NH13-14'!AS27="",'NH13-14'!AR27,IF('NH13-14'!AS27&gt;='NH13-14'!AR27,'NH13-14'!AS27,'NH13-14'!AR27))</f>
        <v/>
      </c>
      <c r="Z27" s="485" t="str">
        <f>IF('NH13-14'!AU27="",'NH13-14'!AT27,IF('NH13-14'!AU27&gt;='NH13-14'!AT27,'NH13-14'!AU27,'NH13-14'!AT27))</f>
        <v/>
      </c>
      <c r="AA27" s="485" t="str">
        <f>IF('NH13-14'!AW27="",'NH13-14'!AV27,IF('NH13-14'!AW27&gt;='NH13-14'!AV27,'NH13-14'!AW27,'NH13-14'!AV27))</f>
        <v/>
      </c>
      <c r="AB27" s="485">
        <f>IF('NH13-14'!AY27="",'NH13-14'!AX27,IF('NH13-14'!AY27&gt;='NH13-14'!AX27,'NH13-14'!AY27,'NH13-14'!AX27))</f>
        <v>5.0999999999999996</v>
      </c>
      <c r="AC27" s="485" t="str">
        <f>IF('NH13-14'!BA27="",'NH13-14'!AZ27,IF('NH13-14'!BA27&gt;='NH13-14'!AZ27,'NH13-14'!BA27,'NH13-14'!AZ27))</f>
        <v/>
      </c>
      <c r="AD27" s="486">
        <f>IF('NH13-14'!B27="","",ROUND(SUMPRODUCT(G27:AC27,$G$7:$AC$7)/SUMIF(G27:AC27,"&gt;=0",$G$7:$AC$7),2))</f>
        <v>5.84</v>
      </c>
      <c r="AE27" s="487">
        <f t="shared" si="4"/>
        <v>1</v>
      </c>
      <c r="AF27" s="488">
        <f t="shared" si="5"/>
        <v>2</v>
      </c>
      <c r="AG27" s="488">
        <f t="shared" si="6"/>
        <v>2</v>
      </c>
      <c r="AH27" s="488">
        <f t="shared" si="7"/>
        <v>1</v>
      </c>
      <c r="AI27" s="488">
        <f t="shared" si="8"/>
        <v>2</v>
      </c>
      <c r="AJ27" s="488">
        <f t="shared" si="9"/>
        <v>1</v>
      </c>
      <c r="AK27" s="488">
        <f t="shared" si="10"/>
        <v>2</v>
      </c>
      <c r="AL27" s="488" t="str">
        <f t="shared" si="11"/>
        <v/>
      </c>
      <c r="AM27" s="488" t="str">
        <f t="shared" si="12"/>
        <v/>
      </c>
      <c r="AN27" s="488">
        <f t="shared" si="13"/>
        <v>2</v>
      </c>
      <c r="AO27" s="488">
        <f t="shared" si="14"/>
        <v>2</v>
      </c>
      <c r="AP27" s="488" t="str">
        <f t="shared" si="15"/>
        <v/>
      </c>
      <c r="AQ27" s="488">
        <f t="shared" si="16"/>
        <v>3</v>
      </c>
      <c r="AR27" s="488">
        <f t="shared" si="17"/>
        <v>1</v>
      </c>
      <c r="AS27" s="488">
        <f t="shared" si="18"/>
        <v>3</v>
      </c>
      <c r="AT27" s="488">
        <f t="shared" si="19"/>
        <v>2</v>
      </c>
      <c r="AU27" s="488">
        <f t="shared" si="20"/>
        <v>1</v>
      </c>
      <c r="AV27" s="488">
        <f t="shared" si="21"/>
        <v>3</v>
      </c>
      <c r="AW27" s="488" t="str">
        <f t="shared" si="22"/>
        <v/>
      </c>
      <c r="AX27" s="488" t="str">
        <f t="shared" si="23"/>
        <v/>
      </c>
      <c r="AY27" s="488" t="str">
        <f t="shared" si="24"/>
        <v/>
      </c>
      <c r="AZ27" s="488">
        <f t="shared" si="25"/>
        <v>1</v>
      </c>
      <c r="BA27" s="488" t="str">
        <f t="shared" si="26"/>
        <v/>
      </c>
      <c r="BB27" s="486">
        <f>IF('NH13-14'!B27="","",ROUND(SUMPRODUCT(AE27:BA27,$AE$7:$BA$7)/SUMIF(AE27:BA27,"&gt;=1",$AE$7:$BA$7),2))</f>
        <v>1.74</v>
      </c>
      <c r="BC27" s="527">
        <f t="shared" si="27"/>
        <v>5.2</v>
      </c>
      <c r="BD27" s="507">
        <f t="shared" si="28"/>
        <v>6</v>
      </c>
      <c r="BE27" s="507">
        <f t="shared" si="29"/>
        <v>6.3</v>
      </c>
      <c r="BF27" s="507">
        <f t="shared" si="30"/>
        <v>5.2</v>
      </c>
      <c r="BG27" s="507">
        <f t="shared" si="31"/>
        <v>6.2</v>
      </c>
      <c r="BH27" s="507">
        <f t="shared" si="32"/>
        <v>4.5999999999999996</v>
      </c>
      <c r="BI27" s="507">
        <f t="shared" si="33"/>
        <v>6.6</v>
      </c>
      <c r="BJ27" s="507" t="str">
        <f t="shared" si="34"/>
        <v/>
      </c>
      <c r="BK27" s="507" t="str">
        <f t="shared" si="35"/>
        <v/>
      </c>
      <c r="BL27" s="507">
        <f t="shared" si="36"/>
        <v>6.4</v>
      </c>
      <c r="BM27" s="507">
        <f t="shared" si="37"/>
        <v>5.7</v>
      </c>
      <c r="BN27" s="507" t="str">
        <f t="shared" si="38"/>
        <v/>
      </c>
      <c r="BO27" s="507">
        <f t="shared" si="39"/>
        <v>7.8</v>
      </c>
      <c r="BP27" s="507">
        <f t="shared" si="40"/>
        <v>5.4</v>
      </c>
      <c r="BQ27" s="507">
        <f t="shared" si="41"/>
        <v>7.2</v>
      </c>
      <c r="BR27" s="507">
        <f t="shared" si="42"/>
        <v>6</v>
      </c>
      <c r="BS27" s="507">
        <f t="shared" si="43"/>
        <v>4.7</v>
      </c>
      <c r="BT27" s="507">
        <f t="shared" si="44"/>
        <v>7</v>
      </c>
      <c r="BU27" s="507" t="str">
        <f t="shared" si="45"/>
        <v/>
      </c>
      <c r="BV27" s="507" t="str">
        <f t="shared" si="46"/>
        <v/>
      </c>
      <c r="BW27" s="507" t="str">
        <f t="shared" si="47"/>
        <v/>
      </c>
      <c r="BX27" s="507">
        <f t="shared" si="48"/>
        <v>5.0999999999999996</v>
      </c>
      <c r="BY27" s="507" t="str">
        <f t="shared" si="49"/>
        <v/>
      </c>
    </row>
    <row r="28" spans="1:77">
      <c r="A28" s="481">
        <f>IF('NH13-14'!A28="","",'NH13-14'!A28)</f>
        <v>18</v>
      </c>
      <c r="B28" s="482" t="str">
        <f>IF('NH13-14'!B28="","",'NH13-14'!B28)</f>
        <v>13D301Đ204</v>
      </c>
      <c r="C28" s="490">
        <f t="shared" si="2"/>
        <v>39</v>
      </c>
      <c r="D28" s="490">
        <f t="shared" si="3"/>
        <v>0</v>
      </c>
      <c r="E28" s="483" t="str">
        <f>IF('NH13-14'!C28="","",'NH13-14'!C28)</f>
        <v>Nguyễn Khánh</v>
      </c>
      <c r="F28" s="484" t="str">
        <f>IF('NH13-14'!D28="","",'NH13-14'!D28)</f>
        <v>Linh</v>
      </c>
      <c r="G28" s="485">
        <f>IF('NH13-14'!I28="",'NH13-14'!H28,IF('NH13-14'!I28&gt;='NH13-14'!H28,'NH13-14'!I28,'NH13-14'!H28))</f>
        <v>7.3</v>
      </c>
      <c r="H28" s="485">
        <f>IF('NH13-14'!K28="",'NH13-14'!J28,IF('NH13-14'!K28&gt;='NH13-14'!J28,'NH13-14'!K28,'NH13-14'!J28))</f>
        <v>8.1</v>
      </c>
      <c r="I28" s="485">
        <f>IF('NH13-14'!M28="",'NH13-14'!L28,IF('NH13-14'!M28&gt;='NH13-14'!L28,'NH13-14'!M28,'NH13-14'!L28))</f>
        <v>6.5</v>
      </c>
      <c r="J28" s="485">
        <f>IF('NH13-14'!O28="",'NH13-14'!N28,IF('NH13-14'!O28&gt;='NH13-14'!N28,'NH13-14'!O28,'NH13-14'!N28))</f>
        <v>6</v>
      </c>
      <c r="K28" s="485">
        <f>IF('NH13-14'!Q28="",'NH13-14'!P28,IF('NH13-14'!Q28&gt;='NH13-14'!P28,'NH13-14'!Q28,'NH13-14'!P28))</f>
        <v>5.7</v>
      </c>
      <c r="L28" s="485">
        <f>IF('NH13-14'!S28="",'NH13-14'!R28,IF('NH13-14'!S28&gt;='NH13-14'!R28,'NH13-14'!S28,'NH13-14'!R28))</f>
        <v>6.9</v>
      </c>
      <c r="M28" s="485">
        <f>IF('NH13-14'!U28="",'NH13-14'!T28,IF('NH13-14'!U28&gt;='NH13-14'!T28,'NH13-14'!U28,'NH13-14'!T28))</f>
        <v>7.6</v>
      </c>
      <c r="N28" s="485" t="str">
        <f>IF('NH13-14'!W28="",'NH13-14'!V28,IF('NH13-14'!W28&gt;='NH13-14'!V28,'NH13-14'!W28,'NH13-14'!V28))</f>
        <v/>
      </c>
      <c r="O28" s="485" t="str">
        <f>IF('NH13-14'!Y28="",'NH13-14'!X28,IF('NH13-14'!Y28&gt;='NH13-14'!X28,'NH13-14'!Y28,'NH13-14'!X28))</f>
        <v/>
      </c>
      <c r="P28" s="485">
        <f>IF('NH13-14'!AA28="",'NH13-14'!Z28,IF('NH13-14'!AA28&gt;='NH13-14'!Z28,'NH13-14'!AA28,'NH13-14'!Z28))</f>
        <v>7</v>
      </c>
      <c r="Q28" s="485">
        <f>IF('NH13-14'!AC28="",'NH13-14'!AB28,IF('NH13-14'!AC28&gt;='NH13-14'!AB28,'NH13-14'!AC28,'NH13-14'!AB28))</f>
        <v>5.9</v>
      </c>
      <c r="R28" s="485">
        <f>IF('NH13-14'!AE28="",'NH13-14'!AD28,IF('NH13-14'!AE28&gt;='NH13-14'!AD28,'NH13-14'!AE28,'NH13-14'!AD28))</f>
        <v>6.2</v>
      </c>
      <c r="S28" s="485">
        <f>IF('NH13-14'!AG28="",'NH13-14'!AF28,IF('NH13-14'!AG28&gt;='NH13-14'!AF28,'NH13-14'!AG28,'NH13-14'!AF28))</f>
        <v>8.5</v>
      </c>
      <c r="T28" s="485" t="str">
        <f>IF('NH13-14'!AI28="",'NH13-14'!AH28,IF('NH13-14'!AI28&gt;='NH13-14'!AH28,'NH13-14'!AI28,'NH13-14'!AH28))</f>
        <v/>
      </c>
      <c r="U28" s="485">
        <f>IF('NH13-14'!AK28="",'NH13-14'!AJ28,IF('NH13-14'!AK28&gt;='NH13-14'!AJ28,'NH13-14'!AK28,'NH13-14'!AJ28))</f>
        <v>7.4</v>
      </c>
      <c r="V28" s="485">
        <f>IF('NH13-14'!AM28="",'NH13-14'!AL28,IF('NH13-14'!AM28&gt;='NH13-14'!AL28,'NH13-14'!AM28,'NH13-14'!AL28))</f>
        <v>7.7</v>
      </c>
      <c r="W28" s="485">
        <f>IF('NH13-14'!AO28="",'NH13-14'!AN28,IF('NH13-14'!AO28&gt;='NH13-14'!AN28,'NH13-14'!AO28,'NH13-14'!AN28))</f>
        <v>6.7</v>
      </c>
      <c r="X28" s="485">
        <f>IF('NH13-14'!AQ28="",'NH13-14'!AP28,IF('NH13-14'!AQ28&gt;='NH13-14'!AP28,'NH13-14'!AQ28,'NH13-14'!AP28))</f>
        <v>6.2</v>
      </c>
      <c r="Y28" s="485" t="str">
        <f>IF('NH13-14'!AS28="",'NH13-14'!AR28,IF('NH13-14'!AS28&gt;='NH13-14'!AR28,'NH13-14'!AS28,'NH13-14'!AR28))</f>
        <v/>
      </c>
      <c r="Z28" s="485" t="str">
        <f>IF('NH13-14'!AU28="",'NH13-14'!AT28,IF('NH13-14'!AU28&gt;='NH13-14'!AT28,'NH13-14'!AU28,'NH13-14'!AT28))</f>
        <v/>
      </c>
      <c r="AA28" s="485" t="str">
        <f>IF('NH13-14'!AW28="",'NH13-14'!AV28,IF('NH13-14'!AW28&gt;='NH13-14'!AV28,'NH13-14'!AW28,'NH13-14'!AV28))</f>
        <v/>
      </c>
      <c r="AB28" s="485">
        <f>IF('NH13-14'!AY28="",'NH13-14'!AX28,IF('NH13-14'!AY28&gt;='NH13-14'!AX28,'NH13-14'!AY28,'NH13-14'!AX28))</f>
        <v>7</v>
      </c>
      <c r="AC28" s="485" t="str">
        <f>IF('NH13-14'!BA28="",'NH13-14'!AZ28,IF('NH13-14'!BA28&gt;='NH13-14'!AZ28,'NH13-14'!BA28,'NH13-14'!AZ28))</f>
        <v/>
      </c>
      <c r="AD28" s="486">
        <f>IF('NH13-14'!B28="","",ROUND(SUMPRODUCT(G28:AC28,$G$7:$AC$7)/SUMIF(G28:AC28,"&gt;=0",$G$7:$AC$7),2))</f>
        <v>6.9</v>
      </c>
      <c r="AE28" s="487">
        <f t="shared" si="4"/>
        <v>3</v>
      </c>
      <c r="AF28" s="488">
        <f t="shared" si="5"/>
        <v>3</v>
      </c>
      <c r="AG28" s="488">
        <f t="shared" si="6"/>
        <v>2</v>
      </c>
      <c r="AH28" s="488">
        <f t="shared" si="7"/>
        <v>2</v>
      </c>
      <c r="AI28" s="488">
        <f t="shared" si="8"/>
        <v>2</v>
      </c>
      <c r="AJ28" s="488">
        <f t="shared" si="9"/>
        <v>2</v>
      </c>
      <c r="AK28" s="488">
        <f t="shared" si="10"/>
        <v>3</v>
      </c>
      <c r="AL28" s="488" t="str">
        <f t="shared" si="11"/>
        <v/>
      </c>
      <c r="AM28" s="488" t="str">
        <f t="shared" si="12"/>
        <v/>
      </c>
      <c r="AN28" s="488">
        <f t="shared" si="13"/>
        <v>3</v>
      </c>
      <c r="AO28" s="488">
        <f t="shared" si="14"/>
        <v>2</v>
      </c>
      <c r="AP28" s="488">
        <f t="shared" si="15"/>
        <v>2</v>
      </c>
      <c r="AQ28" s="488">
        <f t="shared" si="16"/>
        <v>4</v>
      </c>
      <c r="AR28" s="488" t="str">
        <f t="shared" si="17"/>
        <v/>
      </c>
      <c r="AS28" s="488">
        <f t="shared" si="18"/>
        <v>3</v>
      </c>
      <c r="AT28" s="488">
        <f t="shared" si="19"/>
        <v>3</v>
      </c>
      <c r="AU28" s="488">
        <f t="shared" si="20"/>
        <v>2</v>
      </c>
      <c r="AV28" s="488">
        <f t="shared" si="21"/>
        <v>2</v>
      </c>
      <c r="AW28" s="488" t="str">
        <f t="shared" si="22"/>
        <v/>
      </c>
      <c r="AX28" s="488" t="str">
        <f t="shared" si="23"/>
        <v/>
      </c>
      <c r="AY28" s="488" t="str">
        <f t="shared" si="24"/>
        <v/>
      </c>
      <c r="AZ28" s="488">
        <f t="shared" si="25"/>
        <v>3</v>
      </c>
      <c r="BA28" s="488" t="str">
        <f t="shared" si="26"/>
        <v/>
      </c>
      <c r="BB28" s="486">
        <f>IF('NH13-14'!B28="","",ROUND(SUMPRODUCT(AE28:BA28,$AE$7:$BA$7)/SUMIF(AE28:BA28,"&gt;=1",$AE$7:$BA$7),2))</f>
        <v>2.5099999999999998</v>
      </c>
      <c r="BC28" s="527">
        <f t="shared" si="27"/>
        <v>7.3</v>
      </c>
      <c r="BD28" s="507">
        <f t="shared" si="28"/>
        <v>8.1</v>
      </c>
      <c r="BE28" s="507">
        <f t="shared" si="29"/>
        <v>6.5</v>
      </c>
      <c r="BF28" s="507">
        <f t="shared" si="30"/>
        <v>6</v>
      </c>
      <c r="BG28" s="507">
        <f t="shared" si="31"/>
        <v>5.7</v>
      </c>
      <c r="BH28" s="507">
        <f t="shared" si="32"/>
        <v>6.9</v>
      </c>
      <c r="BI28" s="507">
        <f t="shared" si="33"/>
        <v>7.6</v>
      </c>
      <c r="BJ28" s="507" t="str">
        <f t="shared" si="34"/>
        <v/>
      </c>
      <c r="BK28" s="507" t="str">
        <f t="shared" si="35"/>
        <v/>
      </c>
      <c r="BL28" s="507">
        <f t="shared" si="36"/>
        <v>7</v>
      </c>
      <c r="BM28" s="507">
        <f t="shared" si="37"/>
        <v>5.9</v>
      </c>
      <c r="BN28" s="507">
        <f t="shared" si="38"/>
        <v>6.2</v>
      </c>
      <c r="BO28" s="507">
        <f t="shared" si="39"/>
        <v>8.5</v>
      </c>
      <c r="BP28" s="507" t="str">
        <f t="shared" si="40"/>
        <v/>
      </c>
      <c r="BQ28" s="507">
        <f t="shared" si="41"/>
        <v>7.4</v>
      </c>
      <c r="BR28" s="507">
        <f t="shared" si="42"/>
        <v>7.7</v>
      </c>
      <c r="BS28" s="507">
        <f t="shared" si="43"/>
        <v>6.7</v>
      </c>
      <c r="BT28" s="507">
        <f t="shared" si="44"/>
        <v>6.2</v>
      </c>
      <c r="BU28" s="507" t="str">
        <f t="shared" si="45"/>
        <v/>
      </c>
      <c r="BV28" s="507" t="str">
        <f t="shared" si="46"/>
        <v/>
      </c>
      <c r="BW28" s="507" t="str">
        <f t="shared" si="47"/>
        <v/>
      </c>
      <c r="BX28" s="507">
        <f t="shared" si="48"/>
        <v>7</v>
      </c>
      <c r="BY28" s="507" t="str">
        <f t="shared" si="49"/>
        <v/>
      </c>
    </row>
    <row r="29" spans="1:77">
      <c r="A29" s="481">
        <f>IF('NH13-14'!A29="","",'NH13-14'!A29)</f>
        <v>19</v>
      </c>
      <c r="B29" s="482" t="str">
        <f>IF('NH13-14'!B29="","",'NH13-14'!B29)</f>
        <v>13D301Đ077</v>
      </c>
      <c r="C29" s="490">
        <f t="shared" si="2"/>
        <v>39</v>
      </c>
      <c r="D29" s="490">
        <f t="shared" si="3"/>
        <v>0</v>
      </c>
      <c r="E29" s="483" t="str">
        <f>IF('NH13-14'!C29="","",'NH13-14'!C29)</f>
        <v>Nguyễn Tiến</v>
      </c>
      <c r="F29" s="484" t="str">
        <f>IF('NH13-14'!D29="","",'NH13-14'!D29)</f>
        <v>Lợi</v>
      </c>
      <c r="G29" s="485">
        <f>IF('NH13-14'!I29="",'NH13-14'!H29,IF('NH13-14'!I29&gt;='NH13-14'!H29,'NH13-14'!I29,'NH13-14'!H29))</f>
        <v>4.2</v>
      </c>
      <c r="H29" s="485">
        <f>IF('NH13-14'!K29="",'NH13-14'!J29,IF('NH13-14'!K29&gt;='NH13-14'!J29,'NH13-14'!K29,'NH13-14'!J29))</f>
        <v>4.8</v>
      </c>
      <c r="I29" s="485">
        <f>IF('NH13-14'!M29="",'NH13-14'!L29,IF('NH13-14'!M29&gt;='NH13-14'!L29,'NH13-14'!M29,'NH13-14'!L29))</f>
        <v>5.2</v>
      </c>
      <c r="J29" s="485">
        <f>IF('NH13-14'!O29="",'NH13-14'!N29,IF('NH13-14'!O29&gt;='NH13-14'!N29,'NH13-14'!O29,'NH13-14'!N29))</f>
        <v>5.8</v>
      </c>
      <c r="K29" s="485">
        <f>IF('NH13-14'!Q29="",'NH13-14'!P29,IF('NH13-14'!Q29&gt;='NH13-14'!P29,'NH13-14'!Q29,'NH13-14'!P29))</f>
        <v>4.5999999999999996</v>
      </c>
      <c r="L29" s="485">
        <f>IF('NH13-14'!S29="",'NH13-14'!R29,IF('NH13-14'!S29&gt;='NH13-14'!R29,'NH13-14'!S29,'NH13-14'!R29))</f>
        <v>5.8</v>
      </c>
      <c r="M29" s="485">
        <f>IF('NH13-14'!U29="",'NH13-14'!T29,IF('NH13-14'!U29&gt;='NH13-14'!T29,'NH13-14'!U29,'NH13-14'!T29))</f>
        <v>5.8</v>
      </c>
      <c r="N29" s="485" t="str">
        <f>IF('NH13-14'!W29="",'NH13-14'!V29,IF('NH13-14'!W29&gt;='NH13-14'!V29,'NH13-14'!W29,'NH13-14'!V29))</f>
        <v/>
      </c>
      <c r="O29" s="485" t="str">
        <f>IF('NH13-14'!Y29="",'NH13-14'!X29,IF('NH13-14'!Y29&gt;='NH13-14'!X29,'NH13-14'!Y29,'NH13-14'!X29))</f>
        <v/>
      </c>
      <c r="P29" s="485">
        <f>IF('NH13-14'!AA29="",'NH13-14'!Z29,IF('NH13-14'!AA29&gt;='NH13-14'!Z29,'NH13-14'!AA29,'NH13-14'!Z29))</f>
        <v>6.5</v>
      </c>
      <c r="Q29" s="485">
        <f>IF('NH13-14'!AC29="",'NH13-14'!AB29,IF('NH13-14'!AC29&gt;='NH13-14'!AB29,'NH13-14'!AC29,'NH13-14'!AB29))</f>
        <v>5.0999999999999996</v>
      </c>
      <c r="R29" s="485" t="str">
        <f>IF('NH13-14'!AE29="",'NH13-14'!AD29,IF('NH13-14'!AE29&gt;='NH13-14'!AD29,'NH13-14'!AE29,'NH13-14'!AD29))</f>
        <v/>
      </c>
      <c r="S29" s="485">
        <f>IF('NH13-14'!AG29="",'NH13-14'!AF29,IF('NH13-14'!AG29&gt;='NH13-14'!AF29,'NH13-14'!AG29,'NH13-14'!AF29))</f>
        <v>8.1999999999999993</v>
      </c>
      <c r="T29" s="485">
        <f>IF('NH13-14'!AI29="",'NH13-14'!AH29,IF('NH13-14'!AI29&gt;='NH13-14'!AH29,'NH13-14'!AI29,'NH13-14'!AH29))</f>
        <v>4.7</v>
      </c>
      <c r="U29" s="485">
        <f>IF('NH13-14'!AK29="",'NH13-14'!AJ29,IF('NH13-14'!AK29&gt;='NH13-14'!AJ29,'NH13-14'!AK29,'NH13-14'!AJ29))</f>
        <v>6.7</v>
      </c>
      <c r="V29" s="485">
        <f>IF('NH13-14'!AM29="",'NH13-14'!AL29,IF('NH13-14'!AM29&gt;='NH13-14'!AL29,'NH13-14'!AM29,'NH13-14'!AL29))</f>
        <v>5.9</v>
      </c>
      <c r="W29" s="485">
        <f>IF('NH13-14'!AO29="",'NH13-14'!AN29,IF('NH13-14'!AO29&gt;='NH13-14'!AN29,'NH13-14'!AO29,'NH13-14'!AN29))</f>
        <v>4.5</v>
      </c>
      <c r="X29" s="485">
        <f>IF('NH13-14'!AQ29="",'NH13-14'!AP29,IF('NH13-14'!AQ29&gt;='NH13-14'!AP29,'NH13-14'!AQ29,'NH13-14'!AP29))</f>
        <v>7.6</v>
      </c>
      <c r="Y29" s="485" t="str">
        <f>IF('NH13-14'!AS29="",'NH13-14'!AR29,IF('NH13-14'!AS29&gt;='NH13-14'!AR29,'NH13-14'!AS29,'NH13-14'!AR29))</f>
        <v/>
      </c>
      <c r="Z29" s="485" t="str">
        <f>IF('NH13-14'!AU29="",'NH13-14'!AT29,IF('NH13-14'!AU29&gt;='NH13-14'!AT29,'NH13-14'!AU29,'NH13-14'!AT29))</f>
        <v/>
      </c>
      <c r="AA29" s="485" t="str">
        <f>IF('NH13-14'!AW29="",'NH13-14'!AV29,IF('NH13-14'!AW29&gt;='NH13-14'!AV29,'NH13-14'!AW29,'NH13-14'!AV29))</f>
        <v/>
      </c>
      <c r="AB29" s="485">
        <f>IF('NH13-14'!AY29="",'NH13-14'!AX29,IF('NH13-14'!AY29&gt;='NH13-14'!AX29,'NH13-14'!AY29,'NH13-14'!AX29))</f>
        <v>6.5</v>
      </c>
      <c r="AC29" s="485" t="str">
        <f>IF('NH13-14'!BA29="",'NH13-14'!AZ29,IF('NH13-14'!BA29&gt;='NH13-14'!AZ29,'NH13-14'!BA29,'NH13-14'!AZ29))</f>
        <v/>
      </c>
      <c r="AD29" s="486">
        <f>IF('NH13-14'!B29="","",ROUND(SUMPRODUCT(G29:AC29,$G$7:$AC$7)/SUMIF(G29:AC29,"&gt;=0",$G$7:$AC$7),2))</f>
        <v>5.64</v>
      </c>
      <c r="AE29" s="487">
        <f t="shared" si="4"/>
        <v>1</v>
      </c>
      <c r="AF29" s="488">
        <f t="shared" si="5"/>
        <v>1</v>
      </c>
      <c r="AG29" s="488">
        <f t="shared" si="6"/>
        <v>1</v>
      </c>
      <c r="AH29" s="488">
        <f t="shared" si="7"/>
        <v>2</v>
      </c>
      <c r="AI29" s="488">
        <f t="shared" si="8"/>
        <v>1</v>
      </c>
      <c r="AJ29" s="488">
        <f t="shared" si="9"/>
        <v>2</v>
      </c>
      <c r="AK29" s="488">
        <f t="shared" si="10"/>
        <v>2</v>
      </c>
      <c r="AL29" s="488" t="str">
        <f t="shared" si="11"/>
        <v/>
      </c>
      <c r="AM29" s="488" t="str">
        <f t="shared" si="12"/>
        <v/>
      </c>
      <c r="AN29" s="488">
        <f t="shared" si="13"/>
        <v>2</v>
      </c>
      <c r="AO29" s="488">
        <f t="shared" si="14"/>
        <v>1</v>
      </c>
      <c r="AP29" s="488" t="str">
        <f t="shared" si="15"/>
        <v/>
      </c>
      <c r="AQ29" s="488">
        <f t="shared" si="16"/>
        <v>3</v>
      </c>
      <c r="AR29" s="488">
        <f t="shared" si="17"/>
        <v>1</v>
      </c>
      <c r="AS29" s="488">
        <f t="shared" si="18"/>
        <v>2</v>
      </c>
      <c r="AT29" s="488">
        <f t="shared" si="19"/>
        <v>2</v>
      </c>
      <c r="AU29" s="488">
        <f t="shared" si="20"/>
        <v>1</v>
      </c>
      <c r="AV29" s="488">
        <f t="shared" si="21"/>
        <v>3</v>
      </c>
      <c r="AW29" s="488" t="str">
        <f t="shared" si="22"/>
        <v/>
      </c>
      <c r="AX29" s="488" t="str">
        <f t="shared" si="23"/>
        <v/>
      </c>
      <c r="AY29" s="488" t="str">
        <f t="shared" si="24"/>
        <v/>
      </c>
      <c r="AZ29" s="488">
        <f t="shared" si="25"/>
        <v>2</v>
      </c>
      <c r="BA29" s="488" t="str">
        <f t="shared" si="26"/>
        <v/>
      </c>
      <c r="BB29" s="486">
        <f>IF('NH13-14'!B29="","",ROUND(SUMPRODUCT(AE29:BA29,$AE$7:$BA$7)/SUMIF(AE29:BA29,"&gt;=1",$AE$7:$BA$7),2))</f>
        <v>1.64</v>
      </c>
      <c r="BC29" s="527">
        <f t="shared" si="27"/>
        <v>4.2</v>
      </c>
      <c r="BD29" s="507">
        <f t="shared" si="28"/>
        <v>4.8</v>
      </c>
      <c r="BE29" s="507">
        <f t="shared" si="29"/>
        <v>5.2</v>
      </c>
      <c r="BF29" s="507">
        <f t="shared" si="30"/>
        <v>5.8</v>
      </c>
      <c r="BG29" s="507">
        <f t="shared" si="31"/>
        <v>4.5999999999999996</v>
      </c>
      <c r="BH29" s="507">
        <f t="shared" si="32"/>
        <v>5.8</v>
      </c>
      <c r="BI29" s="507">
        <f t="shared" si="33"/>
        <v>5.8</v>
      </c>
      <c r="BJ29" s="507" t="str">
        <f t="shared" si="34"/>
        <v/>
      </c>
      <c r="BK29" s="507" t="str">
        <f t="shared" si="35"/>
        <v/>
      </c>
      <c r="BL29" s="507">
        <f t="shared" si="36"/>
        <v>6.5</v>
      </c>
      <c r="BM29" s="507">
        <f t="shared" si="37"/>
        <v>5.0999999999999996</v>
      </c>
      <c r="BN29" s="507" t="str">
        <f t="shared" si="38"/>
        <v/>
      </c>
      <c r="BO29" s="507">
        <f t="shared" si="39"/>
        <v>8.1999999999999993</v>
      </c>
      <c r="BP29" s="507">
        <f t="shared" si="40"/>
        <v>4.7</v>
      </c>
      <c r="BQ29" s="507">
        <f t="shared" si="41"/>
        <v>6.7</v>
      </c>
      <c r="BR29" s="507">
        <f t="shared" si="42"/>
        <v>5.9</v>
      </c>
      <c r="BS29" s="507">
        <f t="shared" si="43"/>
        <v>4.5</v>
      </c>
      <c r="BT29" s="507">
        <f t="shared" si="44"/>
        <v>7.6</v>
      </c>
      <c r="BU29" s="507" t="str">
        <f t="shared" si="45"/>
        <v/>
      </c>
      <c r="BV29" s="507" t="str">
        <f t="shared" si="46"/>
        <v/>
      </c>
      <c r="BW29" s="507" t="str">
        <f t="shared" si="47"/>
        <v/>
      </c>
      <c r="BX29" s="507">
        <f t="shared" si="48"/>
        <v>6.5</v>
      </c>
      <c r="BY29" s="507" t="str">
        <f t="shared" si="49"/>
        <v/>
      </c>
    </row>
    <row r="30" spans="1:77">
      <c r="A30" s="481">
        <f>IF('NH13-14'!A30="","",'NH13-14'!A30)</f>
        <v>20</v>
      </c>
      <c r="B30" s="482" t="str">
        <f>IF('NH13-14'!B30="","",'NH13-14'!B30)</f>
        <v>13D301Đ162</v>
      </c>
      <c r="C30" s="490">
        <f t="shared" si="2"/>
        <v>37</v>
      </c>
      <c r="D30" s="490">
        <f t="shared" si="3"/>
        <v>2</v>
      </c>
      <c r="E30" s="483" t="str">
        <f>IF('NH13-14'!C30="","",'NH13-14'!C30)</f>
        <v>Đỗ Văn</v>
      </c>
      <c r="F30" s="484" t="str">
        <f>IF('NH13-14'!D30="","",'NH13-14'!D30)</f>
        <v>Lượng</v>
      </c>
      <c r="G30" s="485">
        <f>IF('NH13-14'!I30="",'NH13-14'!H30,IF('NH13-14'!I30&gt;='NH13-14'!H30,'NH13-14'!I30,'NH13-14'!H30))</f>
        <v>5.0999999999999996</v>
      </c>
      <c r="H30" s="485">
        <f>IF('NH13-14'!K30="",'NH13-14'!J30,IF('NH13-14'!K30&gt;='NH13-14'!J30,'NH13-14'!K30,'NH13-14'!J30))</f>
        <v>4.4000000000000004</v>
      </c>
      <c r="I30" s="485">
        <f>IF('NH13-14'!M30="",'NH13-14'!L30,IF('NH13-14'!M30&gt;='NH13-14'!L30,'NH13-14'!M30,'NH13-14'!L30))</f>
        <v>5</v>
      </c>
      <c r="J30" s="485">
        <f>IF('NH13-14'!O30="",'NH13-14'!N30,IF('NH13-14'!O30&gt;='NH13-14'!N30,'NH13-14'!O30,'NH13-14'!N30))</f>
        <v>6.4</v>
      </c>
      <c r="K30" s="485">
        <f>IF('NH13-14'!Q30="",'NH13-14'!P30,IF('NH13-14'!Q30&gt;='NH13-14'!P30,'NH13-14'!Q30,'NH13-14'!P30))</f>
        <v>4.4000000000000004</v>
      </c>
      <c r="L30" s="485">
        <f>IF('NH13-14'!S30="",'NH13-14'!R30,IF('NH13-14'!S30&gt;='NH13-14'!R30,'NH13-14'!S30,'NH13-14'!R30))</f>
        <v>5</v>
      </c>
      <c r="M30" s="485">
        <f>IF('NH13-14'!U30="",'NH13-14'!T30,IF('NH13-14'!U30&gt;='NH13-14'!T30,'NH13-14'!U30,'NH13-14'!T30))</f>
        <v>5.4</v>
      </c>
      <c r="N30" s="485" t="str">
        <f>IF('NH13-14'!W30="",'NH13-14'!V30,IF('NH13-14'!W30&gt;='NH13-14'!V30,'NH13-14'!W30,'NH13-14'!V30))</f>
        <v/>
      </c>
      <c r="O30" s="485" t="str">
        <f>IF('NH13-14'!Y30="",'NH13-14'!X30,IF('NH13-14'!Y30&gt;='NH13-14'!X30,'NH13-14'!Y30,'NH13-14'!X30))</f>
        <v/>
      </c>
      <c r="P30" s="485">
        <f>IF('NH13-14'!AA30="",'NH13-14'!Z30,IF('NH13-14'!AA30&gt;='NH13-14'!Z30,'NH13-14'!AA30,'NH13-14'!Z30))</f>
        <v>7</v>
      </c>
      <c r="Q30" s="485">
        <f>IF('NH13-14'!AC30="",'NH13-14'!AB30,IF('NH13-14'!AC30&gt;='NH13-14'!AB30,'NH13-14'!AC30,'NH13-14'!AB30))</f>
        <v>4.5</v>
      </c>
      <c r="R30" s="485" t="str">
        <f>IF('NH13-14'!AE30="",'NH13-14'!AD30,IF('NH13-14'!AE30&gt;='NH13-14'!AD30,'NH13-14'!AE30,'NH13-14'!AD30))</f>
        <v/>
      </c>
      <c r="S30" s="485">
        <f>IF('NH13-14'!AG30="",'NH13-14'!AF30,IF('NH13-14'!AG30&gt;='NH13-14'!AF30,'NH13-14'!AG30,'NH13-14'!AF30))</f>
        <v>6.7</v>
      </c>
      <c r="T30" s="485">
        <f>IF('NH13-14'!AI30="",'NH13-14'!AH30,IF('NH13-14'!AI30&gt;='NH13-14'!AH30,'NH13-14'!AI30,'NH13-14'!AH30))</f>
        <v>5.3</v>
      </c>
      <c r="U30" s="485">
        <f>IF('NH13-14'!AK30="",'NH13-14'!AJ30,IF('NH13-14'!AK30&gt;='NH13-14'!AJ30,'NH13-14'!AK30,'NH13-14'!AJ30))</f>
        <v>6.8</v>
      </c>
      <c r="V30" s="485">
        <f>IF('NH13-14'!AM30="",'NH13-14'!AL30,IF('NH13-14'!AM30&gt;='NH13-14'!AL30,'NH13-14'!AM30,'NH13-14'!AL30))</f>
        <v>5.6</v>
      </c>
      <c r="W30" s="485">
        <f>IF('NH13-14'!AO30="",'NH13-14'!AN30,IF('NH13-14'!AO30&gt;='NH13-14'!AN30,'NH13-14'!AO30,'NH13-14'!AN30))</f>
        <v>3.5</v>
      </c>
      <c r="X30" s="485">
        <f>IF('NH13-14'!AQ30="",'NH13-14'!AP30,IF('NH13-14'!AQ30&gt;='NH13-14'!AP30,'NH13-14'!AQ30,'NH13-14'!AP30))</f>
        <v>7.4</v>
      </c>
      <c r="Y30" s="485" t="str">
        <f>IF('NH13-14'!AS30="",'NH13-14'!AR30,IF('NH13-14'!AS30&gt;='NH13-14'!AR30,'NH13-14'!AS30,'NH13-14'!AR30))</f>
        <v/>
      </c>
      <c r="Z30" s="485" t="str">
        <f>IF('NH13-14'!AU30="",'NH13-14'!AT30,IF('NH13-14'!AU30&gt;='NH13-14'!AT30,'NH13-14'!AU30,'NH13-14'!AT30))</f>
        <v/>
      </c>
      <c r="AA30" s="485" t="str">
        <f>IF('NH13-14'!AW30="",'NH13-14'!AV30,IF('NH13-14'!AW30&gt;='NH13-14'!AV30,'NH13-14'!AW30,'NH13-14'!AV30))</f>
        <v/>
      </c>
      <c r="AB30" s="485">
        <f>IF('NH13-14'!AY30="",'NH13-14'!AX30,IF('NH13-14'!AY30&gt;='NH13-14'!AX30,'NH13-14'!AY30,'NH13-14'!AX30))</f>
        <v>6.6</v>
      </c>
      <c r="AC30" s="485" t="str">
        <f>IF('NH13-14'!BA30="",'NH13-14'!AZ30,IF('NH13-14'!BA30&gt;='NH13-14'!AZ30,'NH13-14'!BA30,'NH13-14'!AZ30))</f>
        <v/>
      </c>
      <c r="AD30" s="486">
        <f>IF('NH13-14'!B30="","",ROUND(SUMPRODUCT(G30:AC30,$G$7:$AC$7)/SUMIF(G30:AC30,"&gt;=0",$G$7:$AC$7),2))</f>
        <v>5.43</v>
      </c>
      <c r="AE30" s="487">
        <f t="shared" si="4"/>
        <v>1</v>
      </c>
      <c r="AF30" s="488">
        <f t="shared" si="5"/>
        <v>1</v>
      </c>
      <c r="AG30" s="488">
        <f t="shared" si="6"/>
        <v>1</v>
      </c>
      <c r="AH30" s="488">
        <f t="shared" si="7"/>
        <v>2</v>
      </c>
      <c r="AI30" s="488">
        <f t="shared" si="8"/>
        <v>1</v>
      </c>
      <c r="AJ30" s="488">
        <f t="shared" si="9"/>
        <v>1</v>
      </c>
      <c r="AK30" s="488">
        <f t="shared" si="10"/>
        <v>1</v>
      </c>
      <c r="AL30" s="488" t="str">
        <f t="shared" si="11"/>
        <v/>
      </c>
      <c r="AM30" s="488" t="str">
        <f t="shared" si="12"/>
        <v/>
      </c>
      <c r="AN30" s="488">
        <f t="shared" si="13"/>
        <v>3</v>
      </c>
      <c r="AO30" s="488">
        <f t="shared" si="14"/>
        <v>1</v>
      </c>
      <c r="AP30" s="488" t="str">
        <f t="shared" si="15"/>
        <v/>
      </c>
      <c r="AQ30" s="488">
        <f t="shared" si="16"/>
        <v>2</v>
      </c>
      <c r="AR30" s="488">
        <f t="shared" si="17"/>
        <v>1</v>
      </c>
      <c r="AS30" s="488">
        <f t="shared" si="18"/>
        <v>2</v>
      </c>
      <c r="AT30" s="488">
        <f t="shared" si="19"/>
        <v>2</v>
      </c>
      <c r="AU30" s="488" t="str">
        <f t="shared" si="20"/>
        <v/>
      </c>
      <c r="AV30" s="488">
        <f t="shared" si="21"/>
        <v>3</v>
      </c>
      <c r="AW30" s="488" t="str">
        <f t="shared" si="22"/>
        <v/>
      </c>
      <c r="AX30" s="488" t="str">
        <f t="shared" si="23"/>
        <v/>
      </c>
      <c r="AY30" s="488" t="str">
        <f t="shared" si="24"/>
        <v/>
      </c>
      <c r="AZ30" s="488">
        <f t="shared" si="25"/>
        <v>2</v>
      </c>
      <c r="BA30" s="488" t="str">
        <f t="shared" si="26"/>
        <v/>
      </c>
      <c r="BB30" s="486">
        <f>IF('NH13-14'!B30="","",ROUND(SUMPRODUCT(AE30:BA30,$AE$7:$BA$7)/SUMIF(AE30:BA30,"&gt;=1",$AE$7:$BA$7),2))</f>
        <v>1.49</v>
      </c>
      <c r="BC30" s="527">
        <f t="shared" si="27"/>
        <v>5.0999999999999996</v>
      </c>
      <c r="BD30" s="507">
        <f t="shared" si="28"/>
        <v>4.4000000000000004</v>
      </c>
      <c r="BE30" s="507">
        <f t="shared" si="29"/>
        <v>5</v>
      </c>
      <c r="BF30" s="507">
        <f t="shared" si="30"/>
        <v>6.4</v>
      </c>
      <c r="BG30" s="507">
        <f t="shared" si="31"/>
        <v>4.4000000000000004</v>
      </c>
      <c r="BH30" s="507">
        <f t="shared" si="32"/>
        <v>5</v>
      </c>
      <c r="BI30" s="507">
        <f t="shared" si="33"/>
        <v>5.4</v>
      </c>
      <c r="BJ30" s="507" t="str">
        <f t="shared" si="34"/>
        <v/>
      </c>
      <c r="BK30" s="507" t="str">
        <f t="shared" si="35"/>
        <v/>
      </c>
      <c r="BL30" s="507">
        <f t="shared" si="36"/>
        <v>7</v>
      </c>
      <c r="BM30" s="507">
        <f t="shared" si="37"/>
        <v>4.5</v>
      </c>
      <c r="BN30" s="507" t="str">
        <f t="shared" si="38"/>
        <v/>
      </c>
      <c r="BO30" s="507">
        <f t="shared" si="39"/>
        <v>6.7</v>
      </c>
      <c r="BP30" s="507">
        <f t="shared" si="40"/>
        <v>5.3</v>
      </c>
      <c r="BQ30" s="507">
        <f t="shared" si="41"/>
        <v>6.8</v>
      </c>
      <c r="BR30" s="507">
        <f t="shared" si="42"/>
        <v>5.6</v>
      </c>
      <c r="BS30" s="507" t="str">
        <f t="shared" si="43"/>
        <v/>
      </c>
      <c r="BT30" s="507">
        <f t="shared" si="44"/>
        <v>7.4</v>
      </c>
      <c r="BU30" s="507" t="str">
        <f t="shared" si="45"/>
        <v/>
      </c>
      <c r="BV30" s="507" t="str">
        <f t="shared" si="46"/>
        <v/>
      </c>
      <c r="BW30" s="507" t="str">
        <f t="shared" si="47"/>
        <v/>
      </c>
      <c r="BX30" s="507">
        <f t="shared" si="48"/>
        <v>6.6</v>
      </c>
      <c r="BY30" s="507" t="str">
        <f t="shared" si="49"/>
        <v/>
      </c>
    </row>
    <row r="31" spans="1:77">
      <c r="A31" s="481">
        <f>IF('NH13-14'!A31="","",'NH13-14'!A31)</f>
        <v>21</v>
      </c>
      <c r="B31" s="482" t="str">
        <f>IF('NH13-14'!B31="","",'NH13-14'!B31)</f>
        <v>13D301Đ081</v>
      </c>
      <c r="C31" s="490">
        <f t="shared" si="2"/>
        <v>28</v>
      </c>
      <c r="D31" s="490">
        <f t="shared" si="3"/>
        <v>11</v>
      </c>
      <c r="E31" s="483" t="str">
        <f>IF('NH13-14'!C31="","",'NH13-14'!C31)</f>
        <v>Mai Đình</v>
      </c>
      <c r="F31" s="484" t="str">
        <f>IF('NH13-14'!D31="","",'NH13-14'!D31)</f>
        <v>Luyện</v>
      </c>
      <c r="G31" s="485">
        <f>IF('NH13-14'!I31="",'NH13-14'!H31,IF('NH13-14'!I31&gt;='NH13-14'!H31,'NH13-14'!I31,'NH13-14'!H31))</f>
        <v>4.4000000000000004</v>
      </c>
      <c r="H31" s="485">
        <f>IF('NH13-14'!K31="",'NH13-14'!J31,IF('NH13-14'!K31&gt;='NH13-14'!J31,'NH13-14'!K31,'NH13-14'!J31))</f>
        <v>4.5999999999999996</v>
      </c>
      <c r="I31" s="485">
        <f>IF('NH13-14'!M31="",'NH13-14'!L31,IF('NH13-14'!M31&gt;='NH13-14'!L31,'NH13-14'!M31,'NH13-14'!L31))</f>
        <v>5.0999999999999996</v>
      </c>
      <c r="J31" s="485">
        <f>IF('NH13-14'!O31="",'NH13-14'!N31,IF('NH13-14'!O31&gt;='NH13-14'!N31,'NH13-14'!O31,'NH13-14'!N31))</f>
        <v>5.5</v>
      </c>
      <c r="K31" s="485">
        <f>IF('NH13-14'!Q31="",'NH13-14'!P31,IF('NH13-14'!Q31&gt;='NH13-14'!P31,'NH13-14'!Q31,'NH13-14'!P31))</f>
        <v>5</v>
      </c>
      <c r="L31" s="485">
        <f>IF('NH13-14'!S31="",'NH13-14'!R31,IF('NH13-14'!S31&gt;='NH13-14'!R31,'NH13-14'!S31,'NH13-14'!R31))</f>
        <v>3.4</v>
      </c>
      <c r="M31" s="485">
        <f>IF('NH13-14'!U31="",'NH13-14'!T31,IF('NH13-14'!U31&gt;='NH13-14'!T31,'NH13-14'!U31,'NH13-14'!T31))</f>
        <v>5.7</v>
      </c>
      <c r="N31" s="485" t="str">
        <f>IF('NH13-14'!W31="",'NH13-14'!V31,IF('NH13-14'!W31&gt;='NH13-14'!V31,'NH13-14'!W31,'NH13-14'!V31))</f>
        <v/>
      </c>
      <c r="O31" s="485" t="str">
        <f>IF('NH13-14'!Y31="",'NH13-14'!X31,IF('NH13-14'!Y31&gt;='NH13-14'!X31,'NH13-14'!Y31,'NH13-14'!X31))</f>
        <v/>
      </c>
      <c r="P31" s="485">
        <f>IF('NH13-14'!AA31="",'NH13-14'!Z31,IF('NH13-14'!AA31&gt;='NH13-14'!Z31,'NH13-14'!AA31,'NH13-14'!Z31))</f>
        <v>2.6</v>
      </c>
      <c r="Q31" s="485">
        <f>IF('NH13-14'!AC31="",'NH13-14'!AB31,IF('NH13-14'!AC31&gt;='NH13-14'!AB31,'NH13-14'!AC31,'NH13-14'!AB31))</f>
        <v>4.5999999999999996</v>
      </c>
      <c r="R31" s="485">
        <f>IF('NH13-14'!AE31="",'NH13-14'!AD31,IF('NH13-14'!AE31&gt;='NH13-14'!AD31,'NH13-14'!AE31,'NH13-14'!AD31))</f>
        <v>3.3</v>
      </c>
      <c r="S31" s="485">
        <f>IF('NH13-14'!AG31="",'NH13-14'!AF31,IF('NH13-14'!AG31&gt;='NH13-14'!AF31,'NH13-14'!AG31,'NH13-14'!AF31))</f>
        <v>4.9000000000000004</v>
      </c>
      <c r="T31" s="485" t="str">
        <f>IF('NH13-14'!AI31="",'NH13-14'!AH31,IF('NH13-14'!AI31&gt;='NH13-14'!AH31,'NH13-14'!AI31,'NH13-14'!AH31))</f>
        <v/>
      </c>
      <c r="U31" s="485">
        <f>IF('NH13-14'!AK31="",'NH13-14'!AJ31,IF('NH13-14'!AK31&gt;='NH13-14'!AJ31,'NH13-14'!AK31,'NH13-14'!AJ31))</f>
        <v>5.6</v>
      </c>
      <c r="V31" s="485">
        <f>IF('NH13-14'!AM31="",'NH13-14'!AL31,IF('NH13-14'!AM31&gt;='NH13-14'!AL31,'NH13-14'!AM31,'NH13-14'!AL31))</f>
        <v>5.3</v>
      </c>
      <c r="W31" s="485">
        <f>IF('NH13-14'!AO31="",'NH13-14'!AN31,IF('NH13-14'!AO31&gt;='NH13-14'!AN31,'NH13-14'!AO31,'NH13-14'!AN31))</f>
        <v>1.5</v>
      </c>
      <c r="X31" s="485">
        <f>IF('NH13-14'!AQ31="",'NH13-14'!AP31,IF('NH13-14'!AQ31&gt;='NH13-14'!AP31,'NH13-14'!AQ31,'NH13-14'!AP31))</f>
        <v>6.3</v>
      </c>
      <c r="Y31" s="485" t="str">
        <f>IF('NH13-14'!AS31="",'NH13-14'!AR31,IF('NH13-14'!AS31&gt;='NH13-14'!AR31,'NH13-14'!AS31,'NH13-14'!AR31))</f>
        <v/>
      </c>
      <c r="Z31" s="485" t="str">
        <f>IF('NH13-14'!AU31="",'NH13-14'!AT31,IF('NH13-14'!AU31&gt;='NH13-14'!AT31,'NH13-14'!AU31,'NH13-14'!AT31))</f>
        <v/>
      </c>
      <c r="AA31" s="485" t="str">
        <f>IF('NH13-14'!AW31="",'NH13-14'!AV31,IF('NH13-14'!AW31&gt;='NH13-14'!AV31,'NH13-14'!AW31,'NH13-14'!AV31))</f>
        <v/>
      </c>
      <c r="AB31" s="485">
        <f>IF('NH13-14'!AY31="",'NH13-14'!AX31,IF('NH13-14'!AY31&gt;='NH13-14'!AX31,'NH13-14'!AY31,'NH13-14'!AX31))</f>
        <v>5.4</v>
      </c>
      <c r="AC31" s="485" t="str">
        <f>IF('NH13-14'!BA31="",'NH13-14'!AZ31,IF('NH13-14'!BA31&gt;='NH13-14'!AZ31,'NH13-14'!BA31,'NH13-14'!AZ31))</f>
        <v/>
      </c>
      <c r="AD31" s="486">
        <f>IF('NH13-14'!B31="","",ROUND(SUMPRODUCT(G31:AC31,$G$7:$AC$7)/SUMIF(G31:AC31,"&gt;=0",$G$7:$AC$7),2))</f>
        <v>4.49</v>
      </c>
      <c r="AE31" s="487">
        <f t="shared" si="4"/>
        <v>1</v>
      </c>
      <c r="AF31" s="488">
        <f t="shared" si="5"/>
        <v>1</v>
      </c>
      <c r="AG31" s="488">
        <f t="shared" si="6"/>
        <v>1</v>
      </c>
      <c r="AH31" s="488">
        <f t="shared" si="7"/>
        <v>2</v>
      </c>
      <c r="AI31" s="488">
        <f t="shared" si="8"/>
        <v>1</v>
      </c>
      <c r="AJ31" s="488" t="str">
        <f t="shared" si="9"/>
        <v/>
      </c>
      <c r="AK31" s="488">
        <f t="shared" si="10"/>
        <v>2</v>
      </c>
      <c r="AL31" s="488" t="str">
        <f t="shared" si="11"/>
        <v/>
      </c>
      <c r="AM31" s="488" t="str">
        <f t="shared" si="12"/>
        <v/>
      </c>
      <c r="AN31" s="488" t="str">
        <f t="shared" si="13"/>
        <v/>
      </c>
      <c r="AO31" s="488">
        <f t="shared" si="14"/>
        <v>1</v>
      </c>
      <c r="AP31" s="488" t="str">
        <f t="shared" si="15"/>
        <v/>
      </c>
      <c r="AQ31" s="488">
        <f t="shared" si="16"/>
        <v>1</v>
      </c>
      <c r="AR31" s="488" t="str">
        <f t="shared" si="17"/>
        <v/>
      </c>
      <c r="AS31" s="488">
        <f t="shared" si="18"/>
        <v>2</v>
      </c>
      <c r="AT31" s="488">
        <f t="shared" si="19"/>
        <v>1</v>
      </c>
      <c r="AU31" s="488" t="str">
        <f t="shared" si="20"/>
        <v/>
      </c>
      <c r="AV31" s="488">
        <f t="shared" si="21"/>
        <v>2</v>
      </c>
      <c r="AW31" s="488" t="str">
        <f t="shared" si="22"/>
        <v/>
      </c>
      <c r="AX31" s="488" t="str">
        <f t="shared" si="23"/>
        <v/>
      </c>
      <c r="AY31" s="488" t="str">
        <f t="shared" si="24"/>
        <v/>
      </c>
      <c r="AZ31" s="488">
        <f t="shared" si="25"/>
        <v>1</v>
      </c>
      <c r="BA31" s="488" t="str">
        <f t="shared" si="26"/>
        <v/>
      </c>
      <c r="BB31" s="486">
        <f>IF('NH13-14'!B31="","",ROUND(SUMPRODUCT(AE31:BA31,$AE$7:$BA$7)/SUMIF(AE31:BA31,"&gt;=1",$AE$7:$BA$7),2))</f>
        <v>1.29</v>
      </c>
      <c r="BC31" s="527">
        <f t="shared" si="27"/>
        <v>4.4000000000000004</v>
      </c>
      <c r="BD31" s="507">
        <f t="shared" si="28"/>
        <v>4.5999999999999996</v>
      </c>
      <c r="BE31" s="507">
        <f t="shared" si="29"/>
        <v>5.0999999999999996</v>
      </c>
      <c r="BF31" s="507">
        <f t="shared" si="30"/>
        <v>5.5</v>
      </c>
      <c r="BG31" s="507">
        <f t="shared" si="31"/>
        <v>5</v>
      </c>
      <c r="BH31" s="507" t="str">
        <f t="shared" si="32"/>
        <v/>
      </c>
      <c r="BI31" s="507">
        <f t="shared" si="33"/>
        <v>5.7</v>
      </c>
      <c r="BJ31" s="507" t="str">
        <f t="shared" si="34"/>
        <v/>
      </c>
      <c r="BK31" s="507" t="str">
        <f t="shared" si="35"/>
        <v/>
      </c>
      <c r="BL31" s="507" t="str">
        <f t="shared" si="36"/>
        <v/>
      </c>
      <c r="BM31" s="507">
        <f t="shared" si="37"/>
        <v>4.5999999999999996</v>
      </c>
      <c r="BN31" s="507" t="str">
        <f t="shared" si="38"/>
        <v/>
      </c>
      <c r="BO31" s="507">
        <f t="shared" si="39"/>
        <v>4.9000000000000004</v>
      </c>
      <c r="BP31" s="507" t="str">
        <f t="shared" si="40"/>
        <v/>
      </c>
      <c r="BQ31" s="507">
        <f t="shared" si="41"/>
        <v>5.6</v>
      </c>
      <c r="BR31" s="507">
        <f t="shared" si="42"/>
        <v>5.3</v>
      </c>
      <c r="BS31" s="507" t="str">
        <f t="shared" si="43"/>
        <v/>
      </c>
      <c r="BT31" s="507">
        <f t="shared" si="44"/>
        <v>6.3</v>
      </c>
      <c r="BU31" s="507" t="str">
        <f t="shared" si="45"/>
        <v/>
      </c>
      <c r="BV31" s="507" t="str">
        <f t="shared" si="46"/>
        <v/>
      </c>
      <c r="BW31" s="507" t="str">
        <f t="shared" si="47"/>
        <v/>
      </c>
      <c r="BX31" s="507">
        <f t="shared" si="48"/>
        <v>5.4</v>
      </c>
      <c r="BY31" s="507" t="str">
        <f t="shared" si="49"/>
        <v/>
      </c>
    </row>
    <row r="32" spans="1:77">
      <c r="A32" s="481">
        <f>IF('NH13-14'!A32="","",'NH13-14'!A32)</f>
        <v>22</v>
      </c>
      <c r="B32" s="482" t="str">
        <f>IF('NH13-14'!B32="","",'NH13-14'!B32)</f>
        <v>13D301Đ085</v>
      </c>
      <c r="C32" s="490">
        <f t="shared" si="2"/>
        <v>37</v>
      </c>
      <c r="D32" s="490">
        <f t="shared" si="3"/>
        <v>2</v>
      </c>
      <c r="E32" s="483" t="str">
        <f>IF('NH13-14'!C32="","",'NH13-14'!C32)</f>
        <v>Võ Hoài</v>
      </c>
      <c r="F32" s="484" t="str">
        <f>IF('NH13-14'!D32="","",'NH13-14'!D32)</f>
        <v>Nam</v>
      </c>
      <c r="G32" s="485">
        <f>IF('NH13-14'!I32="",'NH13-14'!H32,IF('NH13-14'!I32&gt;='NH13-14'!H32,'NH13-14'!I32,'NH13-14'!H32))</f>
        <v>5.3</v>
      </c>
      <c r="H32" s="485">
        <f>IF('NH13-14'!K32="",'NH13-14'!J32,IF('NH13-14'!K32&gt;='NH13-14'!J32,'NH13-14'!K32,'NH13-14'!J32))</f>
        <v>6.9</v>
      </c>
      <c r="I32" s="485">
        <f>IF('NH13-14'!M32="",'NH13-14'!L32,IF('NH13-14'!M32&gt;='NH13-14'!L32,'NH13-14'!M32,'NH13-14'!L32))</f>
        <v>5.9</v>
      </c>
      <c r="J32" s="485">
        <f>IF('NH13-14'!O32="",'NH13-14'!N32,IF('NH13-14'!O32&gt;='NH13-14'!N32,'NH13-14'!O32,'NH13-14'!N32))</f>
        <v>4.5999999999999996</v>
      </c>
      <c r="K32" s="485">
        <f>IF('NH13-14'!Q32="",'NH13-14'!P32,IF('NH13-14'!Q32&gt;='NH13-14'!P32,'NH13-14'!Q32,'NH13-14'!P32))</f>
        <v>5.9</v>
      </c>
      <c r="L32" s="485">
        <f>IF('NH13-14'!S32="",'NH13-14'!R32,IF('NH13-14'!S32&gt;='NH13-14'!R32,'NH13-14'!S32,'NH13-14'!R32))</f>
        <v>5.6</v>
      </c>
      <c r="M32" s="485">
        <f>IF('NH13-14'!U32="",'NH13-14'!T32,IF('NH13-14'!U32&gt;='NH13-14'!T32,'NH13-14'!U32,'NH13-14'!T32))</f>
        <v>6.1</v>
      </c>
      <c r="N32" s="485" t="str">
        <f>IF('NH13-14'!W32="",'NH13-14'!V32,IF('NH13-14'!W32&gt;='NH13-14'!V32,'NH13-14'!W32,'NH13-14'!V32))</f>
        <v/>
      </c>
      <c r="O32" s="485" t="str">
        <f>IF('NH13-14'!Y32="",'NH13-14'!X32,IF('NH13-14'!Y32&gt;='NH13-14'!X32,'NH13-14'!Y32,'NH13-14'!X32))</f>
        <v/>
      </c>
      <c r="P32" s="485">
        <f>IF('NH13-14'!AA32="",'NH13-14'!Z32,IF('NH13-14'!AA32&gt;='NH13-14'!Z32,'NH13-14'!AA32,'NH13-14'!Z32))</f>
        <v>6.5</v>
      </c>
      <c r="Q32" s="485">
        <f>IF('NH13-14'!AC32="",'NH13-14'!AB32,IF('NH13-14'!AC32&gt;='NH13-14'!AB32,'NH13-14'!AC32,'NH13-14'!AB32))</f>
        <v>7.4</v>
      </c>
      <c r="R32" s="485">
        <f>IF('NH13-14'!AE32="",'NH13-14'!AD32,IF('NH13-14'!AE32&gt;='NH13-14'!AD32,'NH13-14'!AE32,'NH13-14'!AD32))</f>
        <v>6.4</v>
      </c>
      <c r="S32" s="485" t="str">
        <f>IF('NH13-14'!AG32="",'NH13-14'!AF32,IF('NH13-14'!AG32&gt;='NH13-14'!AF32,'NH13-14'!AG32,'NH13-14'!AF32))</f>
        <v/>
      </c>
      <c r="T32" s="485">
        <f>IF('NH13-14'!AI32="",'NH13-14'!AH32,IF('NH13-14'!AI32&gt;='NH13-14'!AH32,'NH13-14'!AI32,'NH13-14'!AH32))</f>
        <v>5.5</v>
      </c>
      <c r="U32" s="485">
        <f>IF('NH13-14'!AK32="",'NH13-14'!AJ32,IF('NH13-14'!AK32&gt;='NH13-14'!AJ32,'NH13-14'!AK32,'NH13-14'!AJ32))</f>
        <v>6.5</v>
      </c>
      <c r="V32" s="485">
        <f>IF('NH13-14'!AM32="",'NH13-14'!AL32,IF('NH13-14'!AM32&gt;='NH13-14'!AL32,'NH13-14'!AM32,'NH13-14'!AL32))</f>
        <v>6.2</v>
      </c>
      <c r="W32" s="485">
        <f>IF('NH13-14'!AO32="",'NH13-14'!AN32,IF('NH13-14'!AO32&gt;='NH13-14'!AN32,'NH13-14'!AO32,'NH13-14'!AN32))</f>
        <v>2.6</v>
      </c>
      <c r="X32" s="485">
        <f>IF('NH13-14'!AQ32="",'NH13-14'!AP32,IF('NH13-14'!AQ32&gt;='NH13-14'!AP32,'NH13-14'!AQ32,'NH13-14'!AP32))</f>
        <v>7</v>
      </c>
      <c r="Y32" s="485" t="str">
        <f>IF('NH13-14'!AS32="",'NH13-14'!AR32,IF('NH13-14'!AS32&gt;='NH13-14'!AR32,'NH13-14'!AS32,'NH13-14'!AR32))</f>
        <v/>
      </c>
      <c r="Z32" s="485" t="str">
        <f>IF('NH13-14'!AU32="",'NH13-14'!AT32,IF('NH13-14'!AU32&gt;='NH13-14'!AT32,'NH13-14'!AU32,'NH13-14'!AT32))</f>
        <v/>
      </c>
      <c r="AA32" s="485" t="str">
        <f>IF('NH13-14'!AW32="",'NH13-14'!AV32,IF('NH13-14'!AW32&gt;='NH13-14'!AV32,'NH13-14'!AW32,'NH13-14'!AV32))</f>
        <v/>
      </c>
      <c r="AB32" s="485">
        <f>IF('NH13-14'!AY32="",'NH13-14'!AX32,IF('NH13-14'!AY32&gt;='NH13-14'!AX32,'NH13-14'!AY32,'NH13-14'!AX32))</f>
        <v>5</v>
      </c>
      <c r="AC32" s="485" t="str">
        <f>IF('NH13-14'!BA32="",'NH13-14'!AZ32,IF('NH13-14'!BA32&gt;='NH13-14'!AZ32,'NH13-14'!BA32,'NH13-14'!AZ32))</f>
        <v/>
      </c>
      <c r="AD32" s="486">
        <f>IF('NH13-14'!B32="","",ROUND(SUMPRODUCT(G32:AC32,$G$7:$AC$7)/SUMIF(G32:AC32,"&gt;=0",$G$7:$AC$7),2))</f>
        <v>5.87</v>
      </c>
      <c r="AE32" s="487">
        <f t="shared" si="4"/>
        <v>1</v>
      </c>
      <c r="AF32" s="488">
        <f t="shared" si="5"/>
        <v>2</v>
      </c>
      <c r="AG32" s="488">
        <f t="shared" si="6"/>
        <v>2</v>
      </c>
      <c r="AH32" s="488">
        <f t="shared" si="7"/>
        <v>1</v>
      </c>
      <c r="AI32" s="488">
        <f t="shared" si="8"/>
        <v>2</v>
      </c>
      <c r="AJ32" s="488">
        <f t="shared" si="9"/>
        <v>2</v>
      </c>
      <c r="AK32" s="488">
        <f t="shared" si="10"/>
        <v>2</v>
      </c>
      <c r="AL32" s="488" t="str">
        <f t="shared" si="11"/>
        <v/>
      </c>
      <c r="AM32" s="488" t="str">
        <f t="shared" si="12"/>
        <v/>
      </c>
      <c r="AN32" s="488">
        <f t="shared" si="13"/>
        <v>2</v>
      </c>
      <c r="AO32" s="488">
        <f t="shared" si="14"/>
        <v>3</v>
      </c>
      <c r="AP32" s="488">
        <f t="shared" si="15"/>
        <v>2</v>
      </c>
      <c r="AQ32" s="488" t="str">
        <f t="shared" si="16"/>
        <v/>
      </c>
      <c r="AR32" s="488">
        <f t="shared" si="17"/>
        <v>2</v>
      </c>
      <c r="AS32" s="488">
        <f t="shared" si="18"/>
        <v>2</v>
      </c>
      <c r="AT32" s="488">
        <f t="shared" si="19"/>
        <v>2</v>
      </c>
      <c r="AU32" s="488" t="str">
        <f t="shared" si="20"/>
        <v/>
      </c>
      <c r="AV32" s="488">
        <f t="shared" si="21"/>
        <v>3</v>
      </c>
      <c r="AW32" s="488" t="str">
        <f t="shared" si="22"/>
        <v/>
      </c>
      <c r="AX32" s="488" t="str">
        <f t="shared" si="23"/>
        <v/>
      </c>
      <c r="AY32" s="488" t="str">
        <f t="shared" si="24"/>
        <v/>
      </c>
      <c r="AZ32" s="488">
        <f t="shared" si="25"/>
        <v>1</v>
      </c>
      <c r="BA32" s="488" t="str">
        <f t="shared" si="26"/>
        <v/>
      </c>
      <c r="BB32" s="486">
        <f>IF('NH13-14'!B32="","",ROUND(SUMPRODUCT(AE32:BA32,$AE$7:$BA$7)/SUMIF(AE32:BA32,"&gt;=1",$AE$7:$BA$7),2))</f>
        <v>1.95</v>
      </c>
      <c r="BC32" s="527">
        <f t="shared" si="27"/>
        <v>5.3</v>
      </c>
      <c r="BD32" s="507">
        <f t="shared" si="28"/>
        <v>6.9</v>
      </c>
      <c r="BE32" s="507">
        <f t="shared" si="29"/>
        <v>5.9</v>
      </c>
      <c r="BF32" s="507">
        <f t="shared" si="30"/>
        <v>4.5999999999999996</v>
      </c>
      <c r="BG32" s="507">
        <f t="shared" si="31"/>
        <v>5.9</v>
      </c>
      <c r="BH32" s="507">
        <f t="shared" si="32"/>
        <v>5.6</v>
      </c>
      <c r="BI32" s="507">
        <f t="shared" si="33"/>
        <v>6.1</v>
      </c>
      <c r="BJ32" s="507" t="str">
        <f t="shared" si="34"/>
        <v/>
      </c>
      <c r="BK32" s="507" t="str">
        <f t="shared" si="35"/>
        <v/>
      </c>
      <c r="BL32" s="507">
        <f t="shared" si="36"/>
        <v>6.5</v>
      </c>
      <c r="BM32" s="507">
        <f t="shared" si="37"/>
        <v>7.4</v>
      </c>
      <c r="BN32" s="507">
        <f t="shared" si="38"/>
        <v>6.4</v>
      </c>
      <c r="BO32" s="507" t="str">
        <f t="shared" si="39"/>
        <v/>
      </c>
      <c r="BP32" s="507">
        <f t="shared" si="40"/>
        <v>5.5</v>
      </c>
      <c r="BQ32" s="507">
        <f t="shared" si="41"/>
        <v>6.5</v>
      </c>
      <c r="BR32" s="507">
        <f t="shared" si="42"/>
        <v>6.2</v>
      </c>
      <c r="BS32" s="507" t="str">
        <f t="shared" si="43"/>
        <v/>
      </c>
      <c r="BT32" s="507">
        <f t="shared" si="44"/>
        <v>7</v>
      </c>
      <c r="BU32" s="507" t="str">
        <f t="shared" si="45"/>
        <v/>
      </c>
      <c r="BV32" s="507" t="str">
        <f t="shared" si="46"/>
        <v/>
      </c>
      <c r="BW32" s="507" t="str">
        <f t="shared" si="47"/>
        <v/>
      </c>
      <c r="BX32" s="507">
        <f t="shared" si="48"/>
        <v>5</v>
      </c>
      <c r="BY32" s="507" t="str">
        <f t="shared" si="49"/>
        <v/>
      </c>
    </row>
    <row r="33" spans="1:77">
      <c r="A33" s="481">
        <f>IF('NH13-14'!A33="","",'NH13-14'!A33)</f>
        <v>23</v>
      </c>
      <c r="B33" s="482" t="str">
        <f>IF('NH13-14'!B33="","",'NH13-14'!B33)</f>
        <v>13D301Đ089</v>
      </c>
      <c r="C33" s="490">
        <f t="shared" si="2"/>
        <v>39</v>
      </c>
      <c r="D33" s="490">
        <f t="shared" si="3"/>
        <v>0</v>
      </c>
      <c r="E33" s="483" t="str">
        <f>IF('NH13-14'!C33="","",'NH13-14'!C33)</f>
        <v>Nguyễn Hữu</v>
      </c>
      <c r="F33" s="484" t="str">
        <f>IF('NH13-14'!D33="","",'NH13-14'!D33)</f>
        <v>Nghĩa</v>
      </c>
      <c r="G33" s="485">
        <f>IF('NH13-14'!I33="",'NH13-14'!H33,IF('NH13-14'!I33&gt;='NH13-14'!H33,'NH13-14'!I33,'NH13-14'!H33))</f>
        <v>6.3</v>
      </c>
      <c r="H33" s="485">
        <f>IF('NH13-14'!K33="",'NH13-14'!J33,IF('NH13-14'!K33&gt;='NH13-14'!J33,'NH13-14'!K33,'NH13-14'!J33))</f>
        <v>6.4</v>
      </c>
      <c r="I33" s="485">
        <f>IF('NH13-14'!M33="",'NH13-14'!L33,IF('NH13-14'!M33&gt;='NH13-14'!L33,'NH13-14'!M33,'NH13-14'!L33))</f>
        <v>5</v>
      </c>
      <c r="J33" s="485">
        <f>IF('NH13-14'!O33="",'NH13-14'!N33,IF('NH13-14'!O33&gt;='NH13-14'!N33,'NH13-14'!O33,'NH13-14'!N33))</f>
        <v>5.4</v>
      </c>
      <c r="K33" s="485">
        <f>IF('NH13-14'!Q33="",'NH13-14'!P33,IF('NH13-14'!Q33&gt;='NH13-14'!P33,'NH13-14'!Q33,'NH13-14'!P33))</f>
        <v>6.5</v>
      </c>
      <c r="L33" s="485">
        <f>IF('NH13-14'!S33="",'NH13-14'!R33,IF('NH13-14'!S33&gt;='NH13-14'!R33,'NH13-14'!S33,'NH13-14'!R33))</f>
        <v>6.5</v>
      </c>
      <c r="M33" s="485">
        <f>IF('NH13-14'!U33="",'NH13-14'!T33,IF('NH13-14'!U33&gt;='NH13-14'!T33,'NH13-14'!U33,'NH13-14'!T33))</f>
        <v>5.8</v>
      </c>
      <c r="N33" s="485" t="str">
        <f>IF('NH13-14'!W33="",'NH13-14'!V33,IF('NH13-14'!W33&gt;='NH13-14'!V33,'NH13-14'!W33,'NH13-14'!V33))</f>
        <v/>
      </c>
      <c r="O33" s="485" t="str">
        <f>IF('NH13-14'!Y33="",'NH13-14'!X33,IF('NH13-14'!Y33&gt;='NH13-14'!X33,'NH13-14'!Y33,'NH13-14'!X33))</f>
        <v/>
      </c>
      <c r="P33" s="485">
        <f>IF('NH13-14'!AA33="",'NH13-14'!Z33,IF('NH13-14'!AA33&gt;='NH13-14'!Z33,'NH13-14'!AA33,'NH13-14'!Z33))</f>
        <v>5</v>
      </c>
      <c r="Q33" s="485">
        <f>IF('NH13-14'!AC33="",'NH13-14'!AB33,IF('NH13-14'!AC33&gt;='NH13-14'!AB33,'NH13-14'!AC33,'NH13-14'!AB33))</f>
        <v>5.2</v>
      </c>
      <c r="R33" s="485">
        <f>IF('NH13-14'!AE33="",'NH13-14'!AD33,IF('NH13-14'!AE33&gt;='NH13-14'!AD33,'NH13-14'!AE33,'NH13-14'!AD33))</f>
        <v>5.9</v>
      </c>
      <c r="S33" s="485">
        <f>IF('NH13-14'!AG33="",'NH13-14'!AF33,IF('NH13-14'!AG33&gt;='NH13-14'!AF33,'NH13-14'!AG33,'NH13-14'!AF33))</f>
        <v>7.6</v>
      </c>
      <c r="T33" s="485" t="str">
        <f>IF('NH13-14'!AI33="",'NH13-14'!AH33,IF('NH13-14'!AI33&gt;='NH13-14'!AH33,'NH13-14'!AI33,'NH13-14'!AH33))</f>
        <v/>
      </c>
      <c r="U33" s="485">
        <f>IF('NH13-14'!AK33="",'NH13-14'!AJ33,IF('NH13-14'!AK33&gt;='NH13-14'!AJ33,'NH13-14'!AK33,'NH13-14'!AJ33))</f>
        <v>6.2</v>
      </c>
      <c r="V33" s="485">
        <f>IF('NH13-14'!AM33="",'NH13-14'!AL33,IF('NH13-14'!AM33&gt;='NH13-14'!AL33,'NH13-14'!AM33,'NH13-14'!AL33))</f>
        <v>6.6</v>
      </c>
      <c r="W33" s="485">
        <f>IF('NH13-14'!AO33="",'NH13-14'!AN33,IF('NH13-14'!AO33&gt;='NH13-14'!AN33,'NH13-14'!AO33,'NH13-14'!AN33))</f>
        <v>6</v>
      </c>
      <c r="X33" s="485">
        <f>IF('NH13-14'!AQ33="",'NH13-14'!AP33,IF('NH13-14'!AQ33&gt;='NH13-14'!AP33,'NH13-14'!AQ33,'NH13-14'!AP33))</f>
        <v>5.5</v>
      </c>
      <c r="Y33" s="485" t="str">
        <f>IF('NH13-14'!AS33="",'NH13-14'!AR33,IF('NH13-14'!AS33&gt;='NH13-14'!AR33,'NH13-14'!AS33,'NH13-14'!AR33))</f>
        <v/>
      </c>
      <c r="Z33" s="485" t="str">
        <f>IF('NH13-14'!AU33="",'NH13-14'!AT33,IF('NH13-14'!AU33&gt;='NH13-14'!AT33,'NH13-14'!AU33,'NH13-14'!AT33))</f>
        <v/>
      </c>
      <c r="AA33" s="485" t="str">
        <f>IF('NH13-14'!AW33="",'NH13-14'!AV33,IF('NH13-14'!AW33&gt;='NH13-14'!AV33,'NH13-14'!AW33,'NH13-14'!AV33))</f>
        <v/>
      </c>
      <c r="AB33" s="485">
        <f>IF('NH13-14'!AY33="",'NH13-14'!AX33,IF('NH13-14'!AY33&gt;='NH13-14'!AX33,'NH13-14'!AY33,'NH13-14'!AX33))</f>
        <v>6.7</v>
      </c>
      <c r="AC33" s="485" t="str">
        <f>IF('NH13-14'!BA33="",'NH13-14'!AZ33,IF('NH13-14'!BA33&gt;='NH13-14'!AZ33,'NH13-14'!BA33,'NH13-14'!AZ33))</f>
        <v/>
      </c>
      <c r="AD33" s="486">
        <f>IF('NH13-14'!B33="","",ROUND(SUMPRODUCT(G33:AC33,$G$7:$AC$7)/SUMIF(G33:AC33,"&gt;=0",$G$7:$AC$7),2))</f>
        <v>6.08</v>
      </c>
      <c r="AE33" s="487">
        <f t="shared" si="4"/>
        <v>2</v>
      </c>
      <c r="AF33" s="488">
        <f t="shared" si="5"/>
        <v>2</v>
      </c>
      <c r="AG33" s="488">
        <f t="shared" si="6"/>
        <v>1</v>
      </c>
      <c r="AH33" s="488">
        <f t="shared" si="7"/>
        <v>1</v>
      </c>
      <c r="AI33" s="488">
        <f t="shared" si="8"/>
        <v>2</v>
      </c>
      <c r="AJ33" s="488">
        <f t="shared" si="9"/>
        <v>2</v>
      </c>
      <c r="AK33" s="488">
        <f t="shared" si="10"/>
        <v>2</v>
      </c>
      <c r="AL33" s="488" t="str">
        <f t="shared" si="11"/>
        <v/>
      </c>
      <c r="AM33" s="488" t="str">
        <f t="shared" si="12"/>
        <v/>
      </c>
      <c r="AN33" s="488">
        <f t="shared" si="13"/>
        <v>1</v>
      </c>
      <c r="AO33" s="488">
        <f t="shared" si="14"/>
        <v>1</v>
      </c>
      <c r="AP33" s="488">
        <f t="shared" si="15"/>
        <v>2</v>
      </c>
      <c r="AQ33" s="488">
        <f t="shared" si="16"/>
        <v>3</v>
      </c>
      <c r="AR33" s="488" t="str">
        <f t="shared" si="17"/>
        <v/>
      </c>
      <c r="AS33" s="488">
        <f t="shared" si="18"/>
        <v>2</v>
      </c>
      <c r="AT33" s="488">
        <f t="shared" si="19"/>
        <v>2</v>
      </c>
      <c r="AU33" s="488">
        <f t="shared" si="20"/>
        <v>2</v>
      </c>
      <c r="AV33" s="488">
        <f t="shared" si="21"/>
        <v>2</v>
      </c>
      <c r="AW33" s="488" t="str">
        <f t="shared" si="22"/>
        <v/>
      </c>
      <c r="AX33" s="488" t="str">
        <f t="shared" si="23"/>
        <v/>
      </c>
      <c r="AY33" s="488" t="str">
        <f t="shared" si="24"/>
        <v/>
      </c>
      <c r="AZ33" s="488">
        <f t="shared" si="25"/>
        <v>2</v>
      </c>
      <c r="BA33" s="488" t="str">
        <f t="shared" si="26"/>
        <v/>
      </c>
      <c r="BB33" s="486">
        <f>IF('NH13-14'!B33="","",ROUND(SUMPRODUCT(AE33:BA33,$AE$7:$BA$7)/SUMIF(AE33:BA33,"&gt;=1",$AE$7:$BA$7),2))</f>
        <v>1.82</v>
      </c>
      <c r="BC33" s="527">
        <f t="shared" si="27"/>
        <v>6.3</v>
      </c>
      <c r="BD33" s="507">
        <f t="shared" si="28"/>
        <v>6.4</v>
      </c>
      <c r="BE33" s="507">
        <f t="shared" si="29"/>
        <v>5</v>
      </c>
      <c r="BF33" s="507">
        <f t="shared" si="30"/>
        <v>5.4</v>
      </c>
      <c r="BG33" s="507">
        <f t="shared" si="31"/>
        <v>6.5</v>
      </c>
      <c r="BH33" s="507">
        <f t="shared" si="32"/>
        <v>6.5</v>
      </c>
      <c r="BI33" s="507">
        <f t="shared" si="33"/>
        <v>5.8</v>
      </c>
      <c r="BJ33" s="507" t="str">
        <f t="shared" si="34"/>
        <v/>
      </c>
      <c r="BK33" s="507" t="str">
        <f t="shared" si="35"/>
        <v/>
      </c>
      <c r="BL33" s="507">
        <f t="shared" si="36"/>
        <v>5</v>
      </c>
      <c r="BM33" s="507">
        <f t="shared" si="37"/>
        <v>5.2</v>
      </c>
      <c r="BN33" s="507">
        <f t="shared" si="38"/>
        <v>5.9</v>
      </c>
      <c r="BO33" s="507">
        <f t="shared" si="39"/>
        <v>7.6</v>
      </c>
      <c r="BP33" s="507" t="str">
        <f t="shared" si="40"/>
        <v/>
      </c>
      <c r="BQ33" s="507">
        <f t="shared" si="41"/>
        <v>6.2</v>
      </c>
      <c r="BR33" s="507">
        <f t="shared" si="42"/>
        <v>6.6</v>
      </c>
      <c r="BS33" s="507">
        <f t="shared" si="43"/>
        <v>6</v>
      </c>
      <c r="BT33" s="507">
        <f t="shared" si="44"/>
        <v>5.5</v>
      </c>
      <c r="BU33" s="507" t="str">
        <f t="shared" si="45"/>
        <v/>
      </c>
      <c r="BV33" s="507" t="str">
        <f t="shared" si="46"/>
        <v/>
      </c>
      <c r="BW33" s="507" t="str">
        <f t="shared" si="47"/>
        <v/>
      </c>
      <c r="BX33" s="507">
        <f t="shared" si="48"/>
        <v>6.7</v>
      </c>
      <c r="BY33" s="507" t="str">
        <f t="shared" si="49"/>
        <v/>
      </c>
    </row>
    <row r="34" spans="1:77">
      <c r="A34" s="481">
        <f>IF('NH13-14'!A34="","",'NH13-14'!A34)</f>
        <v>24</v>
      </c>
      <c r="B34" s="482" t="str">
        <f>IF('NH13-14'!B34="","",'NH13-14'!B34)</f>
        <v>13D301Đ097</v>
      </c>
      <c r="C34" s="490">
        <f t="shared" si="2"/>
        <v>39</v>
      </c>
      <c r="D34" s="490">
        <f t="shared" si="3"/>
        <v>0</v>
      </c>
      <c r="E34" s="483" t="str">
        <f>IF('NH13-14'!C34="","",'NH13-14'!C34)</f>
        <v>Nguyễn Thành</v>
      </c>
      <c r="F34" s="484" t="str">
        <f>IF('NH13-14'!D34="","",'NH13-14'!D34)</f>
        <v>Phát</v>
      </c>
      <c r="G34" s="485">
        <f>IF('NH13-14'!I34="",'NH13-14'!H34,IF('NH13-14'!I34&gt;='NH13-14'!H34,'NH13-14'!I34,'NH13-14'!H34))</f>
        <v>5.7</v>
      </c>
      <c r="H34" s="485">
        <f>IF('NH13-14'!K34="",'NH13-14'!J34,IF('NH13-14'!K34&gt;='NH13-14'!J34,'NH13-14'!K34,'NH13-14'!J34))</f>
        <v>5</v>
      </c>
      <c r="I34" s="485">
        <f>IF('NH13-14'!M34="",'NH13-14'!L34,IF('NH13-14'!M34&gt;='NH13-14'!L34,'NH13-14'!M34,'NH13-14'!L34))</f>
        <v>6.4</v>
      </c>
      <c r="J34" s="485">
        <f>IF('NH13-14'!O34="",'NH13-14'!N34,IF('NH13-14'!O34&gt;='NH13-14'!N34,'NH13-14'!O34,'NH13-14'!N34))</f>
        <v>7</v>
      </c>
      <c r="K34" s="485">
        <f>IF('NH13-14'!Q34="",'NH13-14'!P34,IF('NH13-14'!Q34&gt;='NH13-14'!P34,'NH13-14'!Q34,'NH13-14'!P34))</f>
        <v>5.6</v>
      </c>
      <c r="L34" s="485">
        <f>IF('NH13-14'!S34="",'NH13-14'!R34,IF('NH13-14'!S34&gt;='NH13-14'!R34,'NH13-14'!S34,'NH13-14'!R34))</f>
        <v>6.1</v>
      </c>
      <c r="M34" s="485">
        <f>IF('NH13-14'!U34="",'NH13-14'!T34,IF('NH13-14'!U34&gt;='NH13-14'!T34,'NH13-14'!U34,'NH13-14'!T34))</f>
        <v>7.4</v>
      </c>
      <c r="N34" s="485" t="str">
        <f>IF('NH13-14'!W34="",'NH13-14'!V34,IF('NH13-14'!W34&gt;='NH13-14'!V34,'NH13-14'!W34,'NH13-14'!V34))</f>
        <v/>
      </c>
      <c r="O34" s="485" t="str">
        <f>IF('NH13-14'!Y34="",'NH13-14'!X34,IF('NH13-14'!Y34&gt;='NH13-14'!X34,'NH13-14'!Y34,'NH13-14'!X34))</f>
        <v/>
      </c>
      <c r="P34" s="485">
        <f>IF('NH13-14'!AA34="",'NH13-14'!Z34,IF('NH13-14'!AA34&gt;='NH13-14'!Z34,'NH13-14'!AA34,'NH13-14'!Z34))</f>
        <v>5.3</v>
      </c>
      <c r="Q34" s="485">
        <f>IF('NH13-14'!AC34="",'NH13-14'!AB34,IF('NH13-14'!AC34&gt;='NH13-14'!AB34,'NH13-14'!AC34,'NH13-14'!AB34))</f>
        <v>5.4</v>
      </c>
      <c r="R34" s="485" t="str">
        <f>IF('NH13-14'!AE34="",'NH13-14'!AD34,IF('NH13-14'!AE34&gt;='NH13-14'!AD34,'NH13-14'!AE34,'NH13-14'!AD34))</f>
        <v/>
      </c>
      <c r="S34" s="485">
        <f>IF('NH13-14'!AG34="",'NH13-14'!AF34,IF('NH13-14'!AG34&gt;='NH13-14'!AF34,'NH13-14'!AG34,'NH13-14'!AF34))</f>
        <v>8.1999999999999993</v>
      </c>
      <c r="T34" s="485">
        <f>IF('NH13-14'!AI34="",'NH13-14'!AH34,IF('NH13-14'!AI34&gt;='NH13-14'!AH34,'NH13-14'!AI34,'NH13-14'!AH34))</f>
        <v>7.2</v>
      </c>
      <c r="U34" s="485">
        <f>IF('NH13-14'!AK34="",'NH13-14'!AJ34,IF('NH13-14'!AK34&gt;='NH13-14'!AJ34,'NH13-14'!AK34,'NH13-14'!AJ34))</f>
        <v>7.3</v>
      </c>
      <c r="V34" s="485">
        <f>IF('NH13-14'!AM34="",'NH13-14'!AL34,IF('NH13-14'!AM34&gt;='NH13-14'!AL34,'NH13-14'!AM34,'NH13-14'!AL34))</f>
        <v>7.6</v>
      </c>
      <c r="W34" s="485">
        <f>IF('NH13-14'!AO34="",'NH13-14'!AN34,IF('NH13-14'!AO34&gt;='NH13-14'!AN34,'NH13-14'!AO34,'NH13-14'!AN34))</f>
        <v>7.4</v>
      </c>
      <c r="X34" s="485">
        <f>IF('NH13-14'!AQ34="",'NH13-14'!AP34,IF('NH13-14'!AQ34&gt;='NH13-14'!AP34,'NH13-14'!AQ34,'NH13-14'!AP34))</f>
        <v>7.6</v>
      </c>
      <c r="Y34" s="485" t="str">
        <f>IF('NH13-14'!AS34="",'NH13-14'!AR34,IF('NH13-14'!AS34&gt;='NH13-14'!AR34,'NH13-14'!AS34,'NH13-14'!AR34))</f>
        <v/>
      </c>
      <c r="Z34" s="485" t="str">
        <f>IF('NH13-14'!AU34="",'NH13-14'!AT34,IF('NH13-14'!AU34&gt;='NH13-14'!AT34,'NH13-14'!AU34,'NH13-14'!AT34))</f>
        <v/>
      </c>
      <c r="AA34" s="485" t="str">
        <f>IF('NH13-14'!AW34="",'NH13-14'!AV34,IF('NH13-14'!AW34&gt;='NH13-14'!AV34,'NH13-14'!AW34,'NH13-14'!AV34))</f>
        <v/>
      </c>
      <c r="AB34" s="485">
        <f>IF('NH13-14'!AY34="",'NH13-14'!AX34,IF('NH13-14'!AY34&gt;='NH13-14'!AX34,'NH13-14'!AY34,'NH13-14'!AX34))</f>
        <v>7.2</v>
      </c>
      <c r="AC34" s="485" t="str">
        <f>IF('NH13-14'!BA34="",'NH13-14'!AZ34,IF('NH13-14'!BA34&gt;='NH13-14'!AZ34,'NH13-14'!BA34,'NH13-14'!AZ34))</f>
        <v/>
      </c>
      <c r="AD34" s="486">
        <f>IF('NH13-14'!B34="","",ROUND(SUMPRODUCT(G34:AC34,$G$7:$AC$7)/SUMIF(G34:AC34,"&gt;=0",$G$7:$AC$7),2))</f>
        <v>6.48</v>
      </c>
      <c r="AE34" s="487">
        <f t="shared" si="4"/>
        <v>2</v>
      </c>
      <c r="AF34" s="488">
        <f t="shared" si="5"/>
        <v>1</v>
      </c>
      <c r="AG34" s="488">
        <f t="shared" si="6"/>
        <v>2</v>
      </c>
      <c r="AH34" s="488">
        <f t="shared" si="7"/>
        <v>3</v>
      </c>
      <c r="AI34" s="488">
        <f t="shared" si="8"/>
        <v>2</v>
      </c>
      <c r="AJ34" s="488">
        <f t="shared" si="9"/>
        <v>2</v>
      </c>
      <c r="AK34" s="488">
        <f t="shared" si="10"/>
        <v>3</v>
      </c>
      <c r="AL34" s="488" t="str">
        <f t="shared" si="11"/>
        <v/>
      </c>
      <c r="AM34" s="488" t="str">
        <f t="shared" si="12"/>
        <v/>
      </c>
      <c r="AN34" s="488">
        <f t="shared" si="13"/>
        <v>1</v>
      </c>
      <c r="AO34" s="488">
        <f t="shared" si="14"/>
        <v>1</v>
      </c>
      <c r="AP34" s="488" t="str">
        <f t="shared" si="15"/>
        <v/>
      </c>
      <c r="AQ34" s="488">
        <f t="shared" si="16"/>
        <v>3</v>
      </c>
      <c r="AR34" s="488">
        <f t="shared" si="17"/>
        <v>3</v>
      </c>
      <c r="AS34" s="488">
        <f t="shared" si="18"/>
        <v>3</v>
      </c>
      <c r="AT34" s="488">
        <f t="shared" si="19"/>
        <v>3</v>
      </c>
      <c r="AU34" s="488">
        <f t="shared" si="20"/>
        <v>3</v>
      </c>
      <c r="AV34" s="488">
        <f t="shared" si="21"/>
        <v>3</v>
      </c>
      <c r="AW34" s="488" t="str">
        <f t="shared" si="22"/>
        <v/>
      </c>
      <c r="AX34" s="488" t="str">
        <f t="shared" si="23"/>
        <v/>
      </c>
      <c r="AY34" s="488" t="str">
        <f t="shared" si="24"/>
        <v/>
      </c>
      <c r="AZ34" s="488">
        <f t="shared" si="25"/>
        <v>3</v>
      </c>
      <c r="BA34" s="488" t="str">
        <f t="shared" si="26"/>
        <v/>
      </c>
      <c r="BB34" s="486">
        <f>IF('NH13-14'!B34="","",ROUND(SUMPRODUCT(AE34:BA34,$AE$7:$BA$7)/SUMIF(AE34:BA34,"&gt;=1",$AE$7:$BA$7),2))</f>
        <v>2.2599999999999998</v>
      </c>
      <c r="BC34" s="527">
        <f t="shared" si="27"/>
        <v>5.7</v>
      </c>
      <c r="BD34" s="507">
        <f t="shared" si="28"/>
        <v>5</v>
      </c>
      <c r="BE34" s="507">
        <f t="shared" si="29"/>
        <v>6.4</v>
      </c>
      <c r="BF34" s="507">
        <f t="shared" si="30"/>
        <v>7</v>
      </c>
      <c r="BG34" s="507">
        <f t="shared" si="31"/>
        <v>5.6</v>
      </c>
      <c r="BH34" s="507">
        <f t="shared" si="32"/>
        <v>6.1</v>
      </c>
      <c r="BI34" s="507">
        <f t="shared" si="33"/>
        <v>7.4</v>
      </c>
      <c r="BJ34" s="507" t="str">
        <f t="shared" si="34"/>
        <v/>
      </c>
      <c r="BK34" s="507" t="str">
        <f t="shared" si="35"/>
        <v/>
      </c>
      <c r="BL34" s="507">
        <f t="shared" si="36"/>
        <v>5.3</v>
      </c>
      <c r="BM34" s="507">
        <f t="shared" si="37"/>
        <v>5.4</v>
      </c>
      <c r="BN34" s="507" t="str">
        <f t="shared" si="38"/>
        <v/>
      </c>
      <c r="BO34" s="507">
        <f t="shared" si="39"/>
        <v>8.1999999999999993</v>
      </c>
      <c r="BP34" s="507">
        <f t="shared" si="40"/>
        <v>7.2</v>
      </c>
      <c r="BQ34" s="507">
        <f t="shared" si="41"/>
        <v>7.3</v>
      </c>
      <c r="BR34" s="507">
        <f t="shared" si="42"/>
        <v>7.6</v>
      </c>
      <c r="BS34" s="507">
        <f t="shared" si="43"/>
        <v>7.4</v>
      </c>
      <c r="BT34" s="507">
        <f t="shared" si="44"/>
        <v>7.6</v>
      </c>
      <c r="BU34" s="507" t="str">
        <f t="shared" si="45"/>
        <v/>
      </c>
      <c r="BV34" s="507" t="str">
        <f t="shared" si="46"/>
        <v/>
      </c>
      <c r="BW34" s="507" t="str">
        <f t="shared" si="47"/>
        <v/>
      </c>
      <c r="BX34" s="507">
        <f t="shared" si="48"/>
        <v>7.2</v>
      </c>
      <c r="BY34" s="507" t="str">
        <f t="shared" si="49"/>
        <v/>
      </c>
    </row>
    <row r="35" spans="1:77">
      <c r="A35" s="481">
        <f>IF('NH13-14'!A35="","",'NH13-14'!A35)</f>
        <v>25</v>
      </c>
      <c r="B35" s="482" t="str">
        <f>IF('NH13-14'!B35="","",'NH13-14'!B35)</f>
        <v>13D301Đ101</v>
      </c>
      <c r="C35" s="490">
        <f t="shared" si="2"/>
        <v>37</v>
      </c>
      <c r="D35" s="490">
        <f t="shared" si="3"/>
        <v>2</v>
      </c>
      <c r="E35" s="483" t="str">
        <f>IF('NH13-14'!C35="","",'NH13-14'!C35)</f>
        <v>Huỳnh Thanh</v>
      </c>
      <c r="F35" s="484" t="str">
        <f>IF('NH13-14'!D35="","",'NH13-14'!D35)</f>
        <v>Phú</v>
      </c>
      <c r="G35" s="485">
        <f>IF('NH13-14'!I35="",'NH13-14'!H35,IF('NH13-14'!I35&gt;='NH13-14'!H35,'NH13-14'!I35,'NH13-14'!H35))</f>
        <v>5</v>
      </c>
      <c r="H35" s="485">
        <f>IF('NH13-14'!K35="",'NH13-14'!J35,IF('NH13-14'!K35&gt;='NH13-14'!J35,'NH13-14'!K35,'NH13-14'!J35))</f>
        <v>6.2</v>
      </c>
      <c r="I35" s="485">
        <f>IF('NH13-14'!M35="",'NH13-14'!L35,IF('NH13-14'!M35&gt;='NH13-14'!L35,'NH13-14'!M35,'NH13-14'!L35))</f>
        <v>4.7</v>
      </c>
      <c r="J35" s="485">
        <f>IF('NH13-14'!O35="",'NH13-14'!N35,IF('NH13-14'!O35&gt;='NH13-14'!N35,'NH13-14'!O35,'NH13-14'!N35))</f>
        <v>4.5</v>
      </c>
      <c r="K35" s="485">
        <f>IF('NH13-14'!Q35="",'NH13-14'!P35,IF('NH13-14'!Q35&gt;='NH13-14'!P35,'NH13-14'!Q35,'NH13-14'!P35))</f>
        <v>5.8</v>
      </c>
      <c r="L35" s="485">
        <f>IF('NH13-14'!S35="",'NH13-14'!R35,IF('NH13-14'!S35&gt;='NH13-14'!R35,'NH13-14'!S35,'NH13-14'!R35))</f>
        <v>5.9</v>
      </c>
      <c r="M35" s="485">
        <f>IF('NH13-14'!U35="",'NH13-14'!T35,IF('NH13-14'!U35&gt;='NH13-14'!T35,'NH13-14'!U35,'NH13-14'!T35))</f>
        <v>5.0999999999999996</v>
      </c>
      <c r="N35" s="485" t="str">
        <f>IF('NH13-14'!W35="",'NH13-14'!V35,IF('NH13-14'!W35&gt;='NH13-14'!V35,'NH13-14'!W35,'NH13-14'!V35))</f>
        <v/>
      </c>
      <c r="O35" s="485" t="str">
        <f>IF('NH13-14'!Y35="",'NH13-14'!X35,IF('NH13-14'!Y35&gt;='NH13-14'!X35,'NH13-14'!Y35,'NH13-14'!X35))</f>
        <v/>
      </c>
      <c r="P35" s="485">
        <f>IF('NH13-14'!AA35="",'NH13-14'!Z35,IF('NH13-14'!AA35&gt;='NH13-14'!Z35,'NH13-14'!AA35,'NH13-14'!Z35))</f>
        <v>5.2</v>
      </c>
      <c r="Q35" s="485">
        <f>IF('NH13-14'!AC35="",'NH13-14'!AB35,IF('NH13-14'!AC35&gt;='NH13-14'!AB35,'NH13-14'!AC35,'NH13-14'!AB35))</f>
        <v>4.0999999999999996</v>
      </c>
      <c r="R35" s="485" t="str">
        <f>IF('NH13-14'!AE35="",'NH13-14'!AD35,IF('NH13-14'!AE35&gt;='NH13-14'!AD35,'NH13-14'!AE35,'NH13-14'!AD35))</f>
        <v/>
      </c>
      <c r="S35" s="485">
        <f>IF('NH13-14'!AG35="",'NH13-14'!AF35,IF('NH13-14'!AG35&gt;='NH13-14'!AF35,'NH13-14'!AG35,'NH13-14'!AF35))</f>
        <v>5.0999999999999996</v>
      </c>
      <c r="T35" s="485">
        <f>IF('NH13-14'!AI35="",'NH13-14'!AH35,IF('NH13-14'!AI35&gt;='NH13-14'!AH35,'NH13-14'!AI35,'NH13-14'!AH35))</f>
        <v>4.9000000000000004</v>
      </c>
      <c r="U35" s="485">
        <f>IF('NH13-14'!AK35="",'NH13-14'!AJ35,IF('NH13-14'!AK35&gt;='NH13-14'!AJ35,'NH13-14'!AK35,'NH13-14'!AJ35))</f>
        <v>5.9</v>
      </c>
      <c r="V35" s="485">
        <f>IF('NH13-14'!AM35="",'NH13-14'!AL35,IF('NH13-14'!AM35&gt;='NH13-14'!AL35,'NH13-14'!AM35,'NH13-14'!AL35))</f>
        <v>5.9</v>
      </c>
      <c r="W35" s="485">
        <f>IF('NH13-14'!AO35="",'NH13-14'!AN35,IF('NH13-14'!AO35&gt;='NH13-14'!AN35,'NH13-14'!AO35,'NH13-14'!AN35))</f>
        <v>2</v>
      </c>
      <c r="X35" s="485">
        <f>IF('NH13-14'!AQ35="",'NH13-14'!AP35,IF('NH13-14'!AQ35&gt;='NH13-14'!AP35,'NH13-14'!AQ35,'NH13-14'!AP35))</f>
        <v>6.4</v>
      </c>
      <c r="Y35" s="485" t="str">
        <f>IF('NH13-14'!AS35="",'NH13-14'!AR35,IF('NH13-14'!AS35&gt;='NH13-14'!AR35,'NH13-14'!AS35,'NH13-14'!AR35))</f>
        <v/>
      </c>
      <c r="Z35" s="485" t="str">
        <f>IF('NH13-14'!AU35="",'NH13-14'!AT35,IF('NH13-14'!AU35&gt;='NH13-14'!AT35,'NH13-14'!AU35,'NH13-14'!AT35))</f>
        <v/>
      </c>
      <c r="AA35" s="485" t="str">
        <f>IF('NH13-14'!AW35="",'NH13-14'!AV35,IF('NH13-14'!AW35&gt;='NH13-14'!AV35,'NH13-14'!AW35,'NH13-14'!AV35))</f>
        <v/>
      </c>
      <c r="AB35" s="485">
        <f>IF('NH13-14'!AY35="",'NH13-14'!AX35,IF('NH13-14'!AY35&gt;='NH13-14'!AX35,'NH13-14'!AY35,'NH13-14'!AX35))</f>
        <v>5.8</v>
      </c>
      <c r="AC35" s="485" t="str">
        <f>IF('NH13-14'!BA35="",'NH13-14'!AZ35,IF('NH13-14'!BA35&gt;='NH13-14'!AZ35,'NH13-14'!BA35,'NH13-14'!AZ35))</f>
        <v/>
      </c>
      <c r="AD35" s="486">
        <f>IF('NH13-14'!B35="","",ROUND(SUMPRODUCT(G35:AC35,$G$7:$AC$7)/SUMIF(G35:AC35,"&gt;=0",$G$7:$AC$7),2))</f>
        <v>5.23</v>
      </c>
      <c r="AE35" s="487">
        <f t="shared" si="4"/>
        <v>1</v>
      </c>
      <c r="AF35" s="488">
        <f t="shared" si="5"/>
        <v>2</v>
      </c>
      <c r="AG35" s="488">
        <f t="shared" si="6"/>
        <v>1</v>
      </c>
      <c r="AH35" s="488">
        <f t="shared" si="7"/>
        <v>1</v>
      </c>
      <c r="AI35" s="488">
        <f t="shared" si="8"/>
        <v>2</v>
      </c>
      <c r="AJ35" s="488">
        <f t="shared" si="9"/>
        <v>2</v>
      </c>
      <c r="AK35" s="488">
        <f t="shared" si="10"/>
        <v>1</v>
      </c>
      <c r="AL35" s="488" t="str">
        <f t="shared" si="11"/>
        <v/>
      </c>
      <c r="AM35" s="488" t="str">
        <f t="shared" si="12"/>
        <v/>
      </c>
      <c r="AN35" s="488">
        <f t="shared" si="13"/>
        <v>1</v>
      </c>
      <c r="AO35" s="488">
        <f t="shared" si="14"/>
        <v>1</v>
      </c>
      <c r="AP35" s="488" t="str">
        <f t="shared" si="15"/>
        <v/>
      </c>
      <c r="AQ35" s="488">
        <f t="shared" si="16"/>
        <v>1</v>
      </c>
      <c r="AR35" s="488">
        <f t="shared" si="17"/>
        <v>1</v>
      </c>
      <c r="AS35" s="488">
        <f t="shared" si="18"/>
        <v>2</v>
      </c>
      <c r="AT35" s="488">
        <f t="shared" si="19"/>
        <v>2</v>
      </c>
      <c r="AU35" s="488" t="str">
        <f t="shared" si="20"/>
        <v/>
      </c>
      <c r="AV35" s="488">
        <f t="shared" si="21"/>
        <v>2</v>
      </c>
      <c r="AW35" s="488" t="str">
        <f t="shared" si="22"/>
        <v/>
      </c>
      <c r="AX35" s="488" t="str">
        <f t="shared" si="23"/>
        <v/>
      </c>
      <c r="AY35" s="488" t="str">
        <f t="shared" si="24"/>
        <v/>
      </c>
      <c r="AZ35" s="488">
        <f t="shared" si="25"/>
        <v>2</v>
      </c>
      <c r="BA35" s="488" t="str">
        <f t="shared" si="26"/>
        <v/>
      </c>
      <c r="BB35" s="486">
        <f>IF('NH13-14'!B35="","",ROUND(SUMPRODUCT(AE35:BA35,$AE$7:$BA$7)/SUMIF(AE35:BA35,"&gt;=1",$AE$7:$BA$7),2))</f>
        <v>1.51</v>
      </c>
      <c r="BC35" s="527">
        <f t="shared" si="27"/>
        <v>5</v>
      </c>
      <c r="BD35" s="507">
        <f t="shared" si="28"/>
        <v>6.2</v>
      </c>
      <c r="BE35" s="507">
        <f t="shared" si="29"/>
        <v>4.7</v>
      </c>
      <c r="BF35" s="507">
        <f t="shared" si="30"/>
        <v>4.5</v>
      </c>
      <c r="BG35" s="507">
        <f t="shared" si="31"/>
        <v>5.8</v>
      </c>
      <c r="BH35" s="507">
        <f t="shared" si="32"/>
        <v>5.9</v>
      </c>
      <c r="BI35" s="507">
        <f t="shared" si="33"/>
        <v>5.0999999999999996</v>
      </c>
      <c r="BJ35" s="507" t="str">
        <f t="shared" si="34"/>
        <v/>
      </c>
      <c r="BK35" s="507" t="str">
        <f t="shared" si="35"/>
        <v/>
      </c>
      <c r="BL35" s="507">
        <f t="shared" si="36"/>
        <v>5.2</v>
      </c>
      <c r="BM35" s="507">
        <f t="shared" si="37"/>
        <v>4.0999999999999996</v>
      </c>
      <c r="BN35" s="507" t="str">
        <f t="shared" si="38"/>
        <v/>
      </c>
      <c r="BO35" s="507">
        <f t="shared" si="39"/>
        <v>5.0999999999999996</v>
      </c>
      <c r="BP35" s="507">
        <f t="shared" si="40"/>
        <v>4.9000000000000004</v>
      </c>
      <c r="BQ35" s="507">
        <f t="shared" si="41"/>
        <v>5.9</v>
      </c>
      <c r="BR35" s="507">
        <f t="shared" si="42"/>
        <v>5.9</v>
      </c>
      <c r="BS35" s="507" t="str">
        <f t="shared" si="43"/>
        <v/>
      </c>
      <c r="BT35" s="507">
        <f t="shared" si="44"/>
        <v>6.4</v>
      </c>
      <c r="BU35" s="507" t="str">
        <f t="shared" si="45"/>
        <v/>
      </c>
      <c r="BV35" s="507" t="str">
        <f t="shared" si="46"/>
        <v/>
      </c>
      <c r="BW35" s="507" t="str">
        <f t="shared" si="47"/>
        <v/>
      </c>
      <c r="BX35" s="507">
        <f t="shared" si="48"/>
        <v>5.8</v>
      </c>
      <c r="BY35" s="507" t="str">
        <f t="shared" si="49"/>
        <v/>
      </c>
    </row>
    <row r="36" spans="1:77">
      <c r="A36" s="481">
        <f>IF('NH13-14'!A36="","",'NH13-14'!A36)</f>
        <v>26</v>
      </c>
      <c r="B36" s="482" t="str">
        <f>IF('NH13-14'!B36="","",'NH13-14'!B36)</f>
        <v>13D301Đ113</v>
      </c>
      <c r="C36" s="490">
        <f t="shared" si="2"/>
        <v>12</v>
      </c>
      <c r="D36" s="490">
        <f t="shared" si="3"/>
        <v>25</v>
      </c>
      <c r="E36" s="483" t="str">
        <f>IF('NH13-14'!C36="","",'NH13-14'!C36)</f>
        <v>Trần Xuân</v>
      </c>
      <c r="F36" s="484" t="str">
        <f>IF('NH13-14'!D36="","",'NH13-14'!D36)</f>
        <v>Sang</v>
      </c>
      <c r="G36" s="485">
        <f>IF('NH13-14'!I36="",'NH13-14'!H36,IF('NH13-14'!I36&gt;='NH13-14'!H36,'NH13-14'!I36,'NH13-14'!H36))</f>
        <v>3.3</v>
      </c>
      <c r="H36" s="485">
        <f>IF('NH13-14'!K36="",'NH13-14'!J36,IF('NH13-14'!K36&gt;='NH13-14'!J36,'NH13-14'!K36,'NH13-14'!J36))</f>
        <v>5.5</v>
      </c>
      <c r="I36" s="485">
        <f>IF('NH13-14'!M36="",'NH13-14'!L36,IF('NH13-14'!M36&gt;='NH13-14'!L36,'NH13-14'!M36,'NH13-14'!L36))</f>
        <v>5</v>
      </c>
      <c r="J36" s="485">
        <f>IF('NH13-14'!O36="",'NH13-14'!N36,IF('NH13-14'!O36&gt;='NH13-14'!N36,'NH13-14'!O36,'NH13-14'!N36))</f>
        <v>3.3</v>
      </c>
      <c r="K36" s="485">
        <f>IF('NH13-14'!Q36="",'NH13-14'!P36,IF('NH13-14'!Q36&gt;='NH13-14'!P36,'NH13-14'!Q36,'NH13-14'!P36))</f>
        <v>3.2</v>
      </c>
      <c r="L36" s="485">
        <f>IF('NH13-14'!S36="",'NH13-14'!R36,IF('NH13-14'!S36&gt;='NH13-14'!R36,'NH13-14'!S36,'NH13-14'!R36))</f>
        <v>5</v>
      </c>
      <c r="M36" s="485">
        <f>IF('NH13-14'!U36="",'NH13-14'!T36,IF('NH13-14'!U36&gt;='NH13-14'!T36,'NH13-14'!U36,'NH13-14'!T36))</f>
        <v>5</v>
      </c>
      <c r="N36" s="485" t="str">
        <f>IF('NH13-14'!W36="",'NH13-14'!V36,IF('NH13-14'!W36&gt;='NH13-14'!V36,'NH13-14'!W36,'NH13-14'!V36))</f>
        <v/>
      </c>
      <c r="O36" s="485" t="str">
        <f>IF('NH13-14'!Y36="",'NH13-14'!X36,IF('NH13-14'!Y36&gt;='NH13-14'!X36,'NH13-14'!Y36,'NH13-14'!X36))</f>
        <v/>
      </c>
      <c r="P36" s="485">
        <f>IF('NH13-14'!AA36="",'NH13-14'!Z36,IF('NH13-14'!AA36&gt;='NH13-14'!Z36,'NH13-14'!AA36,'NH13-14'!Z36))</f>
        <v>0</v>
      </c>
      <c r="Q36" s="485">
        <f>IF('NH13-14'!AC36="",'NH13-14'!AB36,IF('NH13-14'!AC36&gt;='NH13-14'!AB36,'NH13-14'!AC36,'NH13-14'!AB36))</f>
        <v>0.1</v>
      </c>
      <c r="R36" s="485" t="str">
        <f>IF('NH13-14'!AE36="",'NH13-14'!AD36,IF('NH13-14'!AE36&gt;='NH13-14'!AD36,'NH13-14'!AE36,'NH13-14'!AD36))</f>
        <v/>
      </c>
      <c r="S36" s="485" t="str">
        <f>IF('NH13-14'!AG36="",'NH13-14'!AF36,IF('NH13-14'!AG36&gt;='NH13-14'!AF36,'NH13-14'!AG36,'NH13-14'!AF36))</f>
        <v/>
      </c>
      <c r="T36" s="485">
        <f>IF('NH13-14'!AI36="",'NH13-14'!AH36,IF('NH13-14'!AI36&gt;='NH13-14'!AH36,'NH13-14'!AI36,'NH13-14'!AH36))</f>
        <v>0</v>
      </c>
      <c r="U36" s="485">
        <f>IF('NH13-14'!AK36="",'NH13-14'!AJ36,IF('NH13-14'!AK36&gt;='NH13-14'!AJ36,'NH13-14'!AK36,'NH13-14'!AJ36))</f>
        <v>0</v>
      </c>
      <c r="V36" s="485">
        <f>IF('NH13-14'!AM36="",'NH13-14'!AL36,IF('NH13-14'!AM36&gt;='NH13-14'!AL36,'NH13-14'!AM36,'NH13-14'!AL36))</f>
        <v>0</v>
      </c>
      <c r="W36" s="485">
        <f>IF('NH13-14'!AO36="",'NH13-14'!AN36,IF('NH13-14'!AO36&gt;='NH13-14'!AN36,'NH13-14'!AO36,'NH13-14'!AN36))</f>
        <v>0</v>
      </c>
      <c r="X36" s="485">
        <f>IF('NH13-14'!AQ36="",'NH13-14'!AP36,IF('NH13-14'!AQ36&gt;='NH13-14'!AP36,'NH13-14'!AQ36,'NH13-14'!AP36))</f>
        <v>0</v>
      </c>
      <c r="Y36" s="485" t="str">
        <f>IF('NH13-14'!AS36="",'NH13-14'!AR36,IF('NH13-14'!AS36&gt;='NH13-14'!AR36,'NH13-14'!AS36,'NH13-14'!AR36))</f>
        <v/>
      </c>
      <c r="Z36" s="485" t="str">
        <f>IF('NH13-14'!AU36="",'NH13-14'!AT36,IF('NH13-14'!AU36&gt;='NH13-14'!AT36,'NH13-14'!AU36,'NH13-14'!AT36))</f>
        <v/>
      </c>
      <c r="AA36" s="485" t="str">
        <f>IF('NH13-14'!AW36="",'NH13-14'!AV36,IF('NH13-14'!AW36&gt;='NH13-14'!AV36,'NH13-14'!AW36,'NH13-14'!AV36))</f>
        <v/>
      </c>
      <c r="AB36" s="485">
        <f>IF('NH13-14'!AY36="",'NH13-14'!AX36,IF('NH13-14'!AY36&gt;='NH13-14'!AX36,'NH13-14'!AY36,'NH13-14'!AX36))</f>
        <v>0</v>
      </c>
      <c r="AC36" s="485" t="str">
        <f>IF('NH13-14'!BA36="",'NH13-14'!AZ36,IF('NH13-14'!BA36&gt;='NH13-14'!AZ36,'NH13-14'!BA36,'NH13-14'!AZ36))</f>
        <v/>
      </c>
      <c r="AD36" s="486">
        <f>IF('NH13-14'!B36="","",ROUND(SUMPRODUCT(G36:AC36,$G$7:$AC$7)/SUMIF(G36:AC36,"&gt;=0",$G$7:$AC$7),2))</f>
        <v>2.38</v>
      </c>
      <c r="AE36" s="487" t="str">
        <f t="shared" si="4"/>
        <v/>
      </c>
      <c r="AF36" s="488">
        <f t="shared" si="5"/>
        <v>2</v>
      </c>
      <c r="AG36" s="488">
        <f t="shared" si="6"/>
        <v>1</v>
      </c>
      <c r="AH36" s="488" t="str">
        <f t="shared" si="7"/>
        <v/>
      </c>
      <c r="AI36" s="488" t="str">
        <f t="shared" si="8"/>
        <v/>
      </c>
      <c r="AJ36" s="488">
        <f t="shared" si="9"/>
        <v>1</v>
      </c>
      <c r="AK36" s="488">
        <f t="shared" si="10"/>
        <v>1</v>
      </c>
      <c r="AL36" s="488" t="str">
        <f t="shared" si="11"/>
        <v/>
      </c>
      <c r="AM36" s="488" t="str">
        <f t="shared" si="12"/>
        <v/>
      </c>
      <c r="AN36" s="488" t="str">
        <f t="shared" si="13"/>
        <v/>
      </c>
      <c r="AO36" s="488" t="str">
        <f t="shared" si="14"/>
        <v/>
      </c>
      <c r="AP36" s="488" t="str">
        <f t="shared" si="15"/>
        <v/>
      </c>
      <c r="AQ36" s="488" t="str">
        <f t="shared" si="16"/>
        <v/>
      </c>
      <c r="AR36" s="488" t="str">
        <f t="shared" si="17"/>
        <v/>
      </c>
      <c r="AS36" s="488" t="str">
        <f t="shared" si="18"/>
        <v/>
      </c>
      <c r="AT36" s="488" t="str">
        <f t="shared" si="19"/>
        <v/>
      </c>
      <c r="AU36" s="488" t="str">
        <f t="shared" si="20"/>
        <v/>
      </c>
      <c r="AV36" s="488" t="str">
        <f t="shared" si="21"/>
        <v/>
      </c>
      <c r="AW36" s="488" t="str">
        <f t="shared" si="22"/>
        <v/>
      </c>
      <c r="AX36" s="488" t="str">
        <f t="shared" si="23"/>
        <v/>
      </c>
      <c r="AY36" s="488" t="str">
        <f t="shared" si="24"/>
        <v/>
      </c>
      <c r="AZ36" s="488" t="str">
        <f t="shared" si="25"/>
        <v/>
      </c>
      <c r="BA36" s="488" t="str">
        <f t="shared" si="26"/>
        <v/>
      </c>
      <c r="BB36" s="486">
        <f>IF('NH13-14'!B36="","",ROUND(SUMPRODUCT(AE36:BA36,$AE$7:$BA$7)/SUMIF(AE36:BA36,"&gt;=1",$AE$7:$BA$7),2))</f>
        <v>1.25</v>
      </c>
      <c r="BC36" s="527" t="str">
        <f t="shared" si="27"/>
        <v/>
      </c>
      <c r="BD36" s="507">
        <f t="shared" si="28"/>
        <v>5.5</v>
      </c>
      <c r="BE36" s="507">
        <f t="shared" si="29"/>
        <v>5</v>
      </c>
      <c r="BF36" s="507" t="str">
        <f t="shared" si="30"/>
        <v/>
      </c>
      <c r="BG36" s="507" t="str">
        <f t="shared" si="31"/>
        <v/>
      </c>
      <c r="BH36" s="507">
        <f t="shared" si="32"/>
        <v>5</v>
      </c>
      <c r="BI36" s="507">
        <f t="shared" si="33"/>
        <v>5</v>
      </c>
      <c r="BJ36" s="507" t="str">
        <f t="shared" si="34"/>
        <v/>
      </c>
      <c r="BK36" s="507" t="str">
        <f t="shared" si="35"/>
        <v/>
      </c>
      <c r="BL36" s="507" t="str">
        <f t="shared" si="36"/>
        <v/>
      </c>
      <c r="BM36" s="507" t="str">
        <f t="shared" si="37"/>
        <v/>
      </c>
      <c r="BN36" s="507" t="str">
        <f t="shared" si="38"/>
        <v/>
      </c>
      <c r="BO36" s="507" t="str">
        <f t="shared" si="39"/>
        <v/>
      </c>
      <c r="BP36" s="507" t="str">
        <f t="shared" si="40"/>
        <v/>
      </c>
      <c r="BQ36" s="507" t="str">
        <f t="shared" si="41"/>
        <v/>
      </c>
      <c r="BR36" s="507" t="str">
        <f t="shared" si="42"/>
        <v/>
      </c>
      <c r="BS36" s="507" t="str">
        <f t="shared" si="43"/>
        <v/>
      </c>
      <c r="BT36" s="507" t="str">
        <f t="shared" si="44"/>
        <v/>
      </c>
      <c r="BU36" s="507" t="str">
        <f t="shared" si="45"/>
        <v/>
      </c>
      <c r="BV36" s="507" t="str">
        <f t="shared" si="46"/>
        <v/>
      </c>
      <c r="BW36" s="507" t="str">
        <f t="shared" si="47"/>
        <v/>
      </c>
      <c r="BX36" s="507" t="str">
        <f t="shared" si="48"/>
        <v/>
      </c>
      <c r="BY36" s="507" t="str">
        <f t="shared" si="49"/>
        <v/>
      </c>
    </row>
    <row r="37" spans="1:77">
      <c r="A37" s="481">
        <f>IF('NH13-14'!A37="","",'NH13-14'!A37)</f>
        <v>27</v>
      </c>
      <c r="B37" s="482" t="str">
        <f>IF('NH13-14'!B37="","",'NH13-14'!B37)</f>
        <v>13D301Đ117</v>
      </c>
      <c r="C37" s="490">
        <f t="shared" si="2"/>
        <v>39</v>
      </c>
      <c r="D37" s="490">
        <f t="shared" si="3"/>
        <v>0</v>
      </c>
      <c r="E37" s="483" t="str">
        <f>IF('NH13-14'!C37="","",'NH13-14'!C37)</f>
        <v>Trịnh Ngọc</v>
      </c>
      <c r="F37" s="484" t="str">
        <f>IF('NH13-14'!D37="","",'NH13-14'!D37)</f>
        <v>Sơn</v>
      </c>
      <c r="G37" s="485">
        <f>IF('NH13-14'!I37="",'NH13-14'!H37,IF('NH13-14'!I37&gt;='NH13-14'!H37,'NH13-14'!I37,'NH13-14'!H37))</f>
        <v>4.4000000000000004</v>
      </c>
      <c r="H37" s="485">
        <f>IF('NH13-14'!K37="",'NH13-14'!J37,IF('NH13-14'!K37&gt;='NH13-14'!J37,'NH13-14'!K37,'NH13-14'!J37))</f>
        <v>6.7</v>
      </c>
      <c r="I37" s="485">
        <f>IF('NH13-14'!M37="",'NH13-14'!L37,IF('NH13-14'!M37&gt;='NH13-14'!L37,'NH13-14'!M37,'NH13-14'!L37))</f>
        <v>5</v>
      </c>
      <c r="J37" s="485">
        <f>IF('NH13-14'!O37="",'NH13-14'!N37,IF('NH13-14'!O37&gt;='NH13-14'!N37,'NH13-14'!O37,'NH13-14'!N37))</f>
        <v>5.5</v>
      </c>
      <c r="K37" s="485">
        <f>IF('NH13-14'!Q37="",'NH13-14'!P37,IF('NH13-14'!Q37&gt;='NH13-14'!P37,'NH13-14'!Q37,'NH13-14'!P37))</f>
        <v>5.4</v>
      </c>
      <c r="L37" s="485">
        <f>IF('NH13-14'!S37="",'NH13-14'!R37,IF('NH13-14'!S37&gt;='NH13-14'!R37,'NH13-14'!S37,'NH13-14'!R37))</f>
        <v>5.0999999999999996</v>
      </c>
      <c r="M37" s="485">
        <f>IF('NH13-14'!U37="",'NH13-14'!T37,IF('NH13-14'!U37&gt;='NH13-14'!T37,'NH13-14'!U37,'NH13-14'!T37))</f>
        <v>5.6</v>
      </c>
      <c r="N37" s="485" t="str">
        <f>IF('NH13-14'!W37="",'NH13-14'!V37,IF('NH13-14'!W37&gt;='NH13-14'!V37,'NH13-14'!W37,'NH13-14'!V37))</f>
        <v/>
      </c>
      <c r="O37" s="485" t="str">
        <f>IF('NH13-14'!Y37="",'NH13-14'!X37,IF('NH13-14'!Y37&gt;='NH13-14'!X37,'NH13-14'!Y37,'NH13-14'!X37))</f>
        <v/>
      </c>
      <c r="P37" s="485">
        <f>IF('NH13-14'!AA37="",'NH13-14'!Z37,IF('NH13-14'!AA37&gt;='NH13-14'!Z37,'NH13-14'!AA37,'NH13-14'!Z37))</f>
        <v>4.8</v>
      </c>
      <c r="Q37" s="485">
        <f>IF('NH13-14'!AC37="",'NH13-14'!AB37,IF('NH13-14'!AC37&gt;='NH13-14'!AB37,'NH13-14'!AC37,'NH13-14'!AB37))</f>
        <v>5.0999999999999996</v>
      </c>
      <c r="R37" s="485" t="str">
        <f>IF('NH13-14'!AE37="",'NH13-14'!AD37,IF('NH13-14'!AE37&gt;='NH13-14'!AD37,'NH13-14'!AE37,'NH13-14'!AD37))</f>
        <v/>
      </c>
      <c r="S37" s="485">
        <f>IF('NH13-14'!AG37="",'NH13-14'!AF37,IF('NH13-14'!AG37&gt;='NH13-14'!AF37,'NH13-14'!AG37,'NH13-14'!AF37))</f>
        <v>6.3</v>
      </c>
      <c r="T37" s="485">
        <f>IF('NH13-14'!AI37="",'NH13-14'!AH37,IF('NH13-14'!AI37&gt;='NH13-14'!AH37,'NH13-14'!AI37,'NH13-14'!AH37))</f>
        <v>5.3</v>
      </c>
      <c r="U37" s="485">
        <f>IF('NH13-14'!AK37="",'NH13-14'!AJ37,IF('NH13-14'!AK37&gt;='NH13-14'!AJ37,'NH13-14'!AK37,'NH13-14'!AJ37))</f>
        <v>5.9</v>
      </c>
      <c r="V37" s="485">
        <f>IF('NH13-14'!AM37="",'NH13-14'!AL37,IF('NH13-14'!AM37&gt;='NH13-14'!AL37,'NH13-14'!AM37,'NH13-14'!AL37))</f>
        <v>6.1</v>
      </c>
      <c r="W37" s="485">
        <f>IF('NH13-14'!AO37="",'NH13-14'!AN37,IF('NH13-14'!AO37&gt;='NH13-14'!AN37,'NH13-14'!AO37,'NH13-14'!AN37))</f>
        <v>5.3</v>
      </c>
      <c r="X37" s="485">
        <f>IF('NH13-14'!AQ37="",'NH13-14'!AP37,IF('NH13-14'!AQ37&gt;='NH13-14'!AP37,'NH13-14'!AQ37,'NH13-14'!AP37))</f>
        <v>6.6</v>
      </c>
      <c r="Y37" s="485" t="str">
        <f>IF('NH13-14'!AS37="",'NH13-14'!AR37,IF('NH13-14'!AS37&gt;='NH13-14'!AR37,'NH13-14'!AS37,'NH13-14'!AR37))</f>
        <v/>
      </c>
      <c r="Z37" s="485" t="str">
        <f>IF('NH13-14'!AU37="",'NH13-14'!AT37,IF('NH13-14'!AU37&gt;='NH13-14'!AT37,'NH13-14'!AU37,'NH13-14'!AT37))</f>
        <v/>
      </c>
      <c r="AA37" s="485" t="str">
        <f>IF('NH13-14'!AW37="",'NH13-14'!AV37,IF('NH13-14'!AW37&gt;='NH13-14'!AV37,'NH13-14'!AW37,'NH13-14'!AV37))</f>
        <v/>
      </c>
      <c r="AB37" s="485">
        <f>IF('NH13-14'!AY37="",'NH13-14'!AX37,IF('NH13-14'!AY37&gt;='NH13-14'!AX37,'NH13-14'!AY37,'NH13-14'!AX37))</f>
        <v>7.5</v>
      </c>
      <c r="AC37" s="485" t="str">
        <f>IF('NH13-14'!BA37="",'NH13-14'!AZ37,IF('NH13-14'!BA37&gt;='NH13-14'!AZ37,'NH13-14'!BA37,'NH13-14'!AZ37))</f>
        <v/>
      </c>
      <c r="AD37" s="486">
        <f>IF('NH13-14'!B37="","",ROUND(SUMPRODUCT(G37:AC37,$G$7:$AC$7)/SUMIF(G37:AC37,"&gt;=0",$G$7:$AC$7),2))</f>
        <v>5.59</v>
      </c>
      <c r="AE37" s="487">
        <f t="shared" si="4"/>
        <v>1</v>
      </c>
      <c r="AF37" s="488">
        <f t="shared" si="5"/>
        <v>2</v>
      </c>
      <c r="AG37" s="488">
        <f t="shared" si="6"/>
        <v>1</v>
      </c>
      <c r="AH37" s="488">
        <f t="shared" si="7"/>
        <v>2</v>
      </c>
      <c r="AI37" s="488">
        <f t="shared" si="8"/>
        <v>1</v>
      </c>
      <c r="AJ37" s="488">
        <f t="shared" si="9"/>
        <v>1</v>
      </c>
      <c r="AK37" s="488">
        <f t="shared" si="10"/>
        <v>2</v>
      </c>
      <c r="AL37" s="488" t="str">
        <f t="shared" si="11"/>
        <v/>
      </c>
      <c r="AM37" s="488" t="str">
        <f t="shared" si="12"/>
        <v/>
      </c>
      <c r="AN37" s="488">
        <f t="shared" si="13"/>
        <v>1</v>
      </c>
      <c r="AO37" s="488">
        <f t="shared" si="14"/>
        <v>1</v>
      </c>
      <c r="AP37" s="488" t="str">
        <f t="shared" si="15"/>
        <v/>
      </c>
      <c r="AQ37" s="488">
        <f t="shared" si="16"/>
        <v>2</v>
      </c>
      <c r="AR37" s="488">
        <f t="shared" si="17"/>
        <v>1</v>
      </c>
      <c r="AS37" s="488">
        <f t="shared" si="18"/>
        <v>2</v>
      </c>
      <c r="AT37" s="488">
        <f t="shared" si="19"/>
        <v>2</v>
      </c>
      <c r="AU37" s="488">
        <f t="shared" si="20"/>
        <v>1</v>
      </c>
      <c r="AV37" s="488">
        <f t="shared" si="21"/>
        <v>2</v>
      </c>
      <c r="AW37" s="488" t="str">
        <f t="shared" si="22"/>
        <v/>
      </c>
      <c r="AX37" s="488" t="str">
        <f t="shared" si="23"/>
        <v/>
      </c>
      <c r="AY37" s="488" t="str">
        <f t="shared" si="24"/>
        <v/>
      </c>
      <c r="AZ37" s="488">
        <f t="shared" si="25"/>
        <v>3</v>
      </c>
      <c r="BA37" s="488" t="str">
        <f t="shared" si="26"/>
        <v/>
      </c>
      <c r="BB37" s="486">
        <f>IF('NH13-14'!B37="","",ROUND(SUMPRODUCT(AE37:BA37,$AE$7:$BA$7)/SUMIF(AE37:BA37,"&gt;=1",$AE$7:$BA$7),2))</f>
        <v>1.49</v>
      </c>
      <c r="BC37" s="527">
        <f t="shared" si="27"/>
        <v>4.4000000000000004</v>
      </c>
      <c r="BD37" s="507">
        <f t="shared" si="28"/>
        <v>6.7</v>
      </c>
      <c r="BE37" s="507">
        <f t="shared" si="29"/>
        <v>5</v>
      </c>
      <c r="BF37" s="507">
        <f t="shared" si="30"/>
        <v>5.5</v>
      </c>
      <c r="BG37" s="507">
        <f t="shared" si="31"/>
        <v>5.4</v>
      </c>
      <c r="BH37" s="507">
        <f t="shared" si="32"/>
        <v>5.0999999999999996</v>
      </c>
      <c r="BI37" s="507">
        <f t="shared" si="33"/>
        <v>5.6</v>
      </c>
      <c r="BJ37" s="507" t="str">
        <f t="shared" si="34"/>
        <v/>
      </c>
      <c r="BK37" s="507" t="str">
        <f t="shared" si="35"/>
        <v/>
      </c>
      <c r="BL37" s="507">
        <f t="shared" si="36"/>
        <v>4.8</v>
      </c>
      <c r="BM37" s="507">
        <f t="shared" si="37"/>
        <v>5.0999999999999996</v>
      </c>
      <c r="BN37" s="507" t="str">
        <f t="shared" si="38"/>
        <v/>
      </c>
      <c r="BO37" s="507">
        <f t="shared" si="39"/>
        <v>6.3</v>
      </c>
      <c r="BP37" s="507">
        <f t="shared" si="40"/>
        <v>5.3</v>
      </c>
      <c r="BQ37" s="507">
        <f t="shared" si="41"/>
        <v>5.9</v>
      </c>
      <c r="BR37" s="507">
        <f t="shared" si="42"/>
        <v>6.1</v>
      </c>
      <c r="BS37" s="507">
        <f t="shared" si="43"/>
        <v>5.3</v>
      </c>
      <c r="BT37" s="507">
        <f t="shared" si="44"/>
        <v>6.6</v>
      </c>
      <c r="BU37" s="507" t="str">
        <f t="shared" si="45"/>
        <v/>
      </c>
      <c r="BV37" s="507" t="str">
        <f t="shared" si="46"/>
        <v/>
      </c>
      <c r="BW37" s="507" t="str">
        <f t="shared" si="47"/>
        <v/>
      </c>
      <c r="BX37" s="507">
        <f t="shared" si="48"/>
        <v>7.5</v>
      </c>
      <c r="BY37" s="507" t="str">
        <f t="shared" si="49"/>
        <v/>
      </c>
    </row>
    <row r="38" spans="1:77">
      <c r="A38" s="481">
        <f>IF('NH13-14'!A38="","",'NH13-14'!A38)</f>
        <v>28</v>
      </c>
      <c r="B38" s="482" t="str">
        <f>IF('NH13-14'!B38="","",'NH13-14'!B38)</f>
        <v>13D301Đ121</v>
      </c>
      <c r="C38" s="490">
        <f t="shared" si="2"/>
        <v>37</v>
      </c>
      <c r="D38" s="490">
        <f t="shared" si="3"/>
        <v>2</v>
      </c>
      <c r="E38" s="483" t="str">
        <f>IF('NH13-14'!C38="","",'NH13-14'!C38)</f>
        <v>Lê Minh</v>
      </c>
      <c r="F38" s="484" t="str">
        <f>IF('NH13-14'!D38="","",'NH13-14'!D38)</f>
        <v>Tâm</v>
      </c>
      <c r="G38" s="485">
        <f>IF('NH13-14'!I38="",'NH13-14'!H38,IF('NH13-14'!I38&gt;='NH13-14'!H38,'NH13-14'!I38,'NH13-14'!H38))</f>
        <v>4.7</v>
      </c>
      <c r="H38" s="485">
        <f>IF('NH13-14'!K38="",'NH13-14'!J38,IF('NH13-14'!K38&gt;='NH13-14'!J38,'NH13-14'!K38,'NH13-14'!J38))</f>
        <v>5.0999999999999996</v>
      </c>
      <c r="I38" s="485">
        <f>IF('NH13-14'!M38="",'NH13-14'!L38,IF('NH13-14'!M38&gt;='NH13-14'!L38,'NH13-14'!M38,'NH13-14'!L38))</f>
        <v>5</v>
      </c>
      <c r="J38" s="485">
        <f>IF('NH13-14'!O38="",'NH13-14'!N38,IF('NH13-14'!O38&gt;='NH13-14'!N38,'NH13-14'!O38,'NH13-14'!N38))</f>
        <v>5.8</v>
      </c>
      <c r="K38" s="485">
        <f>IF('NH13-14'!Q38="",'NH13-14'!P38,IF('NH13-14'!Q38&gt;='NH13-14'!P38,'NH13-14'!Q38,'NH13-14'!P38))</f>
        <v>6.4</v>
      </c>
      <c r="L38" s="485">
        <f>IF('NH13-14'!S38="",'NH13-14'!R38,IF('NH13-14'!S38&gt;='NH13-14'!R38,'NH13-14'!S38,'NH13-14'!R38))</f>
        <v>5.2</v>
      </c>
      <c r="M38" s="485">
        <f>IF('NH13-14'!U38="",'NH13-14'!T38,IF('NH13-14'!U38&gt;='NH13-14'!T38,'NH13-14'!U38,'NH13-14'!T38))</f>
        <v>5.8</v>
      </c>
      <c r="N38" s="485" t="str">
        <f>IF('NH13-14'!W38="",'NH13-14'!V38,IF('NH13-14'!W38&gt;='NH13-14'!V38,'NH13-14'!W38,'NH13-14'!V38))</f>
        <v/>
      </c>
      <c r="O38" s="485" t="str">
        <f>IF('NH13-14'!Y38="",'NH13-14'!X38,IF('NH13-14'!Y38&gt;='NH13-14'!X38,'NH13-14'!Y38,'NH13-14'!X38))</f>
        <v/>
      </c>
      <c r="P38" s="485">
        <f>IF('NH13-14'!AA38="",'NH13-14'!Z38,IF('NH13-14'!AA38&gt;='NH13-14'!Z38,'NH13-14'!AA38,'NH13-14'!Z38))</f>
        <v>4.5999999999999996</v>
      </c>
      <c r="Q38" s="485">
        <f>IF('NH13-14'!AC38="",'NH13-14'!AB38,IF('NH13-14'!AC38&gt;='NH13-14'!AB38,'NH13-14'!AC38,'NH13-14'!AB38))</f>
        <v>5.2</v>
      </c>
      <c r="R38" s="485">
        <f>IF('NH13-14'!AE38="",'NH13-14'!AD38,IF('NH13-14'!AE38&gt;='NH13-14'!AD38,'NH13-14'!AE38,'NH13-14'!AD38))</f>
        <v>5.7</v>
      </c>
      <c r="S38" s="485">
        <f>IF('NH13-14'!AG38="",'NH13-14'!AF38,IF('NH13-14'!AG38&gt;='NH13-14'!AF38,'NH13-14'!AG38,'NH13-14'!AF38))</f>
        <v>6.6</v>
      </c>
      <c r="T38" s="485" t="str">
        <f>IF('NH13-14'!AI38="",'NH13-14'!AH38,IF('NH13-14'!AI38&gt;='NH13-14'!AH38,'NH13-14'!AI38,'NH13-14'!AH38))</f>
        <v/>
      </c>
      <c r="U38" s="485">
        <f>IF('NH13-14'!AK38="",'NH13-14'!AJ38,IF('NH13-14'!AK38&gt;='NH13-14'!AJ38,'NH13-14'!AK38,'NH13-14'!AJ38))</f>
        <v>6</v>
      </c>
      <c r="V38" s="485">
        <f>IF('NH13-14'!AM38="",'NH13-14'!AL38,IF('NH13-14'!AM38&gt;='NH13-14'!AL38,'NH13-14'!AM38,'NH13-14'!AL38))</f>
        <v>6.9</v>
      </c>
      <c r="W38" s="485">
        <f>IF('NH13-14'!AO38="",'NH13-14'!AN38,IF('NH13-14'!AO38&gt;='NH13-14'!AN38,'NH13-14'!AO38,'NH13-14'!AN38))</f>
        <v>2.9</v>
      </c>
      <c r="X38" s="485">
        <f>IF('NH13-14'!AQ38="",'NH13-14'!AP38,IF('NH13-14'!AQ38&gt;='NH13-14'!AP38,'NH13-14'!AQ38,'NH13-14'!AP38))</f>
        <v>6</v>
      </c>
      <c r="Y38" s="485" t="str">
        <f>IF('NH13-14'!AS38="",'NH13-14'!AR38,IF('NH13-14'!AS38&gt;='NH13-14'!AR38,'NH13-14'!AS38,'NH13-14'!AR38))</f>
        <v/>
      </c>
      <c r="Z38" s="485" t="str">
        <f>IF('NH13-14'!AU38="",'NH13-14'!AT38,IF('NH13-14'!AU38&gt;='NH13-14'!AT38,'NH13-14'!AU38,'NH13-14'!AT38))</f>
        <v/>
      </c>
      <c r="AA38" s="485" t="str">
        <f>IF('NH13-14'!AW38="",'NH13-14'!AV38,IF('NH13-14'!AW38&gt;='NH13-14'!AV38,'NH13-14'!AW38,'NH13-14'!AV38))</f>
        <v/>
      </c>
      <c r="AB38" s="485">
        <f>IF('NH13-14'!AY38="",'NH13-14'!AX38,IF('NH13-14'!AY38&gt;='NH13-14'!AX38,'NH13-14'!AY38,'NH13-14'!AX38))</f>
        <v>7.7</v>
      </c>
      <c r="AC38" s="485" t="str">
        <f>IF('NH13-14'!BA38="",'NH13-14'!AZ38,IF('NH13-14'!BA38&gt;='NH13-14'!AZ38,'NH13-14'!BA38,'NH13-14'!AZ38))</f>
        <v/>
      </c>
      <c r="AD38" s="486">
        <f>IF('NH13-14'!B38="","",ROUND(SUMPRODUCT(G38:AC38,$G$7:$AC$7)/SUMIF(G38:AC38,"&gt;=0",$G$7:$AC$7),2))</f>
        <v>5.54</v>
      </c>
      <c r="AE38" s="487">
        <f t="shared" si="4"/>
        <v>1</v>
      </c>
      <c r="AF38" s="488">
        <f t="shared" si="5"/>
        <v>1</v>
      </c>
      <c r="AG38" s="488">
        <f t="shared" si="6"/>
        <v>1</v>
      </c>
      <c r="AH38" s="488">
        <f t="shared" si="7"/>
        <v>2</v>
      </c>
      <c r="AI38" s="488">
        <f t="shared" si="8"/>
        <v>2</v>
      </c>
      <c r="AJ38" s="488">
        <f t="shared" si="9"/>
        <v>1</v>
      </c>
      <c r="AK38" s="488">
        <f t="shared" si="10"/>
        <v>2</v>
      </c>
      <c r="AL38" s="488" t="str">
        <f t="shared" si="11"/>
        <v/>
      </c>
      <c r="AM38" s="488" t="str">
        <f t="shared" si="12"/>
        <v/>
      </c>
      <c r="AN38" s="488">
        <f t="shared" si="13"/>
        <v>1</v>
      </c>
      <c r="AO38" s="488">
        <f t="shared" si="14"/>
        <v>1</v>
      </c>
      <c r="AP38" s="488">
        <f t="shared" si="15"/>
        <v>2</v>
      </c>
      <c r="AQ38" s="488">
        <f t="shared" si="16"/>
        <v>2</v>
      </c>
      <c r="AR38" s="488" t="str">
        <f t="shared" si="17"/>
        <v/>
      </c>
      <c r="AS38" s="488">
        <f t="shared" si="18"/>
        <v>2</v>
      </c>
      <c r="AT38" s="488">
        <f t="shared" si="19"/>
        <v>2</v>
      </c>
      <c r="AU38" s="488" t="str">
        <f t="shared" si="20"/>
        <v/>
      </c>
      <c r="AV38" s="488">
        <f t="shared" si="21"/>
        <v>2</v>
      </c>
      <c r="AW38" s="488" t="str">
        <f t="shared" si="22"/>
        <v/>
      </c>
      <c r="AX38" s="488" t="str">
        <f t="shared" si="23"/>
        <v/>
      </c>
      <c r="AY38" s="488" t="str">
        <f t="shared" si="24"/>
        <v/>
      </c>
      <c r="AZ38" s="488">
        <f t="shared" si="25"/>
        <v>3</v>
      </c>
      <c r="BA38" s="488" t="str">
        <f t="shared" si="26"/>
        <v/>
      </c>
      <c r="BB38" s="486">
        <f>IF('NH13-14'!B38="","",ROUND(SUMPRODUCT(AE38:BA38,$AE$7:$BA$7)/SUMIF(AE38:BA38,"&gt;=1",$AE$7:$BA$7),2))</f>
        <v>1.57</v>
      </c>
      <c r="BC38" s="527">
        <f t="shared" si="27"/>
        <v>4.7</v>
      </c>
      <c r="BD38" s="507">
        <f t="shared" si="28"/>
        <v>5.0999999999999996</v>
      </c>
      <c r="BE38" s="507">
        <f t="shared" si="29"/>
        <v>5</v>
      </c>
      <c r="BF38" s="507">
        <f t="shared" si="30"/>
        <v>5.8</v>
      </c>
      <c r="BG38" s="507">
        <f t="shared" si="31"/>
        <v>6.4</v>
      </c>
      <c r="BH38" s="507">
        <f t="shared" si="32"/>
        <v>5.2</v>
      </c>
      <c r="BI38" s="507">
        <f t="shared" si="33"/>
        <v>5.8</v>
      </c>
      <c r="BJ38" s="507" t="str">
        <f t="shared" si="34"/>
        <v/>
      </c>
      <c r="BK38" s="507" t="str">
        <f t="shared" si="35"/>
        <v/>
      </c>
      <c r="BL38" s="507">
        <f t="shared" si="36"/>
        <v>4.5999999999999996</v>
      </c>
      <c r="BM38" s="507">
        <f t="shared" si="37"/>
        <v>5.2</v>
      </c>
      <c r="BN38" s="507">
        <f t="shared" si="38"/>
        <v>5.7</v>
      </c>
      <c r="BO38" s="507">
        <f t="shared" si="39"/>
        <v>6.6</v>
      </c>
      <c r="BP38" s="507" t="str">
        <f t="shared" si="40"/>
        <v/>
      </c>
      <c r="BQ38" s="507">
        <f t="shared" si="41"/>
        <v>6</v>
      </c>
      <c r="BR38" s="507">
        <f t="shared" si="42"/>
        <v>6.9</v>
      </c>
      <c r="BS38" s="507" t="str">
        <f t="shared" si="43"/>
        <v/>
      </c>
      <c r="BT38" s="507">
        <f t="shared" si="44"/>
        <v>6</v>
      </c>
      <c r="BU38" s="507" t="str">
        <f t="shared" si="45"/>
        <v/>
      </c>
      <c r="BV38" s="507" t="str">
        <f t="shared" si="46"/>
        <v/>
      </c>
      <c r="BW38" s="507" t="str">
        <f t="shared" si="47"/>
        <v/>
      </c>
      <c r="BX38" s="507">
        <f t="shared" si="48"/>
        <v>7.7</v>
      </c>
      <c r="BY38" s="507" t="str">
        <f t="shared" si="49"/>
        <v/>
      </c>
    </row>
    <row r="39" spans="1:77">
      <c r="A39" s="481">
        <f>IF('NH13-14'!A39="","",'NH13-14'!A39)</f>
        <v>29</v>
      </c>
      <c r="B39" s="482" t="str">
        <f>IF('NH13-14'!B39="","",'NH13-14'!B39)</f>
        <v>13D301Đ124</v>
      </c>
      <c r="C39" s="490">
        <f t="shared" si="2"/>
        <v>39</v>
      </c>
      <c r="D39" s="490">
        <f t="shared" si="3"/>
        <v>0</v>
      </c>
      <c r="E39" s="483" t="str">
        <f>IF('NH13-14'!C39="","",'NH13-14'!C39)</f>
        <v>Cao Nguyễn Nhật</v>
      </c>
      <c r="F39" s="484" t="str">
        <f>IF('NH13-14'!D39="","",'NH13-14'!D39)</f>
        <v>Tân</v>
      </c>
      <c r="G39" s="485">
        <f>IF('NH13-14'!I39="",'NH13-14'!H39,IF('NH13-14'!I39&gt;='NH13-14'!H39,'NH13-14'!I39,'NH13-14'!H39))</f>
        <v>5.2</v>
      </c>
      <c r="H39" s="485">
        <f>IF('NH13-14'!K39="",'NH13-14'!J39,IF('NH13-14'!K39&gt;='NH13-14'!J39,'NH13-14'!K39,'NH13-14'!J39))</f>
        <v>5.4</v>
      </c>
      <c r="I39" s="485">
        <f>IF('NH13-14'!M39="",'NH13-14'!L39,IF('NH13-14'!M39&gt;='NH13-14'!L39,'NH13-14'!M39,'NH13-14'!L39))</f>
        <v>6.3</v>
      </c>
      <c r="J39" s="485">
        <f>IF('NH13-14'!O39="",'NH13-14'!N39,IF('NH13-14'!O39&gt;='NH13-14'!N39,'NH13-14'!O39,'NH13-14'!N39))</f>
        <v>7</v>
      </c>
      <c r="K39" s="485">
        <f>IF('NH13-14'!Q39="",'NH13-14'!P39,IF('NH13-14'!Q39&gt;='NH13-14'!P39,'NH13-14'!Q39,'NH13-14'!P39))</f>
        <v>6.7</v>
      </c>
      <c r="L39" s="485">
        <f>IF('NH13-14'!S39="",'NH13-14'!R39,IF('NH13-14'!S39&gt;='NH13-14'!R39,'NH13-14'!S39,'NH13-14'!R39))</f>
        <v>4.3</v>
      </c>
      <c r="M39" s="485">
        <f>IF('NH13-14'!U39="",'NH13-14'!T39,IF('NH13-14'!U39&gt;='NH13-14'!T39,'NH13-14'!U39,'NH13-14'!T39))</f>
        <v>5</v>
      </c>
      <c r="N39" s="485" t="str">
        <f>IF('NH13-14'!W39="",'NH13-14'!V39,IF('NH13-14'!W39&gt;='NH13-14'!V39,'NH13-14'!W39,'NH13-14'!V39))</f>
        <v/>
      </c>
      <c r="O39" s="485" t="str">
        <f>IF('NH13-14'!Y39="",'NH13-14'!X39,IF('NH13-14'!Y39&gt;='NH13-14'!X39,'NH13-14'!Y39,'NH13-14'!X39))</f>
        <v/>
      </c>
      <c r="P39" s="485">
        <f>IF('NH13-14'!AA39="",'NH13-14'!Z39,IF('NH13-14'!AA39&gt;='NH13-14'!Z39,'NH13-14'!AA39,'NH13-14'!Z39))</f>
        <v>4.8</v>
      </c>
      <c r="Q39" s="485">
        <f>IF('NH13-14'!AC39="",'NH13-14'!AB39,IF('NH13-14'!AC39&gt;='NH13-14'!AB39,'NH13-14'!AC39,'NH13-14'!AB39))</f>
        <v>5.3</v>
      </c>
      <c r="R39" s="485">
        <f>IF('NH13-14'!AE39="",'NH13-14'!AD39,IF('NH13-14'!AE39&gt;='NH13-14'!AD39,'NH13-14'!AE39,'NH13-14'!AD39))</f>
        <v>6.2</v>
      </c>
      <c r="S39" s="485">
        <f>IF('NH13-14'!AG39="",'NH13-14'!AF39,IF('NH13-14'!AG39&gt;='NH13-14'!AF39,'NH13-14'!AG39,'NH13-14'!AF39))</f>
        <v>7.8</v>
      </c>
      <c r="T39" s="485" t="str">
        <f>IF('NH13-14'!AI39="",'NH13-14'!AH39,IF('NH13-14'!AI39&gt;='NH13-14'!AH39,'NH13-14'!AI39,'NH13-14'!AH39))</f>
        <v/>
      </c>
      <c r="U39" s="485">
        <f>IF('NH13-14'!AK39="",'NH13-14'!AJ39,IF('NH13-14'!AK39&gt;='NH13-14'!AJ39,'NH13-14'!AK39,'NH13-14'!AJ39))</f>
        <v>6.8</v>
      </c>
      <c r="V39" s="485">
        <f>IF('NH13-14'!AM39="",'NH13-14'!AL39,IF('NH13-14'!AM39&gt;='NH13-14'!AL39,'NH13-14'!AM39,'NH13-14'!AL39))</f>
        <v>6.8</v>
      </c>
      <c r="W39" s="485">
        <f>IF('NH13-14'!AO39="",'NH13-14'!AN39,IF('NH13-14'!AO39&gt;='NH13-14'!AN39,'NH13-14'!AO39,'NH13-14'!AN39))</f>
        <v>5.5</v>
      </c>
      <c r="X39" s="485">
        <f>IF('NH13-14'!AQ39="",'NH13-14'!AP39,IF('NH13-14'!AQ39&gt;='NH13-14'!AP39,'NH13-14'!AQ39,'NH13-14'!AP39))</f>
        <v>7.1</v>
      </c>
      <c r="Y39" s="485" t="str">
        <f>IF('NH13-14'!AS39="",'NH13-14'!AR39,IF('NH13-14'!AS39&gt;='NH13-14'!AR39,'NH13-14'!AS39,'NH13-14'!AR39))</f>
        <v/>
      </c>
      <c r="Z39" s="485" t="str">
        <f>IF('NH13-14'!AU39="",'NH13-14'!AT39,IF('NH13-14'!AU39&gt;='NH13-14'!AT39,'NH13-14'!AU39,'NH13-14'!AT39))</f>
        <v/>
      </c>
      <c r="AA39" s="485" t="str">
        <f>IF('NH13-14'!AW39="",'NH13-14'!AV39,IF('NH13-14'!AW39&gt;='NH13-14'!AV39,'NH13-14'!AW39,'NH13-14'!AV39))</f>
        <v/>
      </c>
      <c r="AB39" s="485">
        <f>IF('NH13-14'!AY39="",'NH13-14'!AX39,IF('NH13-14'!AY39&gt;='NH13-14'!AX39,'NH13-14'!AY39,'NH13-14'!AX39))</f>
        <v>6.4</v>
      </c>
      <c r="AC39" s="485" t="str">
        <f>IF('NH13-14'!BA39="",'NH13-14'!AZ39,IF('NH13-14'!BA39&gt;='NH13-14'!AZ39,'NH13-14'!BA39,'NH13-14'!AZ39))</f>
        <v/>
      </c>
      <c r="AD39" s="486">
        <f>IF('NH13-14'!B39="","",ROUND(SUMPRODUCT(G39:AC39,$G$7:$AC$7)/SUMIF(G39:AC39,"&gt;=0",$G$7:$AC$7),2))</f>
        <v>5.86</v>
      </c>
      <c r="AE39" s="487">
        <f t="shared" si="4"/>
        <v>1</v>
      </c>
      <c r="AF39" s="488">
        <f t="shared" si="5"/>
        <v>1</v>
      </c>
      <c r="AG39" s="488">
        <f t="shared" si="6"/>
        <v>2</v>
      </c>
      <c r="AH39" s="488">
        <f t="shared" si="7"/>
        <v>3</v>
      </c>
      <c r="AI39" s="488">
        <f t="shared" si="8"/>
        <v>2</v>
      </c>
      <c r="AJ39" s="488">
        <f t="shared" si="9"/>
        <v>1</v>
      </c>
      <c r="AK39" s="488">
        <f t="shared" si="10"/>
        <v>1</v>
      </c>
      <c r="AL39" s="488" t="str">
        <f t="shared" si="11"/>
        <v/>
      </c>
      <c r="AM39" s="488" t="str">
        <f t="shared" si="12"/>
        <v/>
      </c>
      <c r="AN39" s="488">
        <f t="shared" si="13"/>
        <v>1</v>
      </c>
      <c r="AO39" s="488">
        <f t="shared" si="14"/>
        <v>1</v>
      </c>
      <c r="AP39" s="488">
        <f t="shared" si="15"/>
        <v>2</v>
      </c>
      <c r="AQ39" s="488">
        <f t="shared" si="16"/>
        <v>3</v>
      </c>
      <c r="AR39" s="488" t="str">
        <f t="shared" si="17"/>
        <v/>
      </c>
      <c r="AS39" s="488">
        <f t="shared" si="18"/>
        <v>2</v>
      </c>
      <c r="AT39" s="488">
        <f t="shared" si="19"/>
        <v>2</v>
      </c>
      <c r="AU39" s="488">
        <f t="shared" si="20"/>
        <v>2</v>
      </c>
      <c r="AV39" s="488">
        <f t="shared" si="21"/>
        <v>3</v>
      </c>
      <c r="AW39" s="488" t="str">
        <f t="shared" si="22"/>
        <v/>
      </c>
      <c r="AX39" s="488" t="str">
        <f t="shared" si="23"/>
        <v/>
      </c>
      <c r="AY39" s="488" t="str">
        <f t="shared" si="24"/>
        <v/>
      </c>
      <c r="AZ39" s="488">
        <f t="shared" si="25"/>
        <v>2</v>
      </c>
      <c r="BA39" s="488" t="str">
        <f t="shared" si="26"/>
        <v/>
      </c>
      <c r="BB39" s="486">
        <f>IF('NH13-14'!B39="","",ROUND(SUMPRODUCT(AE39:BA39,$AE$7:$BA$7)/SUMIF(AE39:BA39,"&gt;=1",$AE$7:$BA$7),2))</f>
        <v>1.69</v>
      </c>
      <c r="BC39" s="527">
        <f t="shared" si="27"/>
        <v>5.2</v>
      </c>
      <c r="BD39" s="507">
        <f t="shared" si="28"/>
        <v>5.4</v>
      </c>
      <c r="BE39" s="507">
        <f t="shared" si="29"/>
        <v>6.3</v>
      </c>
      <c r="BF39" s="507">
        <f t="shared" si="30"/>
        <v>7</v>
      </c>
      <c r="BG39" s="507">
        <f t="shared" si="31"/>
        <v>6.7</v>
      </c>
      <c r="BH39" s="507">
        <f t="shared" si="32"/>
        <v>4.3</v>
      </c>
      <c r="BI39" s="507">
        <f t="shared" si="33"/>
        <v>5</v>
      </c>
      <c r="BJ39" s="507" t="str">
        <f t="shared" si="34"/>
        <v/>
      </c>
      <c r="BK39" s="507" t="str">
        <f t="shared" si="35"/>
        <v/>
      </c>
      <c r="BL39" s="507">
        <f t="shared" si="36"/>
        <v>4.8</v>
      </c>
      <c r="BM39" s="507">
        <f t="shared" si="37"/>
        <v>5.3</v>
      </c>
      <c r="BN39" s="507">
        <f t="shared" si="38"/>
        <v>6.2</v>
      </c>
      <c r="BO39" s="507">
        <f t="shared" si="39"/>
        <v>7.8</v>
      </c>
      <c r="BP39" s="507" t="str">
        <f t="shared" si="40"/>
        <v/>
      </c>
      <c r="BQ39" s="507">
        <f t="shared" si="41"/>
        <v>6.8</v>
      </c>
      <c r="BR39" s="507">
        <f t="shared" si="42"/>
        <v>6.8</v>
      </c>
      <c r="BS39" s="507">
        <f t="shared" si="43"/>
        <v>5.5</v>
      </c>
      <c r="BT39" s="507">
        <f t="shared" si="44"/>
        <v>7.1</v>
      </c>
      <c r="BU39" s="507" t="str">
        <f t="shared" si="45"/>
        <v/>
      </c>
      <c r="BV39" s="507" t="str">
        <f t="shared" si="46"/>
        <v/>
      </c>
      <c r="BW39" s="507" t="str">
        <f t="shared" si="47"/>
        <v/>
      </c>
      <c r="BX39" s="507">
        <f t="shared" si="48"/>
        <v>6.4</v>
      </c>
      <c r="BY39" s="507" t="str">
        <f t="shared" si="49"/>
        <v/>
      </c>
    </row>
    <row r="40" spans="1:77">
      <c r="A40" s="481">
        <f>IF('NH13-14'!A40="","",'NH13-14'!A40)</f>
        <v>30</v>
      </c>
      <c r="B40" s="482" t="str">
        <f>IF('NH13-14'!B40="","",'NH13-14'!B40)</f>
        <v>13D301Đ130</v>
      </c>
      <c r="C40" s="490">
        <f t="shared" si="2"/>
        <v>39</v>
      </c>
      <c r="D40" s="490">
        <f t="shared" si="3"/>
        <v>0</v>
      </c>
      <c r="E40" s="483" t="str">
        <f>IF('NH13-14'!C40="","",'NH13-14'!C40)</f>
        <v>Nguyễn Việt</v>
      </c>
      <c r="F40" s="484" t="str">
        <f>IF('NH13-14'!D40="","",'NH13-14'!D40)</f>
        <v>Thắng</v>
      </c>
      <c r="G40" s="485">
        <f>IF('NH13-14'!I40="",'NH13-14'!H40,IF('NH13-14'!I40&gt;='NH13-14'!H40,'NH13-14'!I40,'NH13-14'!H40))</f>
        <v>5.2</v>
      </c>
      <c r="H40" s="485">
        <f>IF('NH13-14'!K40="",'NH13-14'!J40,IF('NH13-14'!K40&gt;='NH13-14'!J40,'NH13-14'!K40,'NH13-14'!J40))</f>
        <v>6.5</v>
      </c>
      <c r="I40" s="485">
        <f>IF('NH13-14'!M40="",'NH13-14'!L40,IF('NH13-14'!M40&gt;='NH13-14'!L40,'NH13-14'!M40,'NH13-14'!L40))</f>
        <v>5.6</v>
      </c>
      <c r="J40" s="485">
        <f>IF('NH13-14'!O40="",'NH13-14'!N40,IF('NH13-14'!O40&gt;='NH13-14'!N40,'NH13-14'!O40,'NH13-14'!N40))</f>
        <v>6</v>
      </c>
      <c r="K40" s="485">
        <f>IF('NH13-14'!Q40="",'NH13-14'!P40,IF('NH13-14'!Q40&gt;='NH13-14'!P40,'NH13-14'!Q40,'NH13-14'!P40))</f>
        <v>5.4</v>
      </c>
      <c r="L40" s="485">
        <f>IF('NH13-14'!S40="",'NH13-14'!R40,IF('NH13-14'!S40&gt;='NH13-14'!R40,'NH13-14'!S40,'NH13-14'!R40))</f>
        <v>5</v>
      </c>
      <c r="M40" s="485">
        <f>IF('NH13-14'!U40="",'NH13-14'!T40,IF('NH13-14'!U40&gt;='NH13-14'!T40,'NH13-14'!U40,'NH13-14'!T40))</f>
        <v>6.2</v>
      </c>
      <c r="N40" s="485" t="str">
        <f>IF('NH13-14'!W40="",'NH13-14'!V40,IF('NH13-14'!W40&gt;='NH13-14'!V40,'NH13-14'!W40,'NH13-14'!V40))</f>
        <v/>
      </c>
      <c r="O40" s="485" t="str">
        <f>IF('NH13-14'!Y40="",'NH13-14'!X40,IF('NH13-14'!Y40&gt;='NH13-14'!X40,'NH13-14'!Y40,'NH13-14'!X40))</f>
        <v/>
      </c>
      <c r="P40" s="485">
        <f>IF('NH13-14'!AA40="",'NH13-14'!Z40,IF('NH13-14'!AA40&gt;='NH13-14'!Z40,'NH13-14'!AA40,'NH13-14'!Z40))</f>
        <v>6.1</v>
      </c>
      <c r="Q40" s="485">
        <f>IF('NH13-14'!AC40="",'NH13-14'!AB40,IF('NH13-14'!AC40&gt;='NH13-14'!AB40,'NH13-14'!AC40,'NH13-14'!AB40))</f>
        <v>5</v>
      </c>
      <c r="R40" s="485" t="str">
        <f>IF('NH13-14'!AE40="",'NH13-14'!AD40,IF('NH13-14'!AE40&gt;='NH13-14'!AD40,'NH13-14'!AE40,'NH13-14'!AD40))</f>
        <v/>
      </c>
      <c r="S40" s="485">
        <f>IF('NH13-14'!AG40="",'NH13-14'!AF40,IF('NH13-14'!AG40&gt;='NH13-14'!AF40,'NH13-14'!AG40,'NH13-14'!AF40))</f>
        <v>7.3</v>
      </c>
      <c r="T40" s="485">
        <f>IF('NH13-14'!AI40="",'NH13-14'!AH40,IF('NH13-14'!AI40&gt;='NH13-14'!AH40,'NH13-14'!AI40,'NH13-14'!AH40))</f>
        <v>5.6</v>
      </c>
      <c r="U40" s="485">
        <f>IF('NH13-14'!AK40="",'NH13-14'!AJ40,IF('NH13-14'!AK40&gt;='NH13-14'!AJ40,'NH13-14'!AK40,'NH13-14'!AJ40))</f>
        <v>5.4</v>
      </c>
      <c r="V40" s="485">
        <f>IF('NH13-14'!AM40="",'NH13-14'!AL40,IF('NH13-14'!AM40&gt;='NH13-14'!AL40,'NH13-14'!AM40,'NH13-14'!AL40))</f>
        <v>7.1</v>
      </c>
      <c r="W40" s="485">
        <f>IF('NH13-14'!AO40="",'NH13-14'!AN40,IF('NH13-14'!AO40&gt;='NH13-14'!AN40,'NH13-14'!AO40,'NH13-14'!AN40))</f>
        <v>5.6</v>
      </c>
      <c r="X40" s="485">
        <f>IF('NH13-14'!AQ40="",'NH13-14'!AP40,IF('NH13-14'!AQ40&gt;='NH13-14'!AP40,'NH13-14'!AQ40,'NH13-14'!AP40))</f>
        <v>6.7</v>
      </c>
      <c r="Y40" s="485" t="str">
        <f>IF('NH13-14'!AS40="",'NH13-14'!AR40,IF('NH13-14'!AS40&gt;='NH13-14'!AR40,'NH13-14'!AS40,'NH13-14'!AR40))</f>
        <v/>
      </c>
      <c r="Z40" s="485" t="str">
        <f>IF('NH13-14'!AU40="",'NH13-14'!AT40,IF('NH13-14'!AU40&gt;='NH13-14'!AT40,'NH13-14'!AU40,'NH13-14'!AT40))</f>
        <v/>
      </c>
      <c r="AA40" s="485" t="str">
        <f>IF('NH13-14'!AW40="",'NH13-14'!AV40,IF('NH13-14'!AW40&gt;='NH13-14'!AV40,'NH13-14'!AW40,'NH13-14'!AV40))</f>
        <v/>
      </c>
      <c r="AB40" s="485">
        <f>IF('NH13-14'!AY40="",'NH13-14'!AX40,IF('NH13-14'!AY40&gt;='NH13-14'!AX40,'NH13-14'!AY40,'NH13-14'!AX40))</f>
        <v>6.3</v>
      </c>
      <c r="AC40" s="485" t="str">
        <f>IF('NH13-14'!BA40="",'NH13-14'!AZ40,IF('NH13-14'!BA40&gt;='NH13-14'!AZ40,'NH13-14'!BA40,'NH13-14'!AZ40))</f>
        <v/>
      </c>
      <c r="AD40" s="486">
        <f>IF('NH13-14'!B40="","",ROUND(SUMPRODUCT(G40:AC40,$G$7:$AC$7)/SUMIF(G40:AC40,"&gt;=0",$G$7:$AC$7),2))</f>
        <v>5.82</v>
      </c>
      <c r="AE40" s="487">
        <f t="shared" si="4"/>
        <v>1</v>
      </c>
      <c r="AF40" s="488">
        <f t="shared" si="5"/>
        <v>2</v>
      </c>
      <c r="AG40" s="488">
        <f t="shared" si="6"/>
        <v>2</v>
      </c>
      <c r="AH40" s="488">
        <f t="shared" si="7"/>
        <v>2</v>
      </c>
      <c r="AI40" s="488">
        <f t="shared" si="8"/>
        <v>1</v>
      </c>
      <c r="AJ40" s="488">
        <f t="shared" si="9"/>
        <v>1</v>
      </c>
      <c r="AK40" s="488">
        <f t="shared" si="10"/>
        <v>2</v>
      </c>
      <c r="AL40" s="488" t="str">
        <f t="shared" si="11"/>
        <v/>
      </c>
      <c r="AM40" s="488" t="str">
        <f t="shared" si="12"/>
        <v/>
      </c>
      <c r="AN40" s="488">
        <f t="shared" si="13"/>
        <v>2</v>
      </c>
      <c r="AO40" s="488">
        <f t="shared" si="14"/>
        <v>1</v>
      </c>
      <c r="AP40" s="488" t="str">
        <f t="shared" si="15"/>
        <v/>
      </c>
      <c r="AQ40" s="488">
        <f t="shared" si="16"/>
        <v>3</v>
      </c>
      <c r="AR40" s="488">
        <f t="shared" si="17"/>
        <v>2</v>
      </c>
      <c r="AS40" s="488">
        <f t="shared" si="18"/>
        <v>1</v>
      </c>
      <c r="AT40" s="488">
        <f t="shared" si="19"/>
        <v>3</v>
      </c>
      <c r="AU40" s="488">
        <f t="shared" si="20"/>
        <v>2</v>
      </c>
      <c r="AV40" s="488">
        <f t="shared" si="21"/>
        <v>2</v>
      </c>
      <c r="AW40" s="488" t="str">
        <f t="shared" si="22"/>
        <v/>
      </c>
      <c r="AX40" s="488" t="str">
        <f t="shared" si="23"/>
        <v/>
      </c>
      <c r="AY40" s="488" t="str">
        <f t="shared" si="24"/>
        <v/>
      </c>
      <c r="AZ40" s="488">
        <f t="shared" si="25"/>
        <v>2</v>
      </c>
      <c r="BA40" s="488" t="str">
        <f t="shared" si="26"/>
        <v/>
      </c>
      <c r="BB40" s="486">
        <f>IF('NH13-14'!B40="","",ROUND(SUMPRODUCT(AE40:BA40,$AE$7:$BA$7)/SUMIF(AE40:BA40,"&gt;=1",$AE$7:$BA$7),2))</f>
        <v>1.69</v>
      </c>
      <c r="BC40" s="527">
        <f t="shared" si="27"/>
        <v>5.2</v>
      </c>
      <c r="BD40" s="507">
        <f t="shared" si="28"/>
        <v>6.5</v>
      </c>
      <c r="BE40" s="507">
        <f t="shared" si="29"/>
        <v>5.6</v>
      </c>
      <c r="BF40" s="507">
        <f t="shared" si="30"/>
        <v>6</v>
      </c>
      <c r="BG40" s="507">
        <f t="shared" si="31"/>
        <v>5.4</v>
      </c>
      <c r="BH40" s="507">
        <f t="shared" si="32"/>
        <v>5</v>
      </c>
      <c r="BI40" s="507">
        <f t="shared" si="33"/>
        <v>6.2</v>
      </c>
      <c r="BJ40" s="507" t="str">
        <f t="shared" si="34"/>
        <v/>
      </c>
      <c r="BK40" s="507" t="str">
        <f t="shared" si="35"/>
        <v/>
      </c>
      <c r="BL40" s="507">
        <f t="shared" si="36"/>
        <v>6.1</v>
      </c>
      <c r="BM40" s="507">
        <f t="shared" si="37"/>
        <v>5</v>
      </c>
      <c r="BN40" s="507" t="str">
        <f t="shared" si="38"/>
        <v/>
      </c>
      <c r="BO40" s="507">
        <f t="shared" si="39"/>
        <v>7.3</v>
      </c>
      <c r="BP40" s="507">
        <f t="shared" si="40"/>
        <v>5.6</v>
      </c>
      <c r="BQ40" s="507">
        <f t="shared" si="41"/>
        <v>5.4</v>
      </c>
      <c r="BR40" s="507">
        <f t="shared" si="42"/>
        <v>7.1</v>
      </c>
      <c r="BS40" s="507">
        <f t="shared" si="43"/>
        <v>5.6</v>
      </c>
      <c r="BT40" s="507">
        <f t="shared" si="44"/>
        <v>6.7</v>
      </c>
      <c r="BU40" s="507" t="str">
        <f t="shared" si="45"/>
        <v/>
      </c>
      <c r="BV40" s="507" t="str">
        <f t="shared" si="46"/>
        <v/>
      </c>
      <c r="BW40" s="507" t="str">
        <f t="shared" si="47"/>
        <v/>
      </c>
      <c r="BX40" s="507">
        <f t="shared" si="48"/>
        <v>6.3</v>
      </c>
      <c r="BY40" s="507" t="str">
        <f t="shared" si="49"/>
        <v/>
      </c>
    </row>
    <row r="41" spans="1:77">
      <c r="A41" s="481">
        <f>IF('NH13-14'!A41="","",'NH13-14'!A41)</f>
        <v>31</v>
      </c>
      <c r="B41" s="482" t="str">
        <f>IF('NH13-14'!B41="","",'NH13-14'!B41)</f>
        <v>13D301Đ133</v>
      </c>
      <c r="C41" s="490">
        <f t="shared" si="2"/>
        <v>39</v>
      </c>
      <c r="D41" s="490">
        <f t="shared" si="3"/>
        <v>0</v>
      </c>
      <c r="E41" s="483" t="str">
        <f>IF('NH13-14'!C41="","",'NH13-14'!C41)</f>
        <v>Nguyễn Khắc</v>
      </c>
      <c r="F41" s="484" t="str">
        <f>IF('NH13-14'!D41="","",'NH13-14'!D41)</f>
        <v>Thành</v>
      </c>
      <c r="G41" s="485">
        <f>IF('NH13-14'!I41="",'NH13-14'!H41,IF('NH13-14'!I41&gt;='NH13-14'!H41,'NH13-14'!I41,'NH13-14'!H41))</f>
        <v>5.3</v>
      </c>
      <c r="H41" s="485">
        <f>IF('NH13-14'!K41="",'NH13-14'!J41,IF('NH13-14'!K41&gt;='NH13-14'!J41,'NH13-14'!K41,'NH13-14'!J41))</f>
        <v>7</v>
      </c>
      <c r="I41" s="485">
        <f>IF('NH13-14'!M41="",'NH13-14'!L41,IF('NH13-14'!M41&gt;='NH13-14'!L41,'NH13-14'!M41,'NH13-14'!L41))</f>
        <v>5</v>
      </c>
      <c r="J41" s="485">
        <f>IF('NH13-14'!O41="",'NH13-14'!N41,IF('NH13-14'!O41&gt;='NH13-14'!N41,'NH13-14'!O41,'NH13-14'!N41))</f>
        <v>5.6</v>
      </c>
      <c r="K41" s="485">
        <f>IF('NH13-14'!Q41="",'NH13-14'!P41,IF('NH13-14'!Q41&gt;='NH13-14'!P41,'NH13-14'!Q41,'NH13-14'!P41))</f>
        <v>5.6</v>
      </c>
      <c r="L41" s="485">
        <f>IF('NH13-14'!S41="",'NH13-14'!R41,IF('NH13-14'!S41&gt;='NH13-14'!R41,'NH13-14'!S41,'NH13-14'!R41))</f>
        <v>6</v>
      </c>
      <c r="M41" s="485">
        <f>IF('NH13-14'!U41="",'NH13-14'!T41,IF('NH13-14'!U41&gt;='NH13-14'!T41,'NH13-14'!U41,'NH13-14'!T41))</f>
        <v>6.6</v>
      </c>
      <c r="N41" s="485" t="str">
        <f>IF('NH13-14'!W41="",'NH13-14'!V41,IF('NH13-14'!W41&gt;='NH13-14'!V41,'NH13-14'!W41,'NH13-14'!V41))</f>
        <v/>
      </c>
      <c r="O41" s="485" t="str">
        <f>IF('NH13-14'!Y41="",'NH13-14'!X41,IF('NH13-14'!Y41&gt;='NH13-14'!X41,'NH13-14'!Y41,'NH13-14'!X41))</f>
        <v/>
      </c>
      <c r="P41" s="485">
        <f>IF('NH13-14'!AA41="",'NH13-14'!Z41,IF('NH13-14'!AA41&gt;='NH13-14'!Z41,'NH13-14'!AA41,'NH13-14'!Z41))</f>
        <v>5.7</v>
      </c>
      <c r="Q41" s="485">
        <f>IF('NH13-14'!AC41="",'NH13-14'!AB41,IF('NH13-14'!AC41&gt;='NH13-14'!AB41,'NH13-14'!AC41,'NH13-14'!AB41))</f>
        <v>4.7</v>
      </c>
      <c r="R41" s="485" t="str">
        <f>IF('NH13-14'!AE41="",'NH13-14'!AD41,IF('NH13-14'!AE41&gt;='NH13-14'!AD41,'NH13-14'!AE41,'NH13-14'!AD41))</f>
        <v/>
      </c>
      <c r="S41" s="485">
        <f>IF('NH13-14'!AG41="",'NH13-14'!AF41,IF('NH13-14'!AG41&gt;='NH13-14'!AF41,'NH13-14'!AG41,'NH13-14'!AF41))</f>
        <v>6.5</v>
      </c>
      <c r="T41" s="485">
        <f>IF('NH13-14'!AI41="",'NH13-14'!AH41,IF('NH13-14'!AI41&gt;='NH13-14'!AH41,'NH13-14'!AI41,'NH13-14'!AH41))</f>
        <v>5.8</v>
      </c>
      <c r="U41" s="485">
        <f>IF('NH13-14'!AK41="",'NH13-14'!AJ41,IF('NH13-14'!AK41&gt;='NH13-14'!AJ41,'NH13-14'!AK41,'NH13-14'!AJ41))</f>
        <v>6.5</v>
      </c>
      <c r="V41" s="485">
        <f>IF('NH13-14'!AM41="",'NH13-14'!AL41,IF('NH13-14'!AM41&gt;='NH13-14'!AL41,'NH13-14'!AM41,'NH13-14'!AL41))</f>
        <v>5.7</v>
      </c>
      <c r="W41" s="485">
        <f>IF('NH13-14'!AO41="",'NH13-14'!AN41,IF('NH13-14'!AO41&gt;='NH13-14'!AN41,'NH13-14'!AO41,'NH13-14'!AN41))</f>
        <v>5.0999999999999996</v>
      </c>
      <c r="X41" s="485">
        <f>IF('NH13-14'!AQ41="",'NH13-14'!AP41,IF('NH13-14'!AQ41&gt;='NH13-14'!AP41,'NH13-14'!AQ41,'NH13-14'!AP41))</f>
        <v>5.9</v>
      </c>
      <c r="Y41" s="485" t="str">
        <f>IF('NH13-14'!AS41="",'NH13-14'!AR41,IF('NH13-14'!AS41&gt;='NH13-14'!AR41,'NH13-14'!AS41,'NH13-14'!AR41))</f>
        <v/>
      </c>
      <c r="Z41" s="485" t="str">
        <f>IF('NH13-14'!AU41="",'NH13-14'!AT41,IF('NH13-14'!AU41&gt;='NH13-14'!AT41,'NH13-14'!AU41,'NH13-14'!AT41))</f>
        <v/>
      </c>
      <c r="AA41" s="485" t="str">
        <f>IF('NH13-14'!AW41="",'NH13-14'!AV41,IF('NH13-14'!AW41&gt;='NH13-14'!AV41,'NH13-14'!AW41,'NH13-14'!AV41))</f>
        <v/>
      </c>
      <c r="AB41" s="485">
        <f>IF('NH13-14'!AY41="",'NH13-14'!AX41,IF('NH13-14'!AY41&gt;='NH13-14'!AX41,'NH13-14'!AY41,'NH13-14'!AX41))</f>
        <v>5.6</v>
      </c>
      <c r="AC41" s="485" t="str">
        <f>IF('NH13-14'!BA41="",'NH13-14'!AZ41,IF('NH13-14'!BA41&gt;='NH13-14'!AZ41,'NH13-14'!BA41,'NH13-14'!AZ41))</f>
        <v/>
      </c>
      <c r="AD41" s="486">
        <f>IF('NH13-14'!B41="","",ROUND(SUMPRODUCT(G41:AC41,$G$7:$AC$7)/SUMIF(G41:AC41,"&gt;=0",$G$7:$AC$7),2))</f>
        <v>5.79</v>
      </c>
      <c r="AE41" s="487">
        <f t="shared" si="4"/>
        <v>1</v>
      </c>
      <c r="AF41" s="488">
        <f t="shared" si="5"/>
        <v>3</v>
      </c>
      <c r="AG41" s="488">
        <f t="shared" si="6"/>
        <v>1</v>
      </c>
      <c r="AH41" s="488">
        <f t="shared" si="7"/>
        <v>2</v>
      </c>
      <c r="AI41" s="488">
        <f t="shared" si="8"/>
        <v>2</v>
      </c>
      <c r="AJ41" s="488">
        <f t="shared" si="9"/>
        <v>2</v>
      </c>
      <c r="AK41" s="488">
        <f t="shared" si="10"/>
        <v>2</v>
      </c>
      <c r="AL41" s="488" t="str">
        <f t="shared" si="11"/>
        <v/>
      </c>
      <c r="AM41" s="488" t="str">
        <f t="shared" si="12"/>
        <v/>
      </c>
      <c r="AN41" s="488">
        <f t="shared" si="13"/>
        <v>2</v>
      </c>
      <c r="AO41" s="488">
        <f t="shared" si="14"/>
        <v>1</v>
      </c>
      <c r="AP41" s="488" t="str">
        <f t="shared" si="15"/>
        <v/>
      </c>
      <c r="AQ41" s="488">
        <f t="shared" si="16"/>
        <v>2</v>
      </c>
      <c r="AR41" s="488">
        <f t="shared" si="17"/>
        <v>2</v>
      </c>
      <c r="AS41" s="488">
        <f t="shared" si="18"/>
        <v>2</v>
      </c>
      <c r="AT41" s="488">
        <f t="shared" si="19"/>
        <v>2</v>
      </c>
      <c r="AU41" s="488">
        <f t="shared" si="20"/>
        <v>1</v>
      </c>
      <c r="AV41" s="488">
        <f t="shared" si="21"/>
        <v>2</v>
      </c>
      <c r="AW41" s="488" t="str">
        <f t="shared" si="22"/>
        <v/>
      </c>
      <c r="AX41" s="488" t="str">
        <f t="shared" si="23"/>
        <v/>
      </c>
      <c r="AY41" s="488" t="str">
        <f t="shared" si="24"/>
        <v/>
      </c>
      <c r="AZ41" s="488">
        <f t="shared" si="25"/>
        <v>2</v>
      </c>
      <c r="BA41" s="488" t="str">
        <f t="shared" si="26"/>
        <v/>
      </c>
      <c r="BB41" s="486">
        <f>IF('NH13-14'!B41="","",ROUND(SUMPRODUCT(AE41:BA41,$AE$7:$BA$7)/SUMIF(AE41:BA41,"&gt;=1",$AE$7:$BA$7),2))</f>
        <v>1.82</v>
      </c>
      <c r="BC41" s="527">
        <f t="shared" si="27"/>
        <v>5.3</v>
      </c>
      <c r="BD41" s="507">
        <f t="shared" si="28"/>
        <v>7</v>
      </c>
      <c r="BE41" s="507">
        <f t="shared" si="29"/>
        <v>5</v>
      </c>
      <c r="BF41" s="507">
        <f t="shared" si="30"/>
        <v>5.6</v>
      </c>
      <c r="BG41" s="507">
        <f t="shared" si="31"/>
        <v>5.6</v>
      </c>
      <c r="BH41" s="507">
        <f t="shared" si="32"/>
        <v>6</v>
      </c>
      <c r="BI41" s="507">
        <f t="shared" si="33"/>
        <v>6.6</v>
      </c>
      <c r="BJ41" s="507" t="str">
        <f t="shared" si="34"/>
        <v/>
      </c>
      <c r="BK41" s="507" t="str">
        <f t="shared" si="35"/>
        <v/>
      </c>
      <c r="BL41" s="507">
        <f t="shared" si="36"/>
        <v>5.7</v>
      </c>
      <c r="BM41" s="507">
        <f t="shared" si="37"/>
        <v>4.7</v>
      </c>
      <c r="BN41" s="507" t="str">
        <f t="shared" si="38"/>
        <v/>
      </c>
      <c r="BO41" s="507">
        <f t="shared" si="39"/>
        <v>6.5</v>
      </c>
      <c r="BP41" s="507">
        <f t="shared" si="40"/>
        <v>5.8</v>
      </c>
      <c r="BQ41" s="507">
        <f t="shared" si="41"/>
        <v>6.5</v>
      </c>
      <c r="BR41" s="507">
        <f t="shared" si="42"/>
        <v>5.7</v>
      </c>
      <c r="BS41" s="507">
        <f t="shared" si="43"/>
        <v>5.0999999999999996</v>
      </c>
      <c r="BT41" s="507">
        <f t="shared" si="44"/>
        <v>5.9</v>
      </c>
      <c r="BU41" s="507" t="str">
        <f t="shared" si="45"/>
        <v/>
      </c>
      <c r="BV41" s="507" t="str">
        <f t="shared" si="46"/>
        <v/>
      </c>
      <c r="BW41" s="507" t="str">
        <f t="shared" si="47"/>
        <v/>
      </c>
      <c r="BX41" s="507">
        <f t="shared" si="48"/>
        <v>5.6</v>
      </c>
      <c r="BY41" s="507" t="str">
        <f t="shared" si="49"/>
        <v/>
      </c>
    </row>
    <row r="42" spans="1:77">
      <c r="A42" s="481">
        <f>IF('NH13-14'!A42="","",'NH13-14'!A42)</f>
        <v>32</v>
      </c>
      <c r="B42" s="482" t="str">
        <f>IF('NH13-14'!B42="","",'NH13-14'!B42)</f>
        <v>13D301Đ136</v>
      </c>
      <c r="C42" s="490">
        <f t="shared" si="2"/>
        <v>39</v>
      </c>
      <c r="D42" s="490">
        <f t="shared" si="3"/>
        <v>0</v>
      </c>
      <c r="E42" s="483" t="str">
        <f>IF('NH13-14'!C42="","",'NH13-14'!C42)</f>
        <v>Trần Minh</v>
      </c>
      <c r="F42" s="484" t="str">
        <f>IF('NH13-14'!D42="","",'NH13-14'!D42)</f>
        <v>Thanh</v>
      </c>
      <c r="G42" s="485">
        <f>IF('NH13-14'!I42="",'NH13-14'!H42,IF('NH13-14'!I42&gt;='NH13-14'!H42,'NH13-14'!I42,'NH13-14'!H42))</f>
        <v>8.6999999999999993</v>
      </c>
      <c r="H42" s="485">
        <f>IF('NH13-14'!K42="",'NH13-14'!J42,IF('NH13-14'!K42&gt;='NH13-14'!J42,'NH13-14'!K42,'NH13-14'!J42))</f>
        <v>7.9</v>
      </c>
      <c r="I42" s="485">
        <f>IF('NH13-14'!M42="",'NH13-14'!L42,IF('NH13-14'!M42&gt;='NH13-14'!L42,'NH13-14'!M42,'NH13-14'!L42))</f>
        <v>7</v>
      </c>
      <c r="J42" s="485">
        <f>IF('NH13-14'!O42="",'NH13-14'!N42,IF('NH13-14'!O42&gt;='NH13-14'!N42,'NH13-14'!O42,'NH13-14'!N42))</f>
        <v>7.3</v>
      </c>
      <c r="K42" s="485">
        <f>IF('NH13-14'!Q42="",'NH13-14'!P42,IF('NH13-14'!Q42&gt;='NH13-14'!P42,'NH13-14'!Q42,'NH13-14'!P42))</f>
        <v>6.6</v>
      </c>
      <c r="L42" s="485">
        <f>IF('NH13-14'!S42="",'NH13-14'!R42,IF('NH13-14'!S42&gt;='NH13-14'!R42,'NH13-14'!S42,'NH13-14'!R42))</f>
        <v>7.4</v>
      </c>
      <c r="M42" s="485">
        <f>IF('NH13-14'!U42="",'NH13-14'!T42,IF('NH13-14'!U42&gt;='NH13-14'!T42,'NH13-14'!U42,'NH13-14'!T42))</f>
        <v>9.1</v>
      </c>
      <c r="N42" s="485" t="str">
        <f>IF('NH13-14'!W42="",'NH13-14'!V42,IF('NH13-14'!W42&gt;='NH13-14'!V42,'NH13-14'!W42,'NH13-14'!V42))</f>
        <v/>
      </c>
      <c r="O42" s="485" t="str">
        <f>IF('NH13-14'!Y42="",'NH13-14'!X42,IF('NH13-14'!Y42&gt;='NH13-14'!X42,'NH13-14'!Y42,'NH13-14'!X42))</f>
        <v/>
      </c>
      <c r="P42" s="485">
        <f>IF('NH13-14'!AA42="",'NH13-14'!Z42,IF('NH13-14'!AA42&gt;='NH13-14'!Z42,'NH13-14'!AA42,'NH13-14'!Z42))</f>
        <v>7.8</v>
      </c>
      <c r="Q42" s="485">
        <f>IF('NH13-14'!AC42="",'NH13-14'!AB42,IF('NH13-14'!AC42&gt;='NH13-14'!AB42,'NH13-14'!AC42,'NH13-14'!AB42))</f>
        <v>4.7</v>
      </c>
      <c r="R42" s="485" t="str">
        <f>IF('NH13-14'!AE42="",'NH13-14'!AD42,IF('NH13-14'!AE42&gt;='NH13-14'!AD42,'NH13-14'!AE42,'NH13-14'!AD42))</f>
        <v/>
      </c>
      <c r="S42" s="485">
        <f>IF('NH13-14'!AG42="",'NH13-14'!AF42,IF('NH13-14'!AG42&gt;='NH13-14'!AF42,'NH13-14'!AG42,'NH13-14'!AF42))</f>
        <v>8.6999999999999993</v>
      </c>
      <c r="T42" s="485">
        <f>IF('NH13-14'!AI42="",'NH13-14'!AH42,IF('NH13-14'!AI42&gt;='NH13-14'!AH42,'NH13-14'!AI42,'NH13-14'!AH42))</f>
        <v>8.1</v>
      </c>
      <c r="U42" s="485">
        <f>IF('NH13-14'!AK42="",'NH13-14'!AJ42,IF('NH13-14'!AK42&gt;='NH13-14'!AJ42,'NH13-14'!AK42,'NH13-14'!AJ42))</f>
        <v>8.1</v>
      </c>
      <c r="V42" s="485">
        <f>IF('NH13-14'!AM42="",'NH13-14'!AL42,IF('NH13-14'!AM42&gt;='NH13-14'!AL42,'NH13-14'!AM42,'NH13-14'!AL42))</f>
        <v>8.5</v>
      </c>
      <c r="W42" s="485">
        <f>IF('NH13-14'!AO42="",'NH13-14'!AN42,IF('NH13-14'!AO42&gt;='NH13-14'!AN42,'NH13-14'!AO42,'NH13-14'!AN42))</f>
        <v>8.6</v>
      </c>
      <c r="X42" s="485">
        <f>IF('NH13-14'!AQ42="",'NH13-14'!AP42,IF('NH13-14'!AQ42&gt;='NH13-14'!AP42,'NH13-14'!AQ42,'NH13-14'!AP42))</f>
        <v>7.2</v>
      </c>
      <c r="Y42" s="485" t="str">
        <f>IF('NH13-14'!AS42="",'NH13-14'!AR42,IF('NH13-14'!AS42&gt;='NH13-14'!AR42,'NH13-14'!AS42,'NH13-14'!AR42))</f>
        <v/>
      </c>
      <c r="Z42" s="485" t="str">
        <f>IF('NH13-14'!AU42="",'NH13-14'!AT42,IF('NH13-14'!AU42&gt;='NH13-14'!AT42,'NH13-14'!AU42,'NH13-14'!AT42))</f>
        <v/>
      </c>
      <c r="AA42" s="485" t="str">
        <f>IF('NH13-14'!AW42="",'NH13-14'!AV42,IF('NH13-14'!AW42&gt;='NH13-14'!AV42,'NH13-14'!AW42,'NH13-14'!AV42))</f>
        <v/>
      </c>
      <c r="AB42" s="485">
        <f>IF('NH13-14'!AY42="",'NH13-14'!AX42,IF('NH13-14'!AY42&gt;='NH13-14'!AX42,'NH13-14'!AY42,'NH13-14'!AX42))</f>
        <v>8.3000000000000007</v>
      </c>
      <c r="AC42" s="485" t="str">
        <f>IF('NH13-14'!BA42="",'NH13-14'!AZ42,IF('NH13-14'!BA42&gt;='NH13-14'!AZ42,'NH13-14'!BA42,'NH13-14'!AZ42))</f>
        <v/>
      </c>
      <c r="AD42" s="486">
        <f>IF('NH13-14'!B42="","",ROUND(SUMPRODUCT(G42:AC42,$G$7:$AC$7)/SUMIF(G42:AC42,"&gt;=0",$G$7:$AC$7),2))</f>
        <v>7.64</v>
      </c>
      <c r="AE42" s="487">
        <f t="shared" si="4"/>
        <v>4</v>
      </c>
      <c r="AF42" s="488">
        <f t="shared" si="5"/>
        <v>3</v>
      </c>
      <c r="AG42" s="488">
        <f t="shared" si="6"/>
        <v>3</v>
      </c>
      <c r="AH42" s="488">
        <f t="shared" si="7"/>
        <v>3</v>
      </c>
      <c r="AI42" s="488">
        <f t="shared" si="8"/>
        <v>2</v>
      </c>
      <c r="AJ42" s="488">
        <f t="shared" si="9"/>
        <v>3</v>
      </c>
      <c r="AK42" s="488">
        <f t="shared" si="10"/>
        <v>4</v>
      </c>
      <c r="AL42" s="488" t="str">
        <f t="shared" si="11"/>
        <v/>
      </c>
      <c r="AM42" s="488" t="str">
        <f t="shared" si="12"/>
        <v/>
      </c>
      <c r="AN42" s="488">
        <f t="shared" si="13"/>
        <v>3</v>
      </c>
      <c r="AO42" s="488">
        <f t="shared" si="14"/>
        <v>1</v>
      </c>
      <c r="AP42" s="488" t="str">
        <f t="shared" si="15"/>
        <v/>
      </c>
      <c r="AQ42" s="488">
        <f t="shared" si="16"/>
        <v>4</v>
      </c>
      <c r="AR42" s="488">
        <f t="shared" si="17"/>
        <v>3</v>
      </c>
      <c r="AS42" s="488">
        <f t="shared" si="18"/>
        <v>3</v>
      </c>
      <c r="AT42" s="488">
        <f t="shared" si="19"/>
        <v>4</v>
      </c>
      <c r="AU42" s="488">
        <f t="shared" si="20"/>
        <v>4</v>
      </c>
      <c r="AV42" s="488">
        <f t="shared" si="21"/>
        <v>3</v>
      </c>
      <c r="AW42" s="488" t="str">
        <f t="shared" si="22"/>
        <v/>
      </c>
      <c r="AX42" s="488" t="str">
        <f t="shared" si="23"/>
        <v/>
      </c>
      <c r="AY42" s="488" t="str">
        <f t="shared" si="24"/>
        <v/>
      </c>
      <c r="AZ42" s="488">
        <f t="shared" si="25"/>
        <v>3</v>
      </c>
      <c r="BA42" s="488" t="str">
        <f t="shared" si="26"/>
        <v/>
      </c>
      <c r="BB42" s="486">
        <f>IF('NH13-14'!B42="","",ROUND(SUMPRODUCT(AE42:BA42,$AE$7:$BA$7)/SUMIF(AE42:BA42,"&gt;=1",$AE$7:$BA$7),2))</f>
        <v>3.05</v>
      </c>
      <c r="BC42" s="527">
        <f t="shared" si="27"/>
        <v>8.6999999999999993</v>
      </c>
      <c r="BD42" s="507">
        <f t="shared" si="28"/>
        <v>7.9</v>
      </c>
      <c r="BE42" s="507">
        <f t="shared" si="29"/>
        <v>7</v>
      </c>
      <c r="BF42" s="507">
        <f t="shared" si="30"/>
        <v>7.3</v>
      </c>
      <c r="BG42" s="507">
        <f t="shared" si="31"/>
        <v>6.6</v>
      </c>
      <c r="BH42" s="507">
        <f t="shared" si="32"/>
        <v>7.4</v>
      </c>
      <c r="BI42" s="507">
        <f t="shared" si="33"/>
        <v>9.1</v>
      </c>
      <c r="BJ42" s="507" t="str">
        <f t="shared" si="34"/>
        <v/>
      </c>
      <c r="BK42" s="507" t="str">
        <f t="shared" si="35"/>
        <v/>
      </c>
      <c r="BL42" s="507">
        <f t="shared" si="36"/>
        <v>7.8</v>
      </c>
      <c r="BM42" s="507">
        <f t="shared" si="37"/>
        <v>4.7</v>
      </c>
      <c r="BN42" s="507" t="str">
        <f t="shared" si="38"/>
        <v/>
      </c>
      <c r="BO42" s="507">
        <f t="shared" si="39"/>
        <v>8.6999999999999993</v>
      </c>
      <c r="BP42" s="507">
        <f t="shared" si="40"/>
        <v>8.1</v>
      </c>
      <c r="BQ42" s="507">
        <f t="shared" si="41"/>
        <v>8.1</v>
      </c>
      <c r="BR42" s="507">
        <f t="shared" si="42"/>
        <v>8.5</v>
      </c>
      <c r="BS42" s="507">
        <f t="shared" si="43"/>
        <v>8.6</v>
      </c>
      <c r="BT42" s="507">
        <f t="shared" si="44"/>
        <v>7.2</v>
      </c>
      <c r="BU42" s="507" t="str">
        <f t="shared" si="45"/>
        <v/>
      </c>
      <c r="BV42" s="507" t="str">
        <f t="shared" si="46"/>
        <v/>
      </c>
      <c r="BW42" s="507" t="str">
        <f t="shared" si="47"/>
        <v/>
      </c>
      <c r="BX42" s="507">
        <f t="shared" si="48"/>
        <v>8.3000000000000007</v>
      </c>
      <c r="BY42" s="507" t="str">
        <f t="shared" si="49"/>
        <v/>
      </c>
    </row>
    <row r="43" spans="1:77">
      <c r="A43" s="481">
        <f>IF('NH13-14'!A43="","",'NH13-14'!A43)</f>
        <v>33</v>
      </c>
      <c r="B43" s="482" t="str">
        <f>IF('NH13-14'!B43="","",'NH13-14'!B43)</f>
        <v>13D301Đ169</v>
      </c>
      <c r="C43" s="490">
        <f t="shared" si="2"/>
        <v>35</v>
      </c>
      <c r="D43" s="490">
        <f t="shared" si="3"/>
        <v>4</v>
      </c>
      <c r="E43" s="483" t="str">
        <f>IF('NH13-14'!C43="","",'NH13-14'!C43)</f>
        <v>Nguyễn Thanh</v>
      </c>
      <c r="F43" s="484" t="str">
        <f>IF('NH13-14'!D43="","",'NH13-14'!D43)</f>
        <v>Thảo</v>
      </c>
      <c r="G43" s="485">
        <f>IF('NH13-14'!I43="",'NH13-14'!H43,IF('NH13-14'!I43&gt;='NH13-14'!H43,'NH13-14'!I43,'NH13-14'!H43))</f>
        <v>5.5</v>
      </c>
      <c r="H43" s="485">
        <f>IF('NH13-14'!K43="",'NH13-14'!J43,IF('NH13-14'!K43&gt;='NH13-14'!J43,'NH13-14'!K43,'NH13-14'!J43))</f>
        <v>4.7</v>
      </c>
      <c r="I43" s="485">
        <f>IF('NH13-14'!M43="",'NH13-14'!L43,IF('NH13-14'!M43&gt;='NH13-14'!L43,'NH13-14'!M43,'NH13-14'!L43))</f>
        <v>6.5</v>
      </c>
      <c r="J43" s="485">
        <f>IF('NH13-14'!O43="",'NH13-14'!N43,IF('NH13-14'!O43&gt;='NH13-14'!N43,'NH13-14'!O43,'NH13-14'!N43))</f>
        <v>4.5</v>
      </c>
      <c r="K43" s="485">
        <f>IF('NH13-14'!Q43="",'NH13-14'!P43,IF('NH13-14'!Q43&gt;='NH13-14'!P43,'NH13-14'!Q43,'NH13-14'!P43))</f>
        <v>4.7</v>
      </c>
      <c r="L43" s="485">
        <f>IF('NH13-14'!S43="",'NH13-14'!R43,IF('NH13-14'!S43&gt;='NH13-14'!R43,'NH13-14'!S43,'NH13-14'!R43))</f>
        <v>4.5</v>
      </c>
      <c r="M43" s="485">
        <f>IF('NH13-14'!U43="",'NH13-14'!T43,IF('NH13-14'!U43&gt;='NH13-14'!T43,'NH13-14'!U43,'NH13-14'!T43))</f>
        <v>6.4</v>
      </c>
      <c r="N43" s="485" t="str">
        <f>IF('NH13-14'!W43="",'NH13-14'!V43,IF('NH13-14'!W43&gt;='NH13-14'!V43,'NH13-14'!W43,'NH13-14'!V43))</f>
        <v/>
      </c>
      <c r="O43" s="485" t="str">
        <f>IF('NH13-14'!Y43="",'NH13-14'!X43,IF('NH13-14'!Y43&gt;='NH13-14'!X43,'NH13-14'!Y43,'NH13-14'!X43))</f>
        <v/>
      </c>
      <c r="P43" s="485">
        <f>IF('NH13-14'!AA43="",'NH13-14'!Z43,IF('NH13-14'!AA43&gt;='NH13-14'!Z43,'NH13-14'!AA43,'NH13-14'!Z43))</f>
        <v>3.7</v>
      </c>
      <c r="Q43" s="485">
        <f>IF('NH13-14'!AC43="",'NH13-14'!AB43,IF('NH13-14'!AC43&gt;='NH13-14'!AB43,'NH13-14'!AC43,'NH13-14'!AB43))</f>
        <v>5.0999999999999996</v>
      </c>
      <c r="R43" s="485" t="str">
        <f>IF('NH13-14'!AE43="",'NH13-14'!AD43,IF('NH13-14'!AE43&gt;='NH13-14'!AD43,'NH13-14'!AE43,'NH13-14'!AD43))</f>
        <v/>
      </c>
      <c r="S43" s="485">
        <f>IF('NH13-14'!AG43="",'NH13-14'!AF43,IF('NH13-14'!AG43&gt;='NH13-14'!AF43,'NH13-14'!AG43,'NH13-14'!AF43))</f>
        <v>6.6</v>
      </c>
      <c r="T43" s="485">
        <f>IF('NH13-14'!AI43="",'NH13-14'!AH43,IF('NH13-14'!AI43&gt;='NH13-14'!AH43,'NH13-14'!AI43,'NH13-14'!AH43))</f>
        <v>5.2</v>
      </c>
      <c r="U43" s="485">
        <f>IF('NH13-14'!AK43="",'NH13-14'!AJ43,IF('NH13-14'!AK43&gt;='NH13-14'!AJ43,'NH13-14'!AK43,'NH13-14'!AJ43))</f>
        <v>6.3</v>
      </c>
      <c r="V43" s="485">
        <f>IF('NH13-14'!AM43="",'NH13-14'!AL43,IF('NH13-14'!AM43&gt;='NH13-14'!AL43,'NH13-14'!AM43,'NH13-14'!AL43))</f>
        <v>7.6</v>
      </c>
      <c r="W43" s="485">
        <f>IF('NH13-14'!AO43="",'NH13-14'!AN43,IF('NH13-14'!AO43&gt;='NH13-14'!AN43,'NH13-14'!AO43,'NH13-14'!AN43))</f>
        <v>2.8</v>
      </c>
      <c r="X43" s="485">
        <f>IF('NH13-14'!AQ43="",'NH13-14'!AP43,IF('NH13-14'!AQ43&gt;='NH13-14'!AP43,'NH13-14'!AQ43,'NH13-14'!AP43))</f>
        <v>7</v>
      </c>
      <c r="Y43" s="485" t="str">
        <f>IF('NH13-14'!AS43="",'NH13-14'!AR43,IF('NH13-14'!AS43&gt;='NH13-14'!AR43,'NH13-14'!AS43,'NH13-14'!AR43))</f>
        <v/>
      </c>
      <c r="Z43" s="485" t="str">
        <f>IF('NH13-14'!AU43="",'NH13-14'!AT43,IF('NH13-14'!AU43&gt;='NH13-14'!AT43,'NH13-14'!AU43,'NH13-14'!AT43))</f>
        <v/>
      </c>
      <c r="AA43" s="485" t="str">
        <f>IF('NH13-14'!AW43="",'NH13-14'!AV43,IF('NH13-14'!AW43&gt;='NH13-14'!AV43,'NH13-14'!AW43,'NH13-14'!AV43))</f>
        <v/>
      </c>
      <c r="AB43" s="485">
        <f>IF('NH13-14'!AY43="",'NH13-14'!AX43,IF('NH13-14'!AY43&gt;='NH13-14'!AX43,'NH13-14'!AY43,'NH13-14'!AX43))</f>
        <v>6.6</v>
      </c>
      <c r="AC43" s="485" t="str">
        <f>IF('NH13-14'!BA43="",'NH13-14'!AZ43,IF('NH13-14'!BA43&gt;='NH13-14'!AZ43,'NH13-14'!BA43,'NH13-14'!AZ43))</f>
        <v/>
      </c>
      <c r="AD43" s="486">
        <f>IF('NH13-14'!B43="","",ROUND(SUMPRODUCT(G43:AC43,$G$7:$AC$7)/SUMIF(G43:AC43,"&gt;=0",$G$7:$AC$7),2))</f>
        <v>5.36</v>
      </c>
      <c r="AE43" s="487">
        <f t="shared" si="4"/>
        <v>2</v>
      </c>
      <c r="AF43" s="488">
        <f t="shared" si="5"/>
        <v>1</v>
      </c>
      <c r="AG43" s="488">
        <f t="shared" si="6"/>
        <v>2</v>
      </c>
      <c r="AH43" s="488">
        <f t="shared" si="7"/>
        <v>1</v>
      </c>
      <c r="AI43" s="488">
        <f t="shared" si="8"/>
        <v>1</v>
      </c>
      <c r="AJ43" s="488">
        <f t="shared" si="9"/>
        <v>1</v>
      </c>
      <c r="AK43" s="488">
        <f t="shared" si="10"/>
        <v>2</v>
      </c>
      <c r="AL43" s="488" t="str">
        <f t="shared" si="11"/>
        <v/>
      </c>
      <c r="AM43" s="488" t="str">
        <f t="shared" si="12"/>
        <v/>
      </c>
      <c r="AN43" s="488" t="str">
        <f t="shared" si="13"/>
        <v/>
      </c>
      <c r="AO43" s="488">
        <f t="shared" si="14"/>
        <v>1</v>
      </c>
      <c r="AP43" s="488" t="str">
        <f t="shared" si="15"/>
        <v/>
      </c>
      <c r="AQ43" s="488">
        <f t="shared" si="16"/>
        <v>2</v>
      </c>
      <c r="AR43" s="488">
        <f t="shared" si="17"/>
        <v>1</v>
      </c>
      <c r="AS43" s="488">
        <f t="shared" si="18"/>
        <v>2</v>
      </c>
      <c r="AT43" s="488">
        <f t="shared" si="19"/>
        <v>3</v>
      </c>
      <c r="AU43" s="488" t="str">
        <f t="shared" si="20"/>
        <v/>
      </c>
      <c r="AV43" s="488">
        <f t="shared" si="21"/>
        <v>3</v>
      </c>
      <c r="AW43" s="488" t="str">
        <f t="shared" si="22"/>
        <v/>
      </c>
      <c r="AX43" s="488" t="str">
        <f t="shared" si="23"/>
        <v/>
      </c>
      <c r="AY43" s="488" t="str">
        <f t="shared" si="24"/>
        <v/>
      </c>
      <c r="AZ43" s="488">
        <f t="shared" si="25"/>
        <v>2</v>
      </c>
      <c r="BA43" s="488" t="str">
        <f t="shared" si="26"/>
        <v/>
      </c>
      <c r="BB43" s="486">
        <f>IF('NH13-14'!B43="","",ROUND(SUMPRODUCT(AE43:BA43,$AE$7:$BA$7)/SUMIF(AE43:BA43,"&gt;=1",$AE$7:$BA$7),2))</f>
        <v>1.6</v>
      </c>
      <c r="BC43" s="527">
        <f t="shared" si="27"/>
        <v>5.5</v>
      </c>
      <c r="BD43" s="507">
        <f t="shared" si="28"/>
        <v>4.7</v>
      </c>
      <c r="BE43" s="507">
        <f t="shared" si="29"/>
        <v>6.5</v>
      </c>
      <c r="BF43" s="507">
        <f t="shared" si="30"/>
        <v>4.5</v>
      </c>
      <c r="BG43" s="507">
        <f t="shared" si="31"/>
        <v>4.7</v>
      </c>
      <c r="BH43" s="507">
        <f t="shared" si="32"/>
        <v>4.5</v>
      </c>
      <c r="BI43" s="507">
        <f t="shared" si="33"/>
        <v>6.4</v>
      </c>
      <c r="BJ43" s="507" t="str">
        <f t="shared" si="34"/>
        <v/>
      </c>
      <c r="BK43" s="507" t="str">
        <f t="shared" si="35"/>
        <v/>
      </c>
      <c r="BL43" s="507" t="str">
        <f t="shared" si="36"/>
        <v/>
      </c>
      <c r="BM43" s="507">
        <f t="shared" si="37"/>
        <v>5.0999999999999996</v>
      </c>
      <c r="BN43" s="507" t="str">
        <f t="shared" si="38"/>
        <v/>
      </c>
      <c r="BO43" s="507">
        <f t="shared" si="39"/>
        <v>6.6</v>
      </c>
      <c r="BP43" s="507">
        <f t="shared" si="40"/>
        <v>5.2</v>
      </c>
      <c r="BQ43" s="507">
        <f t="shared" si="41"/>
        <v>6.3</v>
      </c>
      <c r="BR43" s="507">
        <f t="shared" si="42"/>
        <v>7.6</v>
      </c>
      <c r="BS43" s="507" t="str">
        <f t="shared" si="43"/>
        <v/>
      </c>
      <c r="BT43" s="507">
        <f t="shared" si="44"/>
        <v>7</v>
      </c>
      <c r="BU43" s="507" t="str">
        <f t="shared" si="45"/>
        <v/>
      </c>
      <c r="BV43" s="507" t="str">
        <f t="shared" si="46"/>
        <v/>
      </c>
      <c r="BW43" s="507" t="str">
        <f t="shared" si="47"/>
        <v/>
      </c>
      <c r="BX43" s="507">
        <f t="shared" si="48"/>
        <v>6.6</v>
      </c>
      <c r="BY43" s="507" t="str">
        <f t="shared" si="49"/>
        <v/>
      </c>
    </row>
    <row r="44" spans="1:77">
      <c r="A44" s="481">
        <f>IF('NH13-14'!A44="","",'NH13-14'!A44)</f>
        <v>34</v>
      </c>
      <c r="B44" s="482" t="str">
        <f>IF('NH13-14'!B44="","",'NH13-14'!B44)</f>
        <v>13D301Đ142</v>
      </c>
      <c r="C44" s="490">
        <f t="shared" si="2"/>
        <v>39</v>
      </c>
      <c r="D44" s="490">
        <f t="shared" si="3"/>
        <v>0</v>
      </c>
      <c r="E44" s="483" t="str">
        <f>IF('NH13-14'!C44="","",'NH13-14'!C44)</f>
        <v>Lê Phúc</v>
      </c>
      <c r="F44" s="484" t="str">
        <f>IF('NH13-14'!D44="","",'NH13-14'!D44)</f>
        <v>Thịnh</v>
      </c>
      <c r="G44" s="485">
        <f>IF('NH13-14'!I44="",'NH13-14'!H44,IF('NH13-14'!I44&gt;='NH13-14'!H44,'NH13-14'!I44,'NH13-14'!H44))</f>
        <v>5.5</v>
      </c>
      <c r="H44" s="485">
        <f>IF('NH13-14'!K44="",'NH13-14'!J44,IF('NH13-14'!K44&gt;='NH13-14'!J44,'NH13-14'!K44,'NH13-14'!J44))</f>
        <v>5.5</v>
      </c>
      <c r="I44" s="485">
        <f>IF('NH13-14'!M44="",'NH13-14'!L44,IF('NH13-14'!M44&gt;='NH13-14'!L44,'NH13-14'!M44,'NH13-14'!L44))</f>
        <v>5.0999999999999996</v>
      </c>
      <c r="J44" s="485">
        <f>IF('NH13-14'!O44="",'NH13-14'!N44,IF('NH13-14'!O44&gt;='NH13-14'!N44,'NH13-14'!O44,'NH13-14'!N44))</f>
        <v>6.3</v>
      </c>
      <c r="K44" s="485">
        <f>IF('NH13-14'!Q44="",'NH13-14'!P44,IF('NH13-14'!Q44&gt;='NH13-14'!P44,'NH13-14'!Q44,'NH13-14'!P44))</f>
        <v>6</v>
      </c>
      <c r="L44" s="485">
        <f>IF('NH13-14'!S44="",'NH13-14'!R44,IF('NH13-14'!S44&gt;='NH13-14'!R44,'NH13-14'!S44,'NH13-14'!R44))</f>
        <v>5.9</v>
      </c>
      <c r="M44" s="485">
        <f>IF('NH13-14'!U44="",'NH13-14'!T44,IF('NH13-14'!U44&gt;='NH13-14'!T44,'NH13-14'!U44,'NH13-14'!T44))</f>
        <v>6.9</v>
      </c>
      <c r="N44" s="485" t="str">
        <f>IF('NH13-14'!W44="",'NH13-14'!V44,IF('NH13-14'!W44&gt;='NH13-14'!V44,'NH13-14'!W44,'NH13-14'!V44))</f>
        <v/>
      </c>
      <c r="O44" s="485" t="str">
        <f>IF('NH13-14'!Y44="",'NH13-14'!X44,IF('NH13-14'!Y44&gt;='NH13-14'!X44,'NH13-14'!Y44,'NH13-14'!X44))</f>
        <v/>
      </c>
      <c r="P44" s="485">
        <f>IF('NH13-14'!AA44="",'NH13-14'!Z44,IF('NH13-14'!AA44&gt;='NH13-14'!Z44,'NH13-14'!AA44,'NH13-14'!Z44))</f>
        <v>7.4</v>
      </c>
      <c r="Q44" s="485">
        <f>IF('NH13-14'!AC44="",'NH13-14'!AB44,IF('NH13-14'!AC44&gt;='NH13-14'!AB44,'NH13-14'!AC44,'NH13-14'!AB44))</f>
        <v>5.0999999999999996</v>
      </c>
      <c r="R44" s="485">
        <f>IF('NH13-14'!AE44="",'NH13-14'!AD44,IF('NH13-14'!AE44&gt;='NH13-14'!AD44,'NH13-14'!AE44,'NH13-14'!AD44))</f>
        <v>6.6</v>
      </c>
      <c r="S44" s="485" t="str">
        <f>IF('NH13-14'!AG44="",'NH13-14'!AF44,IF('NH13-14'!AG44&gt;='NH13-14'!AF44,'NH13-14'!AG44,'NH13-14'!AF44))</f>
        <v/>
      </c>
      <c r="T44" s="485">
        <f>IF('NH13-14'!AI44="",'NH13-14'!AH44,IF('NH13-14'!AI44&gt;='NH13-14'!AH44,'NH13-14'!AI44,'NH13-14'!AH44))</f>
        <v>6.4</v>
      </c>
      <c r="U44" s="485">
        <f>IF('NH13-14'!AK44="",'NH13-14'!AJ44,IF('NH13-14'!AK44&gt;='NH13-14'!AJ44,'NH13-14'!AK44,'NH13-14'!AJ44))</f>
        <v>5.4</v>
      </c>
      <c r="V44" s="485">
        <f>IF('NH13-14'!AM44="",'NH13-14'!AL44,IF('NH13-14'!AM44&gt;='NH13-14'!AL44,'NH13-14'!AM44,'NH13-14'!AL44))</f>
        <v>6.9</v>
      </c>
      <c r="W44" s="485">
        <f>IF('NH13-14'!AO44="",'NH13-14'!AN44,IF('NH13-14'!AO44&gt;='NH13-14'!AN44,'NH13-14'!AO44,'NH13-14'!AN44))</f>
        <v>5.8</v>
      </c>
      <c r="X44" s="485">
        <f>IF('NH13-14'!AQ44="",'NH13-14'!AP44,IF('NH13-14'!AQ44&gt;='NH13-14'!AP44,'NH13-14'!AQ44,'NH13-14'!AP44))</f>
        <v>7.4</v>
      </c>
      <c r="Y44" s="485" t="str">
        <f>IF('NH13-14'!AS44="",'NH13-14'!AR44,IF('NH13-14'!AS44&gt;='NH13-14'!AR44,'NH13-14'!AS44,'NH13-14'!AR44))</f>
        <v/>
      </c>
      <c r="Z44" s="485" t="str">
        <f>IF('NH13-14'!AU44="",'NH13-14'!AT44,IF('NH13-14'!AU44&gt;='NH13-14'!AT44,'NH13-14'!AU44,'NH13-14'!AT44))</f>
        <v/>
      </c>
      <c r="AA44" s="485" t="str">
        <f>IF('NH13-14'!AW44="",'NH13-14'!AV44,IF('NH13-14'!AW44&gt;='NH13-14'!AV44,'NH13-14'!AW44,'NH13-14'!AV44))</f>
        <v/>
      </c>
      <c r="AB44" s="485">
        <f>IF('NH13-14'!AY44="",'NH13-14'!AX44,IF('NH13-14'!AY44&gt;='NH13-14'!AX44,'NH13-14'!AY44,'NH13-14'!AX44))</f>
        <v>5.8</v>
      </c>
      <c r="AC44" s="485" t="str">
        <f>IF('NH13-14'!BA44="",'NH13-14'!AZ44,IF('NH13-14'!BA44&gt;='NH13-14'!AZ44,'NH13-14'!BA44,'NH13-14'!AZ44))</f>
        <v/>
      </c>
      <c r="AD44" s="486">
        <f>IF('NH13-14'!B44="","",ROUND(SUMPRODUCT(G44:AC44,$G$7:$AC$7)/SUMIF(G44:AC44,"&gt;=0",$G$7:$AC$7),2))</f>
        <v>6.05</v>
      </c>
      <c r="AE44" s="487">
        <f t="shared" ref="AE44:AE75" si="50">IF(G44="","",IF(G44&lt;4,"",IF(G44&lt;5.5,1,IF(G44&lt;7,2,IF(G44&lt;8.5,3,4)))))</f>
        <v>2</v>
      </c>
      <c r="AF44" s="488">
        <f t="shared" ref="AF44:AF75" si="51">IF(H44="","",IF(H44&lt;4,"",IF(H44&lt;5.5,1,IF(H44&lt;7,2,IF(H44&lt;8.5,3,4)))))</f>
        <v>2</v>
      </c>
      <c r="AG44" s="488">
        <f t="shared" ref="AG44:AG75" si="52">IF(I44="","",IF(I44&lt;4,"",IF(I44&lt;5.5,1,IF(I44&lt;7,2,IF(I44&lt;8.5,3,4)))))</f>
        <v>1</v>
      </c>
      <c r="AH44" s="488">
        <f t="shared" ref="AH44:AH75" si="53">IF(J44="","",IF(J44&lt;4,"",IF(J44&lt;5.5,1,IF(J44&lt;7,2,IF(J44&lt;8.5,3,4)))))</f>
        <v>2</v>
      </c>
      <c r="AI44" s="488">
        <f t="shared" ref="AI44:AI75" si="54">IF(K44="","",IF(K44&lt;4,"",IF(K44&lt;5.5,1,IF(K44&lt;7,2,IF(K44&lt;8.5,3,4)))))</f>
        <v>2</v>
      </c>
      <c r="AJ44" s="488">
        <f t="shared" ref="AJ44:AJ75" si="55">IF(L44="","",IF(L44&lt;4,"",IF(L44&lt;5.5,1,IF(L44&lt;7,2,IF(L44&lt;8.5,3,4)))))</f>
        <v>2</v>
      </c>
      <c r="AK44" s="488">
        <f t="shared" ref="AK44:AK75" si="56">IF(M44="","",IF(M44&lt;4,"",IF(M44&lt;5.5,1,IF(M44&lt;7,2,IF(M44&lt;8.5,3,4)))))</f>
        <v>2</v>
      </c>
      <c r="AL44" s="488" t="str">
        <f t="shared" ref="AL44:AL75" si="57">IF(N44="","",IF(N44&lt;4,"",IF(N44&lt;5.5,1,IF(N44&lt;7,2,IF(N44&lt;8.5,3,4)))))</f>
        <v/>
      </c>
      <c r="AM44" s="488" t="str">
        <f t="shared" ref="AM44:AM75" si="58">IF(O44="","",IF(O44&lt;4,"",IF(O44&lt;5.5,1,IF(O44&lt;7,2,IF(O44&lt;8.5,3,4)))))</f>
        <v/>
      </c>
      <c r="AN44" s="488">
        <f t="shared" ref="AN44:AN75" si="59">IF(P44="","",IF(P44&lt;4,"",IF(P44&lt;5.5,1,IF(P44&lt;7,2,IF(P44&lt;8.5,3,4)))))</f>
        <v>3</v>
      </c>
      <c r="AO44" s="488">
        <f t="shared" ref="AO44:AO75" si="60">IF(Q44="","",IF(Q44&lt;4,"",IF(Q44&lt;5.5,1,IF(Q44&lt;7,2,IF(Q44&lt;8.5,3,4)))))</f>
        <v>1</v>
      </c>
      <c r="AP44" s="488">
        <f t="shared" ref="AP44:AP75" si="61">IF(R44="","",IF(R44&lt;4,"",IF(R44&lt;5.5,1,IF(R44&lt;7,2,IF(R44&lt;8.5,3,4)))))</f>
        <v>2</v>
      </c>
      <c r="AQ44" s="488" t="str">
        <f t="shared" ref="AQ44:AQ75" si="62">IF(S44="","",IF(S44&lt;4,"",IF(S44&lt;5.5,1,IF(S44&lt;7,2,IF(S44&lt;8.5,3,4)))))</f>
        <v/>
      </c>
      <c r="AR44" s="488">
        <f t="shared" ref="AR44:AR75" si="63">IF(T44="","",IF(T44&lt;4,"",IF(T44&lt;5.5,1,IF(T44&lt;7,2,IF(T44&lt;8.5,3,4)))))</f>
        <v>2</v>
      </c>
      <c r="AS44" s="488">
        <f t="shared" ref="AS44:AS75" si="64">IF(U44="","",IF(U44&lt;4,"",IF(U44&lt;5.5,1,IF(U44&lt;7,2,IF(U44&lt;8.5,3,4)))))</f>
        <v>1</v>
      </c>
      <c r="AT44" s="488">
        <f t="shared" ref="AT44:AT75" si="65">IF(V44="","",IF(V44&lt;4,"",IF(V44&lt;5.5,1,IF(V44&lt;7,2,IF(V44&lt;8.5,3,4)))))</f>
        <v>2</v>
      </c>
      <c r="AU44" s="488">
        <f t="shared" ref="AU44:AU75" si="66">IF(W44="","",IF(W44&lt;4,"",IF(W44&lt;5.5,1,IF(W44&lt;7,2,IF(W44&lt;8.5,3,4)))))</f>
        <v>2</v>
      </c>
      <c r="AV44" s="488">
        <f t="shared" ref="AV44:AV75" si="67">IF(X44="","",IF(X44&lt;4,"",IF(X44&lt;5.5,1,IF(X44&lt;7,2,IF(X44&lt;8.5,3,4)))))</f>
        <v>3</v>
      </c>
      <c r="AW44" s="488" t="str">
        <f t="shared" ref="AW44:AW75" si="68">IF(Y44="","",IF(Y44&lt;4,"",IF(Y44&lt;5.5,1,IF(Y44&lt;7,2,IF(Y44&lt;8.5,3,4)))))</f>
        <v/>
      </c>
      <c r="AX44" s="488" t="str">
        <f t="shared" ref="AX44:AX75" si="69">IF(Z44="","",IF(Z44&lt;4,"",IF(Z44&lt;5.5,1,IF(Z44&lt;7,2,IF(Z44&lt;8.5,3,4)))))</f>
        <v/>
      </c>
      <c r="AY44" s="488" t="str">
        <f t="shared" ref="AY44:AY75" si="70">IF(AA44="","",IF(AA44&lt;4,"",IF(AA44&lt;5.5,1,IF(AA44&lt;7,2,IF(AA44&lt;8.5,3,4)))))</f>
        <v/>
      </c>
      <c r="AZ44" s="488">
        <f t="shared" ref="AZ44:AZ75" si="71">IF(AB44="","",IF(AB44&lt;4,"",IF(AB44&lt;5.5,1,IF(AB44&lt;7,2,IF(AB44&lt;8.5,3,4)))))</f>
        <v>2</v>
      </c>
      <c r="BA44" s="488" t="str">
        <f t="shared" si="26"/>
        <v/>
      </c>
      <c r="BB44" s="486">
        <f>IF('NH13-14'!B44="","",ROUND(SUMPRODUCT(AE44:BA44,$AE$7:$BA$7)/SUMIF(AE44:BA44,"&gt;=1",$AE$7:$BA$7),2))</f>
        <v>1.92</v>
      </c>
      <c r="BC44" s="527">
        <f t="shared" si="27"/>
        <v>5.5</v>
      </c>
      <c r="BD44" s="507">
        <f t="shared" si="28"/>
        <v>5.5</v>
      </c>
      <c r="BE44" s="507">
        <f t="shared" si="29"/>
        <v>5.0999999999999996</v>
      </c>
      <c r="BF44" s="507">
        <f t="shared" si="30"/>
        <v>6.3</v>
      </c>
      <c r="BG44" s="507">
        <f t="shared" si="31"/>
        <v>6</v>
      </c>
      <c r="BH44" s="507">
        <f t="shared" si="32"/>
        <v>5.9</v>
      </c>
      <c r="BI44" s="507">
        <f t="shared" si="33"/>
        <v>6.9</v>
      </c>
      <c r="BJ44" s="507" t="str">
        <f t="shared" si="34"/>
        <v/>
      </c>
      <c r="BK44" s="507" t="str">
        <f t="shared" si="35"/>
        <v/>
      </c>
      <c r="BL44" s="507">
        <f t="shared" si="36"/>
        <v>7.4</v>
      </c>
      <c r="BM44" s="507">
        <f t="shared" si="37"/>
        <v>5.0999999999999996</v>
      </c>
      <c r="BN44" s="507">
        <f t="shared" si="38"/>
        <v>6.6</v>
      </c>
      <c r="BO44" s="507" t="str">
        <f t="shared" si="39"/>
        <v/>
      </c>
      <c r="BP44" s="507">
        <f t="shared" si="40"/>
        <v>6.4</v>
      </c>
      <c r="BQ44" s="507">
        <f t="shared" si="41"/>
        <v>5.4</v>
      </c>
      <c r="BR44" s="507">
        <f t="shared" si="42"/>
        <v>6.9</v>
      </c>
      <c r="BS44" s="507">
        <f t="shared" si="43"/>
        <v>5.8</v>
      </c>
      <c r="BT44" s="507">
        <f t="shared" si="44"/>
        <v>7.4</v>
      </c>
      <c r="BU44" s="507" t="str">
        <f t="shared" si="45"/>
        <v/>
      </c>
      <c r="BV44" s="507" t="str">
        <f t="shared" si="46"/>
        <v/>
      </c>
      <c r="BW44" s="507" t="str">
        <f t="shared" si="47"/>
        <v/>
      </c>
      <c r="BX44" s="507">
        <f t="shared" si="48"/>
        <v>5.8</v>
      </c>
      <c r="BY44" s="507" t="str">
        <f t="shared" si="49"/>
        <v/>
      </c>
    </row>
    <row r="45" spans="1:77">
      <c r="A45" s="481">
        <f>IF('NH13-14'!A45="","",'NH13-14'!A45)</f>
        <v>35</v>
      </c>
      <c r="B45" s="482" t="str">
        <f>IF('NH13-14'!B45="","",'NH13-14'!B45)</f>
        <v>13D301Đ145</v>
      </c>
      <c r="C45" s="490">
        <f t="shared" si="2"/>
        <v>30</v>
      </c>
      <c r="D45" s="490">
        <f t="shared" si="3"/>
        <v>9</v>
      </c>
      <c r="E45" s="483" t="str">
        <f>IF('NH13-14'!C45="","",'NH13-14'!C45)</f>
        <v>Nguyễn Hữu</v>
      </c>
      <c r="F45" s="484" t="str">
        <f>IF('NH13-14'!D45="","",'NH13-14'!D45)</f>
        <v>Thuận</v>
      </c>
      <c r="G45" s="485">
        <f>IF('NH13-14'!I45="",'NH13-14'!H45,IF('NH13-14'!I45&gt;='NH13-14'!H45,'NH13-14'!I45,'NH13-14'!H45))</f>
        <v>5.0999999999999996</v>
      </c>
      <c r="H45" s="485">
        <f>IF('NH13-14'!K45="",'NH13-14'!J45,IF('NH13-14'!K45&gt;='NH13-14'!J45,'NH13-14'!K45,'NH13-14'!J45))</f>
        <v>5.2</v>
      </c>
      <c r="I45" s="485">
        <f>IF('NH13-14'!M45="",'NH13-14'!L45,IF('NH13-14'!M45&gt;='NH13-14'!L45,'NH13-14'!M45,'NH13-14'!L45))</f>
        <v>5.4</v>
      </c>
      <c r="J45" s="485">
        <f>IF('NH13-14'!O45="",'NH13-14'!N45,IF('NH13-14'!O45&gt;='NH13-14'!N45,'NH13-14'!O45,'NH13-14'!N45))</f>
        <v>4.3</v>
      </c>
      <c r="K45" s="485">
        <f>IF('NH13-14'!Q45="",'NH13-14'!P45,IF('NH13-14'!Q45&gt;='NH13-14'!P45,'NH13-14'!Q45,'NH13-14'!P45))</f>
        <v>5.7</v>
      </c>
      <c r="L45" s="485">
        <f>IF('NH13-14'!S45="",'NH13-14'!R45,IF('NH13-14'!S45&gt;='NH13-14'!R45,'NH13-14'!S45,'NH13-14'!R45))</f>
        <v>6.9</v>
      </c>
      <c r="M45" s="485">
        <f>IF('NH13-14'!U45="",'NH13-14'!T45,IF('NH13-14'!U45&gt;='NH13-14'!T45,'NH13-14'!U45,'NH13-14'!T45))</f>
        <v>6.4</v>
      </c>
      <c r="N45" s="485" t="str">
        <f>IF('NH13-14'!W45="",'NH13-14'!V45,IF('NH13-14'!W45&gt;='NH13-14'!V45,'NH13-14'!W45,'NH13-14'!V45))</f>
        <v/>
      </c>
      <c r="O45" s="485" t="str">
        <f>IF('NH13-14'!Y45="",'NH13-14'!X45,IF('NH13-14'!Y45&gt;='NH13-14'!X45,'NH13-14'!Y45,'NH13-14'!X45))</f>
        <v/>
      </c>
      <c r="P45" s="485">
        <f>IF('NH13-14'!AA45="",'NH13-14'!Z45,IF('NH13-14'!AA45&gt;='NH13-14'!Z45,'NH13-14'!AA45,'NH13-14'!Z45))</f>
        <v>3.2</v>
      </c>
      <c r="Q45" s="485">
        <f>IF('NH13-14'!AC45="",'NH13-14'!AB45,IF('NH13-14'!AC45&gt;='NH13-14'!AB45,'NH13-14'!AC45,'NH13-14'!AB45))</f>
        <v>3.5</v>
      </c>
      <c r="R45" s="485">
        <f>IF('NH13-14'!AE45="",'NH13-14'!AD45,IF('NH13-14'!AE45&gt;='NH13-14'!AD45,'NH13-14'!AE45,'NH13-14'!AD45))</f>
        <v>6.2</v>
      </c>
      <c r="S45" s="485">
        <f>IF('NH13-14'!AG45="",'NH13-14'!AF45,IF('NH13-14'!AG45&gt;='NH13-14'!AF45,'NH13-14'!AG45,'NH13-14'!AF45))</f>
        <v>5.7</v>
      </c>
      <c r="T45" s="485" t="str">
        <f>IF('NH13-14'!AI45="",'NH13-14'!AH45,IF('NH13-14'!AI45&gt;='NH13-14'!AH45,'NH13-14'!AI45,'NH13-14'!AH45))</f>
        <v/>
      </c>
      <c r="U45" s="485">
        <f>IF('NH13-14'!AK45="",'NH13-14'!AJ45,IF('NH13-14'!AK45&gt;='NH13-14'!AJ45,'NH13-14'!AK45,'NH13-14'!AJ45))</f>
        <v>6.4</v>
      </c>
      <c r="V45" s="485">
        <f>IF('NH13-14'!AM45="",'NH13-14'!AL45,IF('NH13-14'!AM45&gt;='NH13-14'!AL45,'NH13-14'!AM45,'NH13-14'!AL45))</f>
        <v>6.2</v>
      </c>
      <c r="W45" s="485">
        <f>IF('NH13-14'!AO45="",'NH13-14'!AN45,IF('NH13-14'!AO45&gt;='NH13-14'!AN45,'NH13-14'!AO45,'NH13-14'!AN45))</f>
        <v>0.8</v>
      </c>
      <c r="X45" s="485">
        <f>IF('NH13-14'!AQ45="",'NH13-14'!AP45,IF('NH13-14'!AQ45&gt;='NH13-14'!AP45,'NH13-14'!AQ45,'NH13-14'!AP45))</f>
        <v>7.6</v>
      </c>
      <c r="Y45" s="485" t="str">
        <f>IF('NH13-14'!AS45="",'NH13-14'!AR45,IF('NH13-14'!AS45&gt;='NH13-14'!AR45,'NH13-14'!AS45,'NH13-14'!AR45))</f>
        <v/>
      </c>
      <c r="Z45" s="485" t="str">
        <f>IF('NH13-14'!AU45="",'NH13-14'!AT45,IF('NH13-14'!AU45&gt;='NH13-14'!AT45,'NH13-14'!AU45,'NH13-14'!AT45))</f>
        <v/>
      </c>
      <c r="AA45" s="485" t="str">
        <f>IF('NH13-14'!AW45="",'NH13-14'!AV45,IF('NH13-14'!AW45&gt;='NH13-14'!AV45,'NH13-14'!AW45,'NH13-14'!AV45))</f>
        <v/>
      </c>
      <c r="AB45" s="485">
        <f>IF('NH13-14'!AY45="",'NH13-14'!AX45,IF('NH13-14'!AY45&gt;='NH13-14'!AX45,'NH13-14'!AY45,'NH13-14'!AX45))</f>
        <v>1.1000000000000001</v>
      </c>
      <c r="AC45" s="485" t="str">
        <f>IF('NH13-14'!BA45="",'NH13-14'!AZ45,IF('NH13-14'!BA45&gt;='NH13-14'!AZ45,'NH13-14'!BA45,'NH13-14'!AZ45))</f>
        <v/>
      </c>
      <c r="AD45" s="486">
        <f>IF('NH13-14'!B45="","",ROUND(SUMPRODUCT(G45:AC45,$G$7:$AC$7)/SUMIF(G45:AC45,"&gt;=0",$G$7:$AC$7),2))</f>
        <v>5.12</v>
      </c>
      <c r="AE45" s="487">
        <f t="shared" si="50"/>
        <v>1</v>
      </c>
      <c r="AF45" s="488">
        <f t="shared" si="51"/>
        <v>1</v>
      </c>
      <c r="AG45" s="488">
        <f t="shared" si="52"/>
        <v>1</v>
      </c>
      <c r="AH45" s="488">
        <f t="shared" si="53"/>
        <v>1</v>
      </c>
      <c r="AI45" s="488">
        <f t="shared" si="54"/>
        <v>2</v>
      </c>
      <c r="AJ45" s="488">
        <f t="shared" si="55"/>
        <v>2</v>
      </c>
      <c r="AK45" s="488">
        <f t="shared" si="56"/>
        <v>2</v>
      </c>
      <c r="AL45" s="488" t="str">
        <f t="shared" si="57"/>
        <v/>
      </c>
      <c r="AM45" s="488" t="str">
        <f t="shared" si="58"/>
        <v/>
      </c>
      <c r="AN45" s="488" t="str">
        <f t="shared" si="59"/>
        <v/>
      </c>
      <c r="AO45" s="488" t="str">
        <f t="shared" si="60"/>
        <v/>
      </c>
      <c r="AP45" s="488">
        <f t="shared" si="61"/>
        <v>2</v>
      </c>
      <c r="AQ45" s="488">
        <f t="shared" si="62"/>
        <v>2</v>
      </c>
      <c r="AR45" s="488" t="str">
        <f t="shared" si="63"/>
        <v/>
      </c>
      <c r="AS45" s="488">
        <f t="shared" si="64"/>
        <v>2</v>
      </c>
      <c r="AT45" s="488">
        <f t="shared" si="65"/>
        <v>2</v>
      </c>
      <c r="AU45" s="488" t="str">
        <f t="shared" si="66"/>
        <v/>
      </c>
      <c r="AV45" s="488">
        <f t="shared" si="67"/>
        <v>3</v>
      </c>
      <c r="AW45" s="488" t="str">
        <f t="shared" si="68"/>
        <v/>
      </c>
      <c r="AX45" s="488" t="str">
        <f t="shared" si="69"/>
        <v/>
      </c>
      <c r="AY45" s="488" t="str">
        <f t="shared" si="70"/>
        <v/>
      </c>
      <c r="AZ45" s="488" t="str">
        <f t="shared" si="71"/>
        <v/>
      </c>
      <c r="BA45" s="488" t="str">
        <f t="shared" si="26"/>
        <v/>
      </c>
      <c r="BB45" s="486">
        <f>IF('NH13-14'!B45="","",ROUND(SUMPRODUCT(AE45:BA45,$AE$7:$BA$7)/SUMIF(AE45:BA45,"&gt;=1",$AE$7:$BA$7),2))</f>
        <v>1.73</v>
      </c>
      <c r="BC45" s="527">
        <f t="shared" si="27"/>
        <v>5.0999999999999996</v>
      </c>
      <c r="BD45" s="507">
        <f t="shared" si="28"/>
        <v>5.2</v>
      </c>
      <c r="BE45" s="507">
        <f t="shared" si="29"/>
        <v>5.4</v>
      </c>
      <c r="BF45" s="507">
        <f t="shared" si="30"/>
        <v>4.3</v>
      </c>
      <c r="BG45" s="507">
        <f t="shared" si="31"/>
        <v>5.7</v>
      </c>
      <c r="BH45" s="507">
        <f t="shared" si="32"/>
        <v>6.9</v>
      </c>
      <c r="BI45" s="507">
        <f t="shared" si="33"/>
        <v>6.4</v>
      </c>
      <c r="BJ45" s="507" t="str">
        <f t="shared" si="34"/>
        <v/>
      </c>
      <c r="BK45" s="507" t="str">
        <f t="shared" si="35"/>
        <v/>
      </c>
      <c r="BL45" s="507" t="str">
        <f t="shared" si="36"/>
        <v/>
      </c>
      <c r="BM45" s="507" t="str">
        <f t="shared" si="37"/>
        <v/>
      </c>
      <c r="BN45" s="507">
        <f t="shared" si="38"/>
        <v>6.2</v>
      </c>
      <c r="BO45" s="507">
        <f t="shared" si="39"/>
        <v>5.7</v>
      </c>
      <c r="BP45" s="507" t="str">
        <f t="shared" si="40"/>
        <v/>
      </c>
      <c r="BQ45" s="507">
        <f t="shared" si="41"/>
        <v>6.4</v>
      </c>
      <c r="BR45" s="507">
        <f t="shared" si="42"/>
        <v>6.2</v>
      </c>
      <c r="BS45" s="507" t="str">
        <f t="shared" si="43"/>
        <v/>
      </c>
      <c r="BT45" s="507">
        <f t="shared" si="44"/>
        <v>7.6</v>
      </c>
      <c r="BU45" s="507" t="str">
        <f t="shared" si="45"/>
        <v/>
      </c>
      <c r="BV45" s="507" t="str">
        <f t="shared" si="46"/>
        <v/>
      </c>
      <c r="BW45" s="507" t="str">
        <f t="shared" si="47"/>
        <v/>
      </c>
      <c r="BX45" s="507" t="str">
        <f t="shared" si="48"/>
        <v/>
      </c>
      <c r="BY45" s="507" t="str">
        <f t="shared" si="49"/>
        <v/>
      </c>
    </row>
    <row r="46" spans="1:77">
      <c r="A46" s="481">
        <f>IF('NH13-14'!A46="","",'NH13-14'!A46)</f>
        <v>36</v>
      </c>
      <c r="B46" s="482" t="str">
        <f>IF('NH13-14'!B46="","",'NH13-14'!B46)</f>
        <v>13D301Đ154</v>
      </c>
      <c r="C46" s="490">
        <f t="shared" si="2"/>
        <v>35</v>
      </c>
      <c r="D46" s="490">
        <f t="shared" si="3"/>
        <v>4</v>
      </c>
      <c r="E46" s="483" t="str">
        <f>IF('NH13-14'!C46="","",'NH13-14'!C46)</f>
        <v>Võ Đức</v>
      </c>
      <c r="F46" s="484" t="str">
        <f>IF('NH13-14'!D46="","",'NH13-14'!D46)</f>
        <v>Trí</v>
      </c>
      <c r="G46" s="485">
        <f>IF('NH13-14'!I46="",'NH13-14'!H46,IF('NH13-14'!I46&gt;='NH13-14'!H46,'NH13-14'!I46,'NH13-14'!H46))</f>
        <v>4.4000000000000004</v>
      </c>
      <c r="H46" s="485">
        <f>IF('NH13-14'!K46="",'NH13-14'!J46,IF('NH13-14'!K46&gt;='NH13-14'!J46,'NH13-14'!K46,'NH13-14'!J46))</f>
        <v>5.6</v>
      </c>
      <c r="I46" s="485">
        <f>IF('NH13-14'!M46="",'NH13-14'!L46,IF('NH13-14'!M46&gt;='NH13-14'!L46,'NH13-14'!M46,'NH13-14'!L46))</f>
        <v>5.2</v>
      </c>
      <c r="J46" s="485">
        <f>IF('NH13-14'!O46="",'NH13-14'!N46,IF('NH13-14'!O46&gt;='NH13-14'!N46,'NH13-14'!O46,'NH13-14'!N46))</f>
        <v>4.0999999999999996</v>
      </c>
      <c r="K46" s="485">
        <f>IF('NH13-14'!Q46="",'NH13-14'!P46,IF('NH13-14'!Q46&gt;='NH13-14'!P46,'NH13-14'!Q46,'NH13-14'!P46))</f>
        <v>5.6</v>
      </c>
      <c r="L46" s="485">
        <f>IF('NH13-14'!S46="",'NH13-14'!R46,IF('NH13-14'!S46&gt;='NH13-14'!R46,'NH13-14'!S46,'NH13-14'!R46))</f>
        <v>5.7</v>
      </c>
      <c r="M46" s="485">
        <f>IF('NH13-14'!U46="",'NH13-14'!T46,IF('NH13-14'!U46&gt;='NH13-14'!T46,'NH13-14'!U46,'NH13-14'!T46))</f>
        <v>5.8</v>
      </c>
      <c r="N46" s="485" t="str">
        <f>IF('NH13-14'!W46="",'NH13-14'!V46,IF('NH13-14'!W46&gt;='NH13-14'!V46,'NH13-14'!W46,'NH13-14'!V46))</f>
        <v/>
      </c>
      <c r="O46" s="485" t="str">
        <f>IF('NH13-14'!Y46="",'NH13-14'!X46,IF('NH13-14'!Y46&gt;='NH13-14'!X46,'NH13-14'!Y46,'NH13-14'!X46))</f>
        <v/>
      </c>
      <c r="P46" s="485">
        <f>IF('NH13-14'!AA46="",'NH13-14'!Z46,IF('NH13-14'!AA46&gt;='NH13-14'!Z46,'NH13-14'!AA46,'NH13-14'!Z46))</f>
        <v>3.5</v>
      </c>
      <c r="Q46" s="485">
        <f>IF('NH13-14'!AC46="",'NH13-14'!AB46,IF('NH13-14'!AC46&gt;='NH13-14'!AB46,'NH13-14'!AC46,'NH13-14'!AB46))</f>
        <v>4.4000000000000004</v>
      </c>
      <c r="R46" s="485">
        <f>IF('NH13-14'!AE46="",'NH13-14'!AD46,IF('NH13-14'!AE46&gt;='NH13-14'!AD46,'NH13-14'!AE46,'NH13-14'!AD46))</f>
        <v>4.5</v>
      </c>
      <c r="S46" s="485">
        <f>IF('NH13-14'!AG46="",'NH13-14'!AF46,IF('NH13-14'!AG46&gt;='NH13-14'!AF46,'NH13-14'!AG46,'NH13-14'!AF46))</f>
        <v>6.7</v>
      </c>
      <c r="T46" s="485" t="str">
        <f>IF('NH13-14'!AI46="",'NH13-14'!AH46,IF('NH13-14'!AI46&gt;='NH13-14'!AH46,'NH13-14'!AI46,'NH13-14'!AH46))</f>
        <v/>
      </c>
      <c r="U46" s="485">
        <f>IF('NH13-14'!AK46="",'NH13-14'!AJ46,IF('NH13-14'!AK46&gt;='NH13-14'!AJ46,'NH13-14'!AK46,'NH13-14'!AJ46))</f>
        <v>6</v>
      </c>
      <c r="V46" s="485">
        <f>IF('NH13-14'!AM46="",'NH13-14'!AL46,IF('NH13-14'!AM46&gt;='NH13-14'!AL46,'NH13-14'!AM46,'NH13-14'!AL46))</f>
        <v>5.8</v>
      </c>
      <c r="W46" s="485">
        <f>IF('NH13-14'!AO46="",'NH13-14'!AN46,IF('NH13-14'!AO46&gt;='NH13-14'!AN46,'NH13-14'!AO46,'NH13-14'!AN46))</f>
        <v>3.7</v>
      </c>
      <c r="X46" s="485">
        <f>IF('NH13-14'!AQ46="",'NH13-14'!AP46,IF('NH13-14'!AQ46&gt;='NH13-14'!AP46,'NH13-14'!AQ46,'NH13-14'!AP46))</f>
        <v>5.9</v>
      </c>
      <c r="Y46" s="485" t="str">
        <f>IF('NH13-14'!AS46="",'NH13-14'!AR46,IF('NH13-14'!AS46&gt;='NH13-14'!AR46,'NH13-14'!AS46,'NH13-14'!AR46))</f>
        <v/>
      </c>
      <c r="Z46" s="485" t="str">
        <f>IF('NH13-14'!AU46="",'NH13-14'!AT46,IF('NH13-14'!AU46&gt;='NH13-14'!AT46,'NH13-14'!AU46,'NH13-14'!AT46))</f>
        <v/>
      </c>
      <c r="AA46" s="485" t="str">
        <f>IF('NH13-14'!AW46="",'NH13-14'!AV46,IF('NH13-14'!AW46&gt;='NH13-14'!AV46,'NH13-14'!AW46,'NH13-14'!AV46))</f>
        <v/>
      </c>
      <c r="AB46" s="485">
        <f>IF('NH13-14'!AY46="",'NH13-14'!AX46,IF('NH13-14'!AY46&gt;='NH13-14'!AX46,'NH13-14'!AY46,'NH13-14'!AX46))</f>
        <v>6.9</v>
      </c>
      <c r="AC46" s="485" t="str">
        <f>IF('NH13-14'!BA46="",'NH13-14'!AZ46,IF('NH13-14'!BA46&gt;='NH13-14'!AZ46,'NH13-14'!BA46,'NH13-14'!AZ46))</f>
        <v/>
      </c>
      <c r="AD46" s="486">
        <f>IF('NH13-14'!B46="","",ROUND(SUMPRODUCT(G46:AC46,$G$7:$AC$7)/SUMIF(G46:AC46,"&gt;=0",$G$7:$AC$7),2))</f>
        <v>5.25</v>
      </c>
      <c r="AE46" s="487">
        <f t="shared" si="50"/>
        <v>1</v>
      </c>
      <c r="AF46" s="488">
        <f t="shared" si="51"/>
        <v>2</v>
      </c>
      <c r="AG46" s="488">
        <f t="shared" si="52"/>
        <v>1</v>
      </c>
      <c r="AH46" s="488">
        <f t="shared" si="53"/>
        <v>1</v>
      </c>
      <c r="AI46" s="488">
        <f t="shared" si="54"/>
        <v>2</v>
      </c>
      <c r="AJ46" s="488">
        <f t="shared" si="55"/>
        <v>2</v>
      </c>
      <c r="AK46" s="488">
        <f t="shared" si="56"/>
        <v>2</v>
      </c>
      <c r="AL46" s="488" t="str">
        <f t="shared" si="57"/>
        <v/>
      </c>
      <c r="AM46" s="488" t="str">
        <f t="shared" si="58"/>
        <v/>
      </c>
      <c r="AN46" s="488" t="str">
        <f t="shared" si="59"/>
        <v/>
      </c>
      <c r="AO46" s="488">
        <f t="shared" si="60"/>
        <v>1</v>
      </c>
      <c r="AP46" s="488">
        <f t="shared" si="61"/>
        <v>1</v>
      </c>
      <c r="AQ46" s="488">
        <f t="shared" si="62"/>
        <v>2</v>
      </c>
      <c r="AR46" s="488" t="str">
        <f t="shared" si="63"/>
        <v/>
      </c>
      <c r="AS46" s="488">
        <f t="shared" si="64"/>
        <v>2</v>
      </c>
      <c r="AT46" s="488">
        <f t="shared" si="65"/>
        <v>2</v>
      </c>
      <c r="AU46" s="488" t="str">
        <f t="shared" si="66"/>
        <v/>
      </c>
      <c r="AV46" s="488">
        <f t="shared" si="67"/>
        <v>2</v>
      </c>
      <c r="AW46" s="488" t="str">
        <f t="shared" si="68"/>
        <v/>
      </c>
      <c r="AX46" s="488" t="str">
        <f t="shared" si="69"/>
        <v/>
      </c>
      <c r="AY46" s="488" t="str">
        <f t="shared" si="70"/>
        <v/>
      </c>
      <c r="AZ46" s="488">
        <f t="shared" si="71"/>
        <v>2</v>
      </c>
      <c r="BA46" s="488" t="str">
        <f t="shared" si="26"/>
        <v/>
      </c>
      <c r="BB46" s="486">
        <f>IF('NH13-14'!B46="","",ROUND(SUMPRODUCT(AE46:BA46,$AE$7:$BA$7)/SUMIF(AE46:BA46,"&gt;=1",$AE$7:$BA$7),2))</f>
        <v>1.66</v>
      </c>
      <c r="BC46" s="527">
        <f t="shared" si="27"/>
        <v>4.4000000000000004</v>
      </c>
      <c r="BD46" s="507">
        <f t="shared" si="28"/>
        <v>5.6</v>
      </c>
      <c r="BE46" s="507">
        <f t="shared" si="29"/>
        <v>5.2</v>
      </c>
      <c r="BF46" s="507">
        <f t="shared" si="30"/>
        <v>4.0999999999999996</v>
      </c>
      <c r="BG46" s="507">
        <f t="shared" si="31"/>
        <v>5.6</v>
      </c>
      <c r="BH46" s="507">
        <f t="shared" si="32"/>
        <v>5.7</v>
      </c>
      <c r="BI46" s="507">
        <f t="shared" si="33"/>
        <v>5.8</v>
      </c>
      <c r="BJ46" s="507" t="str">
        <f t="shared" si="34"/>
        <v/>
      </c>
      <c r="BK46" s="507" t="str">
        <f t="shared" si="35"/>
        <v/>
      </c>
      <c r="BL46" s="507" t="str">
        <f t="shared" si="36"/>
        <v/>
      </c>
      <c r="BM46" s="507">
        <f t="shared" si="37"/>
        <v>4.4000000000000004</v>
      </c>
      <c r="BN46" s="507">
        <f t="shared" si="38"/>
        <v>4.5</v>
      </c>
      <c r="BO46" s="507">
        <f t="shared" si="39"/>
        <v>6.7</v>
      </c>
      <c r="BP46" s="507" t="str">
        <f t="shared" si="40"/>
        <v/>
      </c>
      <c r="BQ46" s="507">
        <f t="shared" si="41"/>
        <v>6</v>
      </c>
      <c r="BR46" s="507">
        <f t="shared" si="42"/>
        <v>5.8</v>
      </c>
      <c r="BS46" s="507" t="str">
        <f t="shared" si="43"/>
        <v/>
      </c>
      <c r="BT46" s="507">
        <f t="shared" si="44"/>
        <v>5.9</v>
      </c>
      <c r="BU46" s="507" t="str">
        <f t="shared" si="45"/>
        <v/>
      </c>
      <c r="BV46" s="507" t="str">
        <f t="shared" si="46"/>
        <v/>
      </c>
      <c r="BW46" s="507" t="str">
        <f t="shared" si="47"/>
        <v/>
      </c>
      <c r="BX46" s="507">
        <f t="shared" si="48"/>
        <v>6.9</v>
      </c>
      <c r="BY46" s="507" t="str">
        <f t="shared" si="49"/>
        <v/>
      </c>
    </row>
    <row r="47" spans="1:77">
      <c r="A47" s="481">
        <f>IF('NH13-14'!A47="","",'NH13-14'!A47)</f>
        <v>37</v>
      </c>
      <c r="B47" s="482" t="str">
        <f>IF('NH13-14'!B47="","",'NH13-14'!B47)</f>
        <v>13D301Đ157</v>
      </c>
      <c r="C47" s="490">
        <f t="shared" si="2"/>
        <v>5</v>
      </c>
      <c r="D47" s="490">
        <f t="shared" si="3"/>
        <v>32</v>
      </c>
      <c r="E47" s="483" t="str">
        <f>IF('NH13-14'!C47="","",'NH13-14'!C47)</f>
        <v>Phan Văn</v>
      </c>
      <c r="F47" s="484" t="str">
        <f>IF('NH13-14'!D47="","",'NH13-14'!D47)</f>
        <v>Trọng</v>
      </c>
      <c r="G47" s="485">
        <f>IF('NH13-14'!I47="",'NH13-14'!H47,IF('NH13-14'!I47&gt;='NH13-14'!H47,'NH13-14'!I47,'NH13-14'!H47))</f>
        <v>2.2000000000000002</v>
      </c>
      <c r="H47" s="485">
        <f>IF('NH13-14'!K47="",'NH13-14'!J47,IF('NH13-14'!K47&gt;='NH13-14'!J47,'NH13-14'!K47,'NH13-14'!J47))</f>
        <v>4.5</v>
      </c>
      <c r="I47" s="485">
        <f>IF('NH13-14'!M47="",'NH13-14'!L47,IF('NH13-14'!M47&gt;='NH13-14'!L47,'NH13-14'!M47,'NH13-14'!L47))</f>
        <v>2.2999999999999998</v>
      </c>
      <c r="J47" s="485">
        <f>IF('NH13-14'!O47="",'NH13-14'!N47,IF('NH13-14'!O47&gt;='NH13-14'!N47,'NH13-14'!O47,'NH13-14'!N47))</f>
        <v>4.2</v>
      </c>
      <c r="K47" s="485">
        <f>IF('NH13-14'!Q47="",'NH13-14'!P47,IF('NH13-14'!Q47&gt;='NH13-14'!P47,'NH13-14'!Q47,'NH13-14'!P47))</f>
        <v>2.7</v>
      </c>
      <c r="L47" s="485">
        <f>IF('NH13-14'!S47="",'NH13-14'!R47,IF('NH13-14'!S47&gt;='NH13-14'!R47,'NH13-14'!S47,'NH13-14'!R47))</f>
        <v>1.8</v>
      </c>
      <c r="M47" s="485">
        <f>IF('NH13-14'!U47="",'NH13-14'!T47,IF('NH13-14'!U47&gt;='NH13-14'!T47,'NH13-14'!U47,'NH13-14'!T47))</f>
        <v>3.4</v>
      </c>
      <c r="N47" s="485" t="str">
        <f>IF('NH13-14'!W47="",'NH13-14'!V47,IF('NH13-14'!W47&gt;='NH13-14'!V47,'NH13-14'!W47,'NH13-14'!V47))</f>
        <v/>
      </c>
      <c r="O47" s="485" t="str">
        <f>IF('NH13-14'!Y47="",'NH13-14'!X47,IF('NH13-14'!Y47&gt;='NH13-14'!X47,'NH13-14'!Y47,'NH13-14'!X47))</f>
        <v/>
      </c>
      <c r="P47" s="485">
        <f>IF('NH13-14'!AA47="",'NH13-14'!Z47,IF('NH13-14'!AA47&gt;='NH13-14'!Z47,'NH13-14'!AA47,'NH13-14'!Z47))</f>
        <v>0</v>
      </c>
      <c r="Q47" s="485">
        <f>IF('NH13-14'!AC47="",'NH13-14'!AB47,IF('NH13-14'!AC47&gt;='NH13-14'!AB47,'NH13-14'!AC47,'NH13-14'!AB47))</f>
        <v>0</v>
      </c>
      <c r="R47" s="485" t="str">
        <f>IF('NH13-14'!AE47="",'NH13-14'!AD47,IF('NH13-14'!AE47&gt;='NH13-14'!AD47,'NH13-14'!AE47,'NH13-14'!AD47))</f>
        <v/>
      </c>
      <c r="S47" s="485" t="str">
        <f>IF('NH13-14'!AG47="",'NH13-14'!AF47,IF('NH13-14'!AG47&gt;='NH13-14'!AF47,'NH13-14'!AG47,'NH13-14'!AF47))</f>
        <v/>
      </c>
      <c r="T47" s="485">
        <f>IF('NH13-14'!AI47="",'NH13-14'!AH47,IF('NH13-14'!AI47&gt;='NH13-14'!AH47,'NH13-14'!AI47,'NH13-14'!AH47))</f>
        <v>0</v>
      </c>
      <c r="U47" s="485">
        <f>IF('NH13-14'!AK47="",'NH13-14'!AJ47,IF('NH13-14'!AK47&gt;='NH13-14'!AJ47,'NH13-14'!AK47,'NH13-14'!AJ47))</f>
        <v>0</v>
      </c>
      <c r="V47" s="485">
        <f>IF('NH13-14'!AM47="",'NH13-14'!AL47,IF('NH13-14'!AM47&gt;='NH13-14'!AL47,'NH13-14'!AM47,'NH13-14'!AL47))</f>
        <v>0</v>
      </c>
      <c r="W47" s="485">
        <f>IF('NH13-14'!AO47="",'NH13-14'!AN47,IF('NH13-14'!AO47&gt;='NH13-14'!AN47,'NH13-14'!AO47,'NH13-14'!AN47))</f>
        <v>0</v>
      </c>
      <c r="X47" s="485">
        <f>IF('NH13-14'!AQ47="",'NH13-14'!AP47,IF('NH13-14'!AQ47&gt;='NH13-14'!AP47,'NH13-14'!AQ47,'NH13-14'!AP47))</f>
        <v>0</v>
      </c>
      <c r="Y47" s="485" t="str">
        <f>IF('NH13-14'!AS47="",'NH13-14'!AR47,IF('NH13-14'!AS47&gt;='NH13-14'!AR47,'NH13-14'!AS47,'NH13-14'!AR47))</f>
        <v/>
      </c>
      <c r="Z47" s="485" t="str">
        <f>IF('NH13-14'!AU47="",'NH13-14'!AT47,IF('NH13-14'!AU47&gt;='NH13-14'!AT47,'NH13-14'!AU47,'NH13-14'!AT47))</f>
        <v/>
      </c>
      <c r="AA47" s="485" t="str">
        <f>IF('NH13-14'!AW47="",'NH13-14'!AV47,IF('NH13-14'!AW47&gt;='NH13-14'!AV47,'NH13-14'!AW47,'NH13-14'!AV47))</f>
        <v/>
      </c>
      <c r="AB47" s="485">
        <f>IF('NH13-14'!AY47="",'NH13-14'!AX47,IF('NH13-14'!AY47&gt;='NH13-14'!AX47,'NH13-14'!AY47,'NH13-14'!AX47))</f>
        <v>0</v>
      </c>
      <c r="AC47" s="485" t="str">
        <f>IF('NH13-14'!BA47="",'NH13-14'!AZ47,IF('NH13-14'!BA47&gt;='NH13-14'!AZ47,'NH13-14'!BA47,'NH13-14'!AZ47))</f>
        <v/>
      </c>
      <c r="AD47" s="486">
        <f>IF('NH13-14'!B47="","",ROUND(SUMPRODUCT(G47:AC47,$G$7:$AC$7)/SUMIF(G47:AC47,"&gt;=0",$G$7:$AC$7),2))</f>
        <v>1.54</v>
      </c>
      <c r="AE47" s="487" t="str">
        <f t="shared" si="50"/>
        <v/>
      </c>
      <c r="AF47" s="488">
        <f t="shared" si="51"/>
        <v>1</v>
      </c>
      <c r="AG47" s="488" t="str">
        <f t="shared" si="52"/>
        <v/>
      </c>
      <c r="AH47" s="488">
        <f t="shared" si="53"/>
        <v>1</v>
      </c>
      <c r="AI47" s="488" t="str">
        <f t="shared" si="54"/>
        <v/>
      </c>
      <c r="AJ47" s="488" t="str">
        <f t="shared" si="55"/>
        <v/>
      </c>
      <c r="AK47" s="488" t="str">
        <f t="shared" si="56"/>
        <v/>
      </c>
      <c r="AL47" s="488" t="str">
        <f t="shared" si="57"/>
        <v/>
      </c>
      <c r="AM47" s="488" t="str">
        <f t="shared" si="58"/>
        <v/>
      </c>
      <c r="AN47" s="488" t="str">
        <f t="shared" si="59"/>
        <v/>
      </c>
      <c r="AO47" s="488" t="str">
        <f t="shared" si="60"/>
        <v/>
      </c>
      <c r="AP47" s="488" t="str">
        <f t="shared" si="61"/>
        <v/>
      </c>
      <c r="AQ47" s="488" t="str">
        <f t="shared" si="62"/>
        <v/>
      </c>
      <c r="AR47" s="488" t="str">
        <f t="shared" si="63"/>
        <v/>
      </c>
      <c r="AS47" s="488" t="str">
        <f t="shared" si="64"/>
        <v/>
      </c>
      <c r="AT47" s="488" t="str">
        <f t="shared" si="65"/>
        <v/>
      </c>
      <c r="AU47" s="488" t="str">
        <f t="shared" si="66"/>
        <v/>
      </c>
      <c r="AV47" s="488" t="str">
        <f t="shared" si="67"/>
        <v/>
      </c>
      <c r="AW47" s="488" t="str">
        <f t="shared" si="68"/>
        <v/>
      </c>
      <c r="AX47" s="488" t="str">
        <f t="shared" si="69"/>
        <v/>
      </c>
      <c r="AY47" s="488" t="str">
        <f t="shared" si="70"/>
        <v/>
      </c>
      <c r="AZ47" s="488" t="str">
        <f t="shared" si="71"/>
        <v/>
      </c>
      <c r="BA47" s="488" t="str">
        <f t="shared" si="26"/>
        <v/>
      </c>
      <c r="BB47" s="486">
        <f>IF('NH13-14'!B47="","",ROUND(SUMPRODUCT(AE47:BA47,$AE$7:$BA$7)/SUMIF(AE47:BA47,"&gt;=1",$AE$7:$BA$7),2))</f>
        <v>1</v>
      </c>
      <c r="BC47" s="527" t="str">
        <f t="shared" si="27"/>
        <v/>
      </c>
      <c r="BD47" s="507">
        <f t="shared" si="28"/>
        <v>4.5</v>
      </c>
      <c r="BE47" s="507" t="str">
        <f t="shared" si="29"/>
        <v/>
      </c>
      <c r="BF47" s="507">
        <f t="shared" si="30"/>
        <v>4.2</v>
      </c>
      <c r="BG47" s="507" t="str">
        <f t="shared" si="31"/>
        <v/>
      </c>
      <c r="BH47" s="507" t="str">
        <f t="shared" si="32"/>
        <v/>
      </c>
      <c r="BI47" s="507" t="str">
        <f t="shared" si="33"/>
        <v/>
      </c>
      <c r="BJ47" s="507" t="str">
        <f t="shared" si="34"/>
        <v/>
      </c>
      <c r="BK47" s="507" t="str">
        <f t="shared" si="35"/>
        <v/>
      </c>
      <c r="BL47" s="507" t="str">
        <f t="shared" si="36"/>
        <v/>
      </c>
      <c r="BM47" s="507" t="str">
        <f t="shared" si="37"/>
        <v/>
      </c>
      <c r="BN47" s="507" t="str">
        <f t="shared" si="38"/>
        <v/>
      </c>
      <c r="BO47" s="507" t="str">
        <f t="shared" si="39"/>
        <v/>
      </c>
      <c r="BP47" s="507" t="str">
        <f t="shared" si="40"/>
        <v/>
      </c>
      <c r="BQ47" s="507" t="str">
        <f t="shared" si="41"/>
        <v/>
      </c>
      <c r="BR47" s="507" t="str">
        <f t="shared" si="42"/>
        <v/>
      </c>
      <c r="BS47" s="507" t="str">
        <f t="shared" si="43"/>
        <v/>
      </c>
      <c r="BT47" s="507" t="str">
        <f t="shared" si="44"/>
        <v/>
      </c>
      <c r="BU47" s="507" t="str">
        <f t="shared" si="45"/>
        <v/>
      </c>
      <c r="BV47" s="507" t="str">
        <f t="shared" si="46"/>
        <v/>
      </c>
      <c r="BW47" s="507" t="str">
        <f t="shared" si="47"/>
        <v/>
      </c>
      <c r="BX47" s="507" t="str">
        <f t="shared" si="48"/>
        <v/>
      </c>
      <c r="BY47" s="507" t="str">
        <f t="shared" si="49"/>
        <v/>
      </c>
    </row>
    <row r="48" spans="1:77">
      <c r="A48" s="481">
        <f>IF('NH13-14'!A48="","",'NH13-14'!A48)</f>
        <v>38</v>
      </c>
      <c r="B48" s="482" t="str">
        <f>IF('NH13-14'!B48="","",'NH13-14'!B48)</f>
        <v>13D301Đ160</v>
      </c>
      <c r="C48" s="490">
        <f t="shared" si="2"/>
        <v>37</v>
      </c>
      <c r="D48" s="490">
        <f t="shared" si="3"/>
        <v>2</v>
      </c>
      <c r="E48" s="483" t="str">
        <f>IF('NH13-14'!C48="","",'NH13-14'!C48)</f>
        <v>Nguyễn Bá</v>
      </c>
      <c r="F48" s="484" t="str">
        <f>IF('NH13-14'!D48="","",'NH13-14'!D48)</f>
        <v>Trung</v>
      </c>
      <c r="G48" s="485">
        <f>IF('NH13-14'!I48="",'NH13-14'!H48,IF('NH13-14'!I48&gt;='NH13-14'!H48,'NH13-14'!I48,'NH13-14'!H48))</f>
        <v>5</v>
      </c>
      <c r="H48" s="485">
        <f>IF('NH13-14'!K48="",'NH13-14'!J48,IF('NH13-14'!K48&gt;='NH13-14'!J48,'NH13-14'!K48,'NH13-14'!J48))</f>
        <v>6.4</v>
      </c>
      <c r="I48" s="485">
        <f>IF('NH13-14'!M48="",'NH13-14'!L48,IF('NH13-14'!M48&gt;='NH13-14'!L48,'NH13-14'!M48,'NH13-14'!L48))</f>
        <v>5.6</v>
      </c>
      <c r="J48" s="485">
        <f>IF('NH13-14'!O48="",'NH13-14'!N48,IF('NH13-14'!O48&gt;='NH13-14'!N48,'NH13-14'!O48,'NH13-14'!N48))</f>
        <v>5.6</v>
      </c>
      <c r="K48" s="485">
        <f>IF('NH13-14'!Q48="",'NH13-14'!P48,IF('NH13-14'!Q48&gt;='NH13-14'!P48,'NH13-14'!Q48,'NH13-14'!P48))</f>
        <v>5.9</v>
      </c>
      <c r="L48" s="485">
        <f>IF('NH13-14'!S48="",'NH13-14'!R48,IF('NH13-14'!S48&gt;='NH13-14'!R48,'NH13-14'!S48,'NH13-14'!R48))</f>
        <v>6.5</v>
      </c>
      <c r="M48" s="485">
        <f>IF('NH13-14'!U48="",'NH13-14'!T48,IF('NH13-14'!U48&gt;='NH13-14'!T48,'NH13-14'!U48,'NH13-14'!T48))</f>
        <v>5.2</v>
      </c>
      <c r="N48" s="485" t="str">
        <f>IF('NH13-14'!W48="",'NH13-14'!V48,IF('NH13-14'!W48&gt;='NH13-14'!V48,'NH13-14'!W48,'NH13-14'!V48))</f>
        <v/>
      </c>
      <c r="O48" s="485" t="str">
        <f>IF('NH13-14'!Y48="",'NH13-14'!X48,IF('NH13-14'!Y48&gt;='NH13-14'!X48,'NH13-14'!Y48,'NH13-14'!X48))</f>
        <v/>
      </c>
      <c r="P48" s="485">
        <f>IF('NH13-14'!AA48="",'NH13-14'!Z48,IF('NH13-14'!AA48&gt;='NH13-14'!Z48,'NH13-14'!AA48,'NH13-14'!Z48))</f>
        <v>5.8</v>
      </c>
      <c r="Q48" s="485">
        <f>IF('NH13-14'!AC48="",'NH13-14'!AB48,IF('NH13-14'!AC48&gt;='NH13-14'!AB48,'NH13-14'!AC48,'NH13-14'!AB48))</f>
        <v>5.2</v>
      </c>
      <c r="R48" s="485" t="str">
        <f>IF('NH13-14'!AE48="",'NH13-14'!AD48,IF('NH13-14'!AE48&gt;='NH13-14'!AD48,'NH13-14'!AE48,'NH13-14'!AD48))</f>
        <v/>
      </c>
      <c r="S48" s="485">
        <f>IF('NH13-14'!AG48="",'NH13-14'!AF48,IF('NH13-14'!AG48&gt;='NH13-14'!AF48,'NH13-14'!AG48,'NH13-14'!AF48))</f>
        <v>8.3000000000000007</v>
      </c>
      <c r="T48" s="485">
        <f>IF('NH13-14'!AI48="",'NH13-14'!AH48,IF('NH13-14'!AI48&gt;='NH13-14'!AH48,'NH13-14'!AI48,'NH13-14'!AH48))</f>
        <v>6.4</v>
      </c>
      <c r="U48" s="485">
        <f>IF('NH13-14'!AK48="",'NH13-14'!AJ48,IF('NH13-14'!AK48&gt;='NH13-14'!AJ48,'NH13-14'!AK48,'NH13-14'!AJ48))</f>
        <v>6.4</v>
      </c>
      <c r="V48" s="485">
        <f>IF('NH13-14'!AM48="",'NH13-14'!AL48,IF('NH13-14'!AM48&gt;='NH13-14'!AL48,'NH13-14'!AM48,'NH13-14'!AL48))</f>
        <v>6.1</v>
      </c>
      <c r="W48" s="485">
        <f>IF('NH13-14'!AO48="",'NH13-14'!AN48,IF('NH13-14'!AO48&gt;='NH13-14'!AN48,'NH13-14'!AO48,'NH13-14'!AN48))</f>
        <v>3.8</v>
      </c>
      <c r="X48" s="485">
        <f>IF('NH13-14'!AQ48="",'NH13-14'!AP48,IF('NH13-14'!AQ48&gt;='NH13-14'!AP48,'NH13-14'!AQ48,'NH13-14'!AP48))</f>
        <v>8</v>
      </c>
      <c r="Y48" s="485" t="str">
        <f>IF('NH13-14'!AS48="",'NH13-14'!AR48,IF('NH13-14'!AS48&gt;='NH13-14'!AR48,'NH13-14'!AS48,'NH13-14'!AR48))</f>
        <v/>
      </c>
      <c r="Z48" s="485" t="str">
        <f>IF('NH13-14'!AU48="",'NH13-14'!AT48,IF('NH13-14'!AU48&gt;='NH13-14'!AT48,'NH13-14'!AU48,'NH13-14'!AT48))</f>
        <v/>
      </c>
      <c r="AA48" s="485" t="str">
        <f>IF('NH13-14'!AW48="",'NH13-14'!AV48,IF('NH13-14'!AW48&gt;='NH13-14'!AV48,'NH13-14'!AW48,'NH13-14'!AV48))</f>
        <v/>
      </c>
      <c r="AB48" s="485">
        <f>IF('NH13-14'!AY48="",'NH13-14'!AX48,IF('NH13-14'!AY48&gt;='NH13-14'!AX48,'NH13-14'!AY48,'NH13-14'!AX48))</f>
        <v>6.9</v>
      </c>
      <c r="AC48" s="485" t="str">
        <f>IF('NH13-14'!BA48="",'NH13-14'!AZ48,IF('NH13-14'!BA48&gt;='NH13-14'!AZ48,'NH13-14'!BA48,'NH13-14'!AZ48))</f>
        <v/>
      </c>
      <c r="AD48" s="486">
        <f>IF('NH13-14'!B48="","",ROUND(SUMPRODUCT(G48:AC48,$G$7:$AC$7)/SUMIF(G48:AC48,"&gt;=0",$G$7:$AC$7),2))</f>
        <v>6.06</v>
      </c>
      <c r="AE48" s="487">
        <f t="shared" si="50"/>
        <v>1</v>
      </c>
      <c r="AF48" s="488">
        <f t="shared" si="51"/>
        <v>2</v>
      </c>
      <c r="AG48" s="488">
        <f t="shared" si="52"/>
        <v>2</v>
      </c>
      <c r="AH48" s="488">
        <f t="shared" si="53"/>
        <v>2</v>
      </c>
      <c r="AI48" s="488">
        <f t="shared" si="54"/>
        <v>2</v>
      </c>
      <c r="AJ48" s="488">
        <f t="shared" si="55"/>
        <v>2</v>
      </c>
      <c r="AK48" s="488">
        <f t="shared" si="56"/>
        <v>1</v>
      </c>
      <c r="AL48" s="488" t="str">
        <f t="shared" si="57"/>
        <v/>
      </c>
      <c r="AM48" s="488" t="str">
        <f t="shared" si="58"/>
        <v/>
      </c>
      <c r="AN48" s="488">
        <f t="shared" si="59"/>
        <v>2</v>
      </c>
      <c r="AO48" s="488">
        <f t="shared" si="60"/>
        <v>1</v>
      </c>
      <c r="AP48" s="488" t="str">
        <f t="shared" si="61"/>
        <v/>
      </c>
      <c r="AQ48" s="488">
        <f t="shared" si="62"/>
        <v>3</v>
      </c>
      <c r="AR48" s="488">
        <f t="shared" si="63"/>
        <v>2</v>
      </c>
      <c r="AS48" s="488">
        <f t="shared" si="64"/>
        <v>2</v>
      </c>
      <c r="AT48" s="488">
        <f t="shared" si="65"/>
        <v>2</v>
      </c>
      <c r="AU48" s="488" t="str">
        <f t="shared" si="66"/>
        <v/>
      </c>
      <c r="AV48" s="488">
        <f t="shared" si="67"/>
        <v>3</v>
      </c>
      <c r="AW48" s="488" t="str">
        <f t="shared" si="68"/>
        <v/>
      </c>
      <c r="AX48" s="488" t="str">
        <f t="shared" si="69"/>
        <v/>
      </c>
      <c r="AY48" s="488" t="str">
        <f t="shared" si="70"/>
        <v/>
      </c>
      <c r="AZ48" s="488">
        <f t="shared" si="71"/>
        <v>2</v>
      </c>
      <c r="BA48" s="488" t="str">
        <f t="shared" si="26"/>
        <v/>
      </c>
      <c r="BB48" s="486">
        <f>IF('NH13-14'!B48="","",ROUND(SUMPRODUCT(AE48:BA48,$AE$7:$BA$7)/SUMIF(AE48:BA48,"&gt;=1",$AE$7:$BA$7),2))</f>
        <v>1.89</v>
      </c>
      <c r="BC48" s="527">
        <f t="shared" si="27"/>
        <v>5</v>
      </c>
      <c r="BD48" s="507">
        <f t="shared" si="28"/>
        <v>6.4</v>
      </c>
      <c r="BE48" s="507">
        <f t="shared" si="29"/>
        <v>5.6</v>
      </c>
      <c r="BF48" s="507">
        <f t="shared" si="30"/>
        <v>5.6</v>
      </c>
      <c r="BG48" s="507">
        <f t="shared" si="31"/>
        <v>5.9</v>
      </c>
      <c r="BH48" s="507">
        <f t="shared" si="32"/>
        <v>6.5</v>
      </c>
      <c r="BI48" s="507">
        <f t="shared" si="33"/>
        <v>5.2</v>
      </c>
      <c r="BJ48" s="507" t="str">
        <f t="shared" si="34"/>
        <v/>
      </c>
      <c r="BK48" s="507" t="str">
        <f t="shared" si="35"/>
        <v/>
      </c>
      <c r="BL48" s="507">
        <f t="shared" si="36"/>
        <v>5.8</v>
      </c>
      <c r="BM48" s="507">
        <f t="shared" si="37"/>
        <v>5.2</v>
      </c>
      <c r="BN48" s="507" t="str">
        <f t="shared" si="38"/>
        <v/>
      </c>
      <c r="BO48" s="507">
        <f t="shared" si="39"/>
        <v>8.3000000000000007</v>
      </c>
      <c r="BP48" s="507">
        <f t="shared" si="40"/>
        <v>6.4</v>
      </c>
      <c r="BQ48" s="507">
        <f t="shared" si="41"/>
        <v>6.4</v>
      </c>
      <c r="BR48" s="507">
        <f t="shared" si="42"/>
        <v>6.1</v>
      </c>
      <c r="BS48" s="507" t="str">
        <f t="shared" si="43"/>
        <v/>
      </c>
      <c r="BT48" s="507">
        <f t="shared" si="44"/>
        <v>8</v>
      </c>
      <c r="BU48" s="507" t="str">
        <f t="shared" si="45"/>
        <v/>
      </c>
      <c r="BV48" s="507" t="str">
        <f t="shared" si="46"/>
        <v/>
      </c>
      <c r="BW48" s="507" t="str">
        <f t="shared" si="47"/>
        <v/>
      </c>
      <c r="BX48" s="507">
        <f t="shared" si="48"/>
        <v>6.9</v>
      </c>
      <c r="BY48" s="507" t="str">
        <f t="shared" si="49"/>
        <v/>
      </c>
    </row>
    <row r="49" spans="1:77">
      <c r="A49" s="481">
        <f>IF('NH13-14'!A49="","",'NH13-14'!A49)</f>
        <v>39</v>
      </c>
      <c r="B49" s="482" t="str">
        <f>IF('NH13-14'!B49="","",'NH13-14'!B49)</f>
        <v>13D301Đ163</v>
      </c>
      <c r="C49" s="490">
        <f t="shared" si="2"/>
        <v>39</v>
      </c>
      <c r="D49" s="490">
        <f t="shared" si="3"/>
        <v>0</v>
      </c>
      <c r="E49" s="483" t="str">
        <f>IF('NH13-14'!C49="","",'NH13-14'!C49)</f>
        <v>Mai Ngọc</v>
      </c>
      <c r="F49" s="484" t="str">
        <f>IF('NH13-14'!D49="","",'NH13-14'!D49)</f>
        <v>Trước</v>
      </c>
      <c r="G49" s="485">
        <f>IF('NH13-14'!I49="",'NH13-14'!H49,IF('NH13-14'!I49&gt;='NH13-14'!H49,'NH13-14'!I49,'NH13-14'!H49))</f>
        <v>5</v>
      </c>
      <c r="H49" s="485">
        <f>IF('NH13-14'!K49="",'NH13-14'!J49,IF('NH13-14'!K49&gt;='NH13-14'!J49,'NH13-14'!K49,'NH13-14'!J49))</f>
        <v>6.7</v>
      </c>
      <c r="I49" s="485">
        <f>IF('NH13-14'!M49="",'NH13-14'!L49,IF('NH13-14'!M49&gt;='NH13-14'!L49,'NH13-14'!M49,'NH13-14'!L49))</f>
        <v>6.6</v>
      </c>
      <c r="J49" s="485">
        <f>IF('NH13-14'!O49="",'NH13-14'!N49,IF('NH13-14'!O49&gt;='NH13-14'!N49,'NH13-14'!O49,'NH13-14'!N49))</f>
        <v>6.5</v>
      </c>
      <c r="K49" s="485">
        <f>IF('NH13-14'!Q49="",'NH13-14'!P49,IF('NH13-14'!Q49&gt;='NH13-14'!P49,'NH13-14'!Q49,'NH13-14'!P49))</f>
        <v>6.4</v>
      </c>
      <c r="L49" s="485">
        <f>IF('NH13-14'!S49="",'NH13-14'!R49,IF('NH13-14'!S49&gt;='NH13-14'!R49,'NH13-14'!S49,'NH13-14'!R49))</f>
        <v>8.1</v>
      </c>
      <c r="M49" s="485">
        <f>IF('NH13-14'!U49="",'NH13-14'!T49,IF('NH13-14'!U49&gt;='NH13-14'!T49,'NH13-14'!U49,'NH13-14'!T49))</f>
        <v>6.5</v>
      </c>
      <c r="N49" s="485" t="str">
        <f>IF('NH13-14'!W49="",'NH13-14'!V49,IF('NH13-14'!W49&gt;='NH13-14'!V49,'NH13-14'!W49,'NH13-14'!V49))</f>
        <v/>
      </c>
      <c r="O49" s="485" t="str">
        <f>IF('NH13-14'!Y49="",'NH13-14'!X49,IF('NH13-14'!Y49&gt;='NH13-14'!X49,'NH13-14'!Y49,'NH13-14'!X49))</f>
        <v/>
      </c>
      <c r="P49" s="485">
        <f>IF('NH13-14'!AA49="",'NH13-14'!Z49,IF('NH13-14'!AA49&gt;='NH13-14'!Z49,'NH13-14'!AA49,'NH13-14'!Z49))</f>
        <v>5.2</v>
      </c>
      <c r="Q49" s="485">
        <f>IF('NH13-14'!AC49="",'NH13-14'!AB49,IF('NH13-14'!AC49&gt;='NH13-14'!AB49,'NH13-14'!AC49,'NH13-14'!AB49))</f>
        <v>5.3</v>
      </c>
      <c r="R49" s="485">
        <f>IF('NH13-14'!AE49="",'NH13-14'!AD49,IF('NH13-14'!AE49&gt;='NH13-14'!AD49,'NH13-14'!AE49,'NH13-14'!AD49))</f>
        <v>6.7</v>
      </c>
      <c r="S49" s="485">
        <f>IF('NH13-14'!AG49="",'NH13-14'!AF49,IF('NH13-14'!AG49&gt;='NH13-14'!AF49,'NH13-14'!AG49,'NH13-14'!AF49))</f>
        <v>7.7</v>
      </c>
      <c r="T49" s="485" t="str">
        <f>IF('NH13-14'!AI49="",'NH13-14'!AH49,IF('NH13-14'!AI49&gt;='NH13-14'!AH49,'NH13-14'!AI49,'NH13-14'!AH49))</f>
        <v/>
      </c>
      <c r="U49" s="485">
        <f>IF('NH13-14'!AK49="",'NH13-14'!AJ49,IF('NH13-14'!AK49&gt;='NH13-14'!AJ49,'NH13-14'!AK49,'NH13-14'!AJ49))</f>
        <v>6.4</v>
      </c>
      <c r="V49" s="485">
        <f>IF('NH13-14'!AM49="",'NH13-14'!AL49,IF('NH13-14'!AM49&gt;='NH13-14'!AL49,'NH13-14'!AM49,'NH13-14'!AL49))</f>
        <v>7</v>
      </c>
      <c r="W49" s="485">
        <f>IF('NH13-14'!AO49="",'NH13-14'!AN49,IF('NH13-14'!AO49&gt;='NH13-14'!AN49,'NH13-14'!AO49,'NH13-14'!AN49))</f>
        <v>6.2</v>
      </c>
      <c r="X49" s="485">
        <f>IF('NH13-14'!AQ49="",'NH13-14'!AP49,IF('NH13-14'!AQ49&gt;='NH13-14'!AP49,'NH13-14'!AQ49,'NH13-14'!AP49))</f>
        <v>7.3</v>
      </c>
      <c r="Y49" s="485" t="str">
        <f>IF('NH13-14'!AS49="",'NH13-14'!AR49,IF('NH13-14'!AS49&gt;='NH13-14'!AR49,'NH13-14'!AS49,'NH13-14'!AR49))</f>
        <v/>
      </c>
      <c r="Z49" s="485" t="str">
        <f>IF('NH13-14'!AU49="",'NH13-14'!AT49,IF('NH13-14'!AU49&gt;='NH13-14'!AT49,'NH13-14'!AU49,'NH13-14'!AT49))</f>
        <v/>
      </c>
      <c r="AA49" s="485" t="str">
        <f>IF('NH13-14'!AW49="",'NH13-14'!AV49,IF('NH13-14'!AW49&gt;='NH13-14'!AV49,'NH13-14'!AW49,'NH13-14'!AV49))</f>
        <v/>
      </c>
      <c r="AB49" s="485">
        <f>IF('NH13-14'!AY49="",'NH13-14'!AX49,IF('NH13-14'!AY49&gt;='NH13-14'!AX49,'NH13-14'!AY49,'NH13-14'!AX49))</f>
        <v>7.1</v>
      </c>
      <c r="AC49" s="485" t="str">
        <f>IF('NH13-14'!BA49="",'NH13-14'!AZ49,IF('NH13-14'!BA49&gt;='NH13-14'!AZ49,'NH13-14'!BA49,'NH13-14'!AZ49))</f>
        <v/>
      </c>
      <c r="AD49" s="486">
        <f>IF('NH13-14'!B49="","",ROUND(SUMPRODUCT(G49:AC49,$G$7:$AC$7)/SUMIF(G49:AC49,"&gt;=0",$G$7:$AC$7),2))</f>
        <v>6.59</v>
      </c>
      <c r="AE49" s="487">
        <f t="shared" si="50"/>
        <v>1</v>
      </c>
      <c r="AF49" s="488">
        <f t="shared" si="51"/>
        <v>2</v>
      </c>
      <c r="AG49" s="488">
        <f t="shared" si="52"/>
        <v>2</v>
      </c>
      <c r="AH49" s="488">
        <f t="shared" si="53"/>
        <v>2</v>
      </c>
      <c r="AI49" s="488">
        <f t="shared" si="54"/>
        <v>2</v>
      </c>
      <c r="AJ49" s="488">
        <f t="shared" si="55"/>
        <v>3</v>
      </c>
      <c r="AK49" s="488">
        <f t="shared" si="56"/>
        <v>2</v>
      </c>
      <c r="AL49" s="488" t="str">
        <f t="shared" si="57"/>
        <v/>
      </c>
      <c r="AM49" s="488" t="str">
        <f t="shared" si="58"/>
        <v/>
      </c>
      <c r="AN49" s="488">
        <f t="shared" si="59"/>
        <v>1</v>
      </c>
      <c r="AO49" s="488">
        <f t="shared" si="60"/>
        <v>1</v>
      </c>
      <c r="AP49" s="488">
        <f t="shared" si="61"/>
        <v>2</v>
      </c>
      <c r="AQ49" s="488">
        <f t="shared" si="62"/>
        <v>3</v>
      </c>
      <c r="AR49" s="488" t="str">
        <f t="shared" si="63"/>
        <v/>
      </c>
      <c r="AS49" s="488">
        <f t="shared" si="64"/>
        <v>2</v>
      </c>
      <c r="AT49" s="488">
        <f t="shared" si="65"/>
        <v>3</v>
      </c>
      <c r="AU49" s="488">
        <f t="shared" si="66"/>
        <v>2</v>
      </c>
      <c r="AV49" s="488">
        <f t="shared" si="67"/>
        <v>3</v>
      </c>
      <c r="AW49" s="488" t="str">
        <f t="shared" si="68"/>
        <v/>
      </c>
      <c r="AX49" s="488" t="str">
        <f t="shared" si="69"/>
        <v/>
      </c>
      <c r="AY49" s="488" t="str">
        <f t="shared" si="70"/>
        <v/>
      </c>
      <c r="AZ49" s="488">
        <f t="shared" si="71"/>
        <v>3</v>
      </c>
      <c r="BA49" s="488" t="str">
        <f t="shared" si="26"/>
        <v/>
      </c>
      <c r="BB49" s="486">
        <f>IF('NH13-14'!B49="","",ROUND(SUMPRODUCT(AE49:BA49,$AE$7:$BA$7)/SUMIF(AE49:BA49,"&gt;=1",$AE$7:$BA$7),2))</f>
        <v>2.13</v>
      </c>
      <c r="BC49" s="527">
        <f t="shared" si="27"/>
        <v>5</v>
      </c>
      <c r="BD49" s="507">
        <f t="shared" si="28"/>
        <v>6.7</v>
      </c>
      <c r="BE49" s="507">
        <f t="shared" si="29"/>
        <v>6.6</v>
      </c>
      <c r="BF49" s="507">
        <f t="shared" si="30"/>
        <v>6.5</v>
      </c>
      <c r="BG49" s="507">
        <f t="shared" si="31"/>
        <v>6.4</v>
      </c>
      <c r="BH49" s="507">
        <f t="shared" si="32"/>
        <v>8.1</v>
      </c>
      <c r="BI49" s="507">
        <f t="shared" si="33"/>
        <v>6.5</v>
      </c>
      <c r="BJ49" s="507" t="str">
        <f t="shared" si="34"/>
        <v/>
      </c>
      <c r="BK49" s="507" t="str">
        <f t="shared" si="35"/>
        <v/>
      </c>
      <c r="BL49" s="507">
        <f t="shared" si="36"/>
        <v>5.2</v>
      </c>
      <c r="BM49" s="507">
        <f t="shared" si="37"/>
        <v>5.3</v>
      </c>
      <c r="BN49" s="507">
        <f t="shared" si="38"/>
        <v>6.7</v>
      </c>
      <c r="BO49" s="507">
        <f t="shared" si="39"/>
        <v>7.7</v>
      </c>
      <c r="BP49" s="507" t="str">
        <f t="shared" si="40"/>
        <v/>
      </c>
      <c r="BQ49" s="507">
        <f t="shared" si="41"/>
        <v>6.4</v>
      </c>
      <c r="BR49" s="507">
        <f t="shared" si="42"/>
        <v>7</v>
      </c>
      <c r="BS49" s="507">
        <f t="shared" si="43"/>
        <v>6.2</v>
      </c>
      <c r="BT49" s="507">
        <f t="shared" si="44"/>
        <v>7.3</v>
      </c>
      <c r="BU49" s="507" t="str">
        <f t="shared" si="45"/>
        <v/>
      </c>
      <c r="BV49" s="507" t="str">
        <f t="shared" si="46"/>
        <v/>
      </c>
      <c r="BW49" s="507" t="str">
        <f t="shared" si="47"/>
        <v/>
      </c>
      <c r="BX49" s="507">
        <f t="shared" si="48"/>
        <v>7.1</v>
      </c>
      <c r="BY49" s="507" t="str">
        <f t="shared" si="49"/>
        <v/>
      </c>
    </row>
    <row r="50" spans="1:77">
      <c r="A50" s="481">
        <f>IF('NH13-14'!A50="","",'NH13-14'!A50)</f>
        <v>40</v>
      </c>
      <c r="B50" s="482" t="str">
        <f>IF('NH13-14'!B50="","",'NH13-14'!B50)</f>
        <v>13D301Đ166</v>
      </c>
      <c r="C50" s="490">
        <f t="shared" si="2"/>
        <v>31</v>
      </c>
      <c r="D50" s="490">
        <f t="shared" si="3"/>
        <v>8</v>
      </c>
      <c r="E50" s="483" t="str">
        <f>IF('NH13-14'!C50="","",'NH13-14'!C50)</f>
        <v>Nguyễn Văn</v>
      </c>
      <c r="F50" s="484" t="str">
        <f>IF('NH13-14'!D50="","",'NH13-14'!D50)</f>
        <v>Tư</v>
      </c>
      <c r="G50" s="485">
        <f>IF('NH13-14'!I50="",'NH13-14'!H50,IF('NH13-14'!I50&gt;='NH13-14'!H50,'NH13-14'!I50,'NH13-14'!H50))</f>
        <v>5.2</v>
      </c>
      <c r="H50" s="485">
        <f>IF('NH13-14'!K50="",'NH13-14'!J50,IF('NH13-14'!K50&gt;='NH13-14'!J50,'NH13-14'!K50,'NH13-14'!J50))</f>
        <v>5.5</v>
      </c>
      <c r="I50" s="485">
        <f>IF('NH13-14'!M50="",'NH13-14'!L50,IF('NH13-14'!M50&gt;='NH13-14'!L50,'NH13-14'!M50,'NH13-14'!L50))</f>
        <v>5.8</v>
      </c>
      <c r="J50" s="485">
        <f>IF('NH13-14'!O50="",'NH13-14'!N50,IF('NH13-14'!O50&gt;='NH13-14'!N50,'NH13-14'!O50,'NH13-14'!N50))</f>
        <v>3.2</v>
      </c>
      <c r="K50" s="485">
        <f>IF('NH13-14'!Q50="",'NH13-14'!P50,IF('NH13-14'!Q50&gt;='NH13-14'!P50,'NH13-14'!Q50,'NH13-14'!P50))</f>
        <v>2.9</v>
      </c>
      <c r="L50" s="485">
        <f>IF('NH13-14'!S50="",'NH13-14'!R50,IF('NH13-14'!S50&gt;='NH13-14'!R50,'NH13-14'!S50,'NH13-14'!R50))</f>
        <v>7.5</v>
      </c>
      <c r="M50" s="485">
        <f>IF('NH13-14'!U50="",'NH13-14'!T50,IF('NH13-14'!U50&gt;='NH13-14'!T50,'NH13-14'!U50,'NH13-14'!T50))</f>
        <v>6.2</v>
      </c>
      <c r="N50" s="485" t="str">
        <f>IF('NH13-14'!W50="",'NH13-14'!V50,IF('NH13-14'!W50&gt;='NH13-14'!V50,'NH13-14'!W50,'NH13-14'!V50))</f>
        <v/>
      </c>
      <c r="O50" s="485" t="str">
        <f>IF('NH13-14'!Y50="",'NH13-14'!X50,IF('NH13-14'!Y50&gt;='NH13-14'!X50,'NH13-14'!Y50,'NH13-14'!X50))</f>
        <v/>
      </c>
      <c r="P50" s="485">
        <f>IF('NH13-14'!AA50="",'NH13-14'!Z50,IF('NH13-14'!AA50&gt;='NH13-14'!Z50,'NH13-14'!AA50,'NH13-14'!Z50))</f>
        <v>5.9</v>
      </c>
      <c r="Q50" s="485">
        <f>IF('NH13-14'!AC50="",'NH13-14'!AB50,IF('NH13-14'!AC50&gt;='NH13-14'!AB50,'NH13-14'!AC50,'NH13-14'!AB50))</f>
        <v>3.4</v>
      </c>
      <c r="R50" s="485">
        <f>IF('NH13-14'!AE50="",'NH13-14'!AD50,IF('NH13-14'!AE50&gt;='NH13-14'!AD50,'NH13-14'!AE50,'NH13-14'!AD50))</f>
        <v>5.8</v>
      </c>
      <c r="S50" s="485">
        <f>IF('NH13-14'!AG50="",'NH13-14'!AF50,IF('NH13-14'!AG50&gt;='NH13-14'!AF50,'NH13-14'!AG50,'NH13-14'!AF50))</f>
        <v>7.7</v>
      </c>
      <c r="T50" s="485" t="str">
        <f>IF('NH13-14'!AI50="",'NH13-14'!AH50,IF('NH13-14'!AI50&gt;='NH13-14'!AH50,'NH13-14'!AI50,'NH13-14'!AH50))</f>
        <v/>
      </c>
      <c r="U50" s="485">
        <f>IF('NH13-14'!AK50="",'NH13-14'!AJ50,IF('NH13-14'!AK50&gt;='NH13-14'!AJ50,'NH13-14'!AK50,'NH13-14'!AJ50))</f>
        <v>6.1</v>
      </c>
      <c r="V50" s="485">
        <f>IF('NH13-14'!AM50="",'NH13-14'!AL50,IF('NH13-14'!AM50&gt;='NH13-14'!AL50,'NH13-14'!AM50,'NH13-14'!AL50))</f>
        <v>5.8</v>
      </c>
      <c r="W50" s="485">
        <f>IF('NH13-14'!AO50="",'NH13-14'!AN50,IF('NH13-14'!AO50&gt;='NH13-14'!AN50,'NH13-14'!AO50,'NH13-14'!AN50))</f>
        <v>5</v>
      </c>
      <c r="X50" s="485">
        <f>IF('NH13-14'!AQ50="",'NH13-14'!AP50,IF('NH13-14'!AQ50&gt;='NH13-14'!AP50,'NH13-14'!AQ50,'NH13-14'!AP50))</f>
        <v>7.5</v>
      </c>
      <c r="Y50" s="485" t="str">
        <f>IF('NH13-14'!AS50="",'NH13-14'!AR50,IF('NH13-14'!AS50&gt;='NH13-14'!AR50,'NH13-14'!AS50,'NH13-14'!AR50))</f>
        <v/>
      </c>
      <c r="Z50" s="485" t="str">
        <f>IF('NH13-14'!AU50="",'NH13-14'!AT50,IF('NH13-14'!AU50&gt;='NH13-14'!AT50,'NH13-14'!AU50,'NH13-14'!AT50))</f>
        <v/>
      </c>
      <c r="AA50" s="485" t="str">
        <f>IF('NH13-14'!AW50="",'NH13-14'!AV50,IF('NH13-14'!AW50&gt;='NH13-14'!AV50,'NH13-14'!AW50,'NH13-14'!AV50))</f>
        <v/>
      </c>
      <c r="AB50" s="485">
        <f>IF('NH13-14'!AY50="",'NH13-14'!AX50,IF('NH13-14'!AY50&gt;='NH13-14'!AX50,'NH13-14'!AY50,'NH13-14'!AX50))</f>
        <v>7.1</v>
      </c>
      <c r="AC50" s="485" t="str">
        <f>IF('NH13-14'!BA50="",'NH13-14'!AZ50,IF('NH13-14'!BA50&gt;='NH13-14'!AZ50,'NH13-14'!BA50,'NH13-14'!AZ50))</f>
        <v/>
      </c>
      <c r="AD50" s="486">
        <f>IF('NH13-14'!B50="","",ROUND(SUMPRODUCT(G50:AC50,$G$7:$AC$7)/SUMIF(G50:AC50,"&gt;=0",$G$7:$AC$7),2))</f>
        <v>5.66</v>
      </c>
      <c r="AE50" s="487">
        <f t="shared" si="50"/>
        <v>1</v>
      </c>
      <c r="AF50" s="488">
        <f t="shared" si="51"/>
        <v>2</v>
      </c>
      <c r="AG50" s="488">
        <f t="shared" si="52"/>
        <v>2</v>
      </c>
      <c r="AH50" s="488" t="str">
        <f t="shared" si="53"/>
        <v/>
      </c>
      <c r="AI50" s="488" t="str">
        <f t="shared" si="54"/>
        <v/>
      </c>
      <c r="AJ50" s="488">
        <f t="shared" si="55"/>
        <v>3</v>
      </c>
      <c r="AK50" s="488">
        <f t="shared" si="56"/>
        <v>2</v>
      </c>
      <c r="AL50" s="488" t="str">
        <f t="shared" si="57"/>
        <v/>
      </c>
      <c r="AM50" s="488" t="str">
        <f t="shared" si="58"/>
        <v/>
      </c>
      <c r="AN50" s="488">
        <f t="shared" si="59"/>
        <v>2</v>
      </c>
      <c r="AO50" s="488" t="str">
        <f t="shared" si="60"/>
        <v/>
      </c>
      <c r="AP50" s="488">
        <f t="shared" si="61"/>
        <v>2</v>
      </c>
      <c r="AQ50" s="488">
        <f t="shared" si="62"/>
        <v>3</v>
      </c>
      <c r="AR50" s="488" t="str">
        <f t="shared" si="63"/>
        <v/>
      </c>
      <c r="AS50" s="488">
        <f t="shared" si="64"/>
        <v>2</v>
      </c>
      <c r="AT50" s="488">
        <f t="shared" si="65"/>
        <v>2</v>
      </c>
      <c r="AU50" s="488">
        <f t="shared" si="66"/>
        <v>1</v>
      </c>
      <c r="AV50" s="488">
        <f t="shared" si="67"/>
        <v>3</v>
      </c>
      <c r="AW50" s="488" t="str">
        <f t="shared" si="68"/>
        <v/>
      </c>
      <c r="AX50" s="488" t="str">
        <f t="shared" si="69"/>
        <v/>
      </c>
      <c r="AY50" s="488" t="str">
        <f t="shared" si="70"/>
        <v/>
      </c>
      <c r="AZ50" s="488">
        <f t="shared" si="71"/>
        <v>3</v>
      </c>
      <c r="BA50" s="488" t="str">
        <f t="shared" si="26"/>
        <v/>
      </c>
      <c r="BB50" s="486">
        <f>IF('NH13-14'!B50="","",ROUND(SUMPRODUCT(AE50:BA50,$AE$7:$BA$7)/SUMIF(AE50:BA50,"&gt;=1",$AE$7:$BA$7),2))</f>
        <v>2.19</v>
      </c>
      <c r="BC50" s="527">
        <f t="shared" si="27"/>
        <v>5.2</v>
      </c>
      <c r="BD50" s="507">
        <f t="shared" si="28"/>
        <v>5.5</v>
      </c>
      <c r="BE50" s="507">
        <f t="shared" si="29"/>
        <v>5.8</v>
      </c>
      <c r="BF50" s="507" t="str">
        <f t="shared" si="30"/>
        <v/>
      </c>
      <c r="BG50" s="507" t="str">
        <f t="shared" si="31"/>
        <v/>
      </c>
      <c r="BH50" s="507">
        <f t="shared" si="32"/>
        <v>7.5</v>
      </c>
      <c r="BI50" s="507">
        <f t="shared" si="33"/>
        <v>6.2</v>
      </c>
      <c r="BJ50" s="507" t="str">
        <f t="shared" si="34"/>
        <v/>
      </c>
      <c r="BK50" s="507" t="str">
        <f t="shared" si="35"/>
        <v/>
      </c>
      <c r="BL50" s="507">
        <f t="shared" si="36"/>
        <v>5.9</v>
      </c>
      <c r="BM50" s="507" t="str">
        <f t="shared" si="37"/>
        <v/>
      </c>
      <c r="BN50" s="507">
        <f t="shared" si="38"/>
        <v>5.8</v>
      </c>
      <c r="BO50" s="507">
        <f t="shared" si="39"/>
        <v>7.7</v>
      </c>
      <c r="BP50" s="507" t="str">
        <f t="shared" si="40"/>
        <v/>
      </c>
      <c r="BQ50" s="507">
        <f t="shared" si="41"/>
        <v>6.1</v>
      </c>
      <c r="BR50" s="507">
        <f t="shared" si="42"/>
        <v>5.8</v>
      </c>
      <c r="BS50" s="507">
        <f t="shared" si="43"/>
        <v>5</v>
      </c>
      <c r="BT50" s="507">
        <f t="shared" si="44"/>
        <v>7.5</v>
      </c>
      <c r="BU50" s="507" t="str">
        <f t="shared" si="45"/>
        <v/>
      </c>
      <c r="BV50" s="507" t="str">
        <f t="shared" si="46"/>
        <v/>
      </c>
      <c r="BW50" s="507" t="str">
        <f t="shared" si="47"/>
        <v/>
      </c>
      <c r="BX50" s="507">
        <f t="shared" si="48"/>
        <v>7.1</v>
      </c>
      <c r="BY50" s="507" t="str">
        <f t="shared" si="49"/>
        <v/>
      </c>
    </row>
    <row r="51" spans="1:77">
      <c r="A51" s="481">
        <f>IF('NH13-14'!A51="","",'NH13-14'!A51)</f>
        <v>41</v>
      </c>
      <c r="B51" s="482" t="str">
        <f>IF('NH13-14'!B51="","",'NH13-14'!B51)</f>
        <v>13D301Đ175</v>
      </c>
      <c r="C51" s="490">
        <f t="shared" si="2"/>
        <v>3</v>
      </c>
      <c r="D51" s="490">
        <f t="shared" si="3"/>
        <v>32</v>
      </c>
      <c r="E51" s="483" t="str">
        <f>IF('NH13-14'!C51="","",'NH13-14'!C51)</f>
        <v>Châu Hữu</v>
      </c>
      <c r="F51" s="484" t="str">
        <f>IF('NH13-14'!D51="","",'NH13-14'!D51)</f>
        <v>Vinh</v>
      </c>
      <c r="G51" s="485">
        <f>IF('NH13-14'!I51="",'NH13-14'!H51,IF('NH13-14'!I51&gt;='NH13-14'!H51,'NH13-14'!I51,'NH13-14'!H51))</f>
        <v>1.3</v>
      </c>
      <c r="H51" s="485">
        <f>IF('NH13-14'!K51="",'NH13-14'!J51,IF('NH13-14'!K51&gt;='NH13-14'!J51,'NH13-14'!K51,'NH13-14'!J51))</f>
        <v>3.7</v>
      </c>
      <c r="I51" s="485">
        <f>IF('NH13-14'!M51="",'NH13-14'!L51,IF('NH13-14'!M51&gt;='NH13-14'!L51,'NH13-14'!M51,'NH13-14'!L51))</f>
        <v>3.4</v>
      </c>
      <c r="J51" s="485">
        <f>IF('NH13-14'!O51="",'NH13-14'!N51,IF('NH13-14'!O51&gt;='NH13-14'!N51,'NH13-14'!O51,'NH13-14'!N51))</f>
        <v>2.2000000000000002</v>
      </c>
      <c r="K51" s="485">
        <f>IF('NH13-14'!Q51="",'NH13-14'!P51,IF('NH13-14'!Q51&gt;='NH13-14'!P51,'NH13-14'!Q51,'NH13-14'!P51))</f>
        <v>5.4</v>
      </c>
      <c r="L51" s="485">
        <f>IF('NH13-14'!S51="",'NH13-14'!R51,IF('NH13-14'!S51&gt;='NH13-14'!R51,'NH13-14'!S51,'NH13-14'!R51))</f>
        <v>3.9</v>
      </c>
      <c r="M51" s="485">
        <f>IF('NH13-14'!U51="",'NH13-14'!T51,IF('NH13-14'!U51&gt;='NH13-14'!T51,'NH13-14'!U51,'NH13-14'!T51))</f>
        <v>3.5</v>
      </c>
      <c r="N51" s="485" t="str">
        <f>IF('NH13-14'!W51="",'NH13-14'!V51,IF('NH13-14'!W51&gt;='NH13-14'!V51,'NH13-14'!W51,'NH13-14'!V51))</f>
        <v/>
      </c>
      <c r="O51" s="485" t="str">
        <f>IF('NH13-14'!Y51="",'NH13-14'!X51,IF('NH13-14'!Y51&gt;='NH13-14'!X51,'NH13-14'!Y51,'NH13-14'!X51))</f>
        <v/>
      </c>
      <c r="P51" s="485">
        <f>IF('NH13-14'!AA51="",'NH13-14'!Z51,IF('NH13-14'!AA51&gt;='NH13-14'!Z51,'NH13-14'!AA51,'NH13-14'!Z51))</f>
        <v>0</v>
      </c>
      <c r="Q51" s="485">
        <f>IF('NH13-14'!AC51="",'NH13-14'!AB51,IF('NH13-14'!AC51&gt;='NH13-14'!AB51,'NH13-14'!AC51,'NH13-14'!AB51))</f>
        <v>0</v>
      </c>
      <c r="R51" s="485" t="str">
        <f>IF('NH13-14'!AE51="",'NH13-14'!AD51,IF('NH13-14'!AE51&gt;='NH13-14'!AD51,'NH13-14'!AE51,'NH13-14'!AD51))</f>
        <v/>
      </c>
      <c r="S51" s="485" t="str">
        <f>IF('NH13-14'!AG51="",'NH13-14'!AF51,IF('NH13-14'!AG51&gt;='NH13-14'!AF51,'NH13-14'!AG51,'NH13-14'!AF51))</f>
        <v/>
      </c>
      <c r="T51" s="485" t="str">
        <f>IF('NH13-14'!AI51="",'NH13-14'!AH51,IF('NH13-14'!AI51&gt;='NH13-14'!AH51,'NH13-14'!AI51,'NH13-14'!AH51))</f>
        <v/>
      </c>
      <c r="U51" s="485">
        <f>IF('NH13-14'!AK51="",'NH13-14'!AJ51,IF('NH13-14'!AK51&gt;='NH13-14'!AJ51,'NH13-14'!AK51,'NH13-14'!AJ51))</f>
        <v>0</v>
      </c>
      <c r="V51" s="485">
        <f>IF('NH13-14'!AM51="",'NH13-14'!AL51,IF('NH13-14'!AM51&gt;='NH13-14'!AL51,'NH13-14'!AM51,'NH13-14'!AL51))</f>
        <v>0</v>
      </c>
      <c r="W51" s="485">
        <f>IF('NH13-14'!AO51="",'NH13-14'!AN51,IF('NH13-14'!AO51&gt;='NH13-14'!AN51,'NH13-14'!AO51,'NH13-14'!AN51))</f>
        <v>0</v>
      </c>
      <c r="X51" s="485">
        <f>IF('NH13-14'!AQ51="",'NH13-14'!AP51,IF('NH13-14'!AQ51&gt;='NH13-14'!AP51,'NH13-14'!AQ51,'NH13-14'!AP51))</f>
        <v>0</v>
      </c>
      <c r="Y51" s="485" t="str">
        <f>IF('NH13-14'!AS51="",'NH13-14'!AR51,IF('NH13-14'!AS51&gt;='NH13-14'!AR51,'NH13-14'!AS51,'NH13-14'!AR51))</f>
        <v/>
      </c>
      <c r="Z51" s="485" t="str">
        <f>IF('NH13-14'!AU51="",'NH13-14'!AT51,IF('NH13-14'!AU51&gt;='NH13-14'!AT51,'NH13-14'!AU51,'NH13-14'!AT51))</f>
        <v/>
      </c>
      <c r="AA51" s="485" t="str">
        <f>IF('NH13-14'!AW51="",'NH13-14'!AV51,IF('NH13-14'!AW51&gt;='NH13-14'!AV51,'NH13-14'!AW51,'NH13-14'!AV51))</f>
        <v/>
      </c>
      <c r="AB51" s="485">
        <f>IF('NH13-14'!AY51="",'NH13-14'!AX51,IF('NH13-14'!AY51&gt;='NH13-14'!AX51,'NH13-14'!AY51,'NH13-14'!AX51))</f>
        <v>0</v>
      </c>
      <c r="AC51" s="485" t="str">
        <f>IF('NH13-14'!BA51="",'NH13-14'!AZ51,IF('NH13-14'!BA51&gt;='NH13-14'!AZ51,'NH13-14'!BA51,'NH13-14'!AZ51))</f>
        <v/>
      </c>
      <c r="AD51" s="486">
        <f>IF('NH13-14'!B51="","",ROUND(SUMPRODUCT(G51:AC51,$G$7:$AC$7)/SUMIF(G51:AC51,"&gt;=0",$G$7:$AC$7),2))</f>
        <v>1.97</v>
      </c>
      <c r="AE51" s="487" t="str">
        <f t="shared" si="50"/>
        <v/>
      </c>
      <c r="AF51" s="488" t="str">
        <f t="shared" si="51"/>
        <v/>
      </c>
      <c r="AG51" s="488" t="str">
        <f t="shared" si="52"/>
        <v/>
      </c>
      <c r="AH51" s="488" t="str">
        <f t="shared" si="53"/>
        <v/>
      </c>
      <c r="AI51" s="488">
        <f t="shared" si="54"/>
        <v>1</v>
      </c>
      <c r="AJ51" s="488" t="str">
        <f t="shared" si="55"/>
        <v/>
      </c>
      <c r="AK51" s="488" t="str">
        <f t="shared" si="56"/>
        <v/>
      </c>
      <c r="AL51" s="488" t="str">
        <f t="shared" si="57"/>
        <v/>
      </c>
      <c r="AM51" s="488" t="str">
        <f t="shared" si="58"/>
        <v/>
      </c>
      <c r="AN51" s="488" t="str">
        <f t="shared" si="59"/>
        <v/>
      </c>
      <c r="AO51" s="488" t="str">
        <f t="shared" si="60"/>
        <v/>
      </c>
      <c r="AP51" s="488" t="str">
        <f t="shared" si="61"/>
        <v/>
      </c>
      <c r="AQ51" s="488" t="str">
        <f t="shared" si="62"/>
        <v/>
      </c>
      <c r="AR51" s="488" t="str">
        <f t="shared" si="63"/>
        <v/>
      </c>
      <c r="AS51" s="488" t="str">
        <f t="shared" si="64"/>
        <v/>
      </c>
      <c r="AT51" s="488" t="str">
        <f t="shared" si="65"/>
        <v/>
      </c>
      <c r="AU51" s="488" t="str">
        <f t="shared" si="66"/>
        <v/>
      </c>
      <c r="AV51" s="488" t="str">
        <f t="shared" si="67"/>
        <v/>
      </c>
      <c r="AW51" s="488" t="str">
        <f t="shared" si="68"/>
        <v/>
      </c>
      <c r="AX51" s="488" t="str">
        <f t="shared" si="69"/>
        <v/>
      </c>
      <c r="AY51" s="488" t="str">
        <f t="shared" si="70"/>
        <v/>
      </c>
      <c r="AZ51" s="488" t="str">
        <f t="shared" si="71"/>
        <v/>
      </c>
      <c r="BA51" s="488" t="str">
        <f t="shared" si="26"/>
        <v/>
      </c>
      <c r="BB51" s="486">
        <f>IF('NH13-14'!B51="","",ROUND(SUMPRODUCT(AE51:BA51,$AE$7:$BA$7)/SUMIF(AE51:BA51,"&gt;=1",$AE$7:$BA$7),2))</f>
        <v>1</v>
      </c>
      <c r="BC51" s="527" t="str">
        <f t="shared" si="27"/>
        <v/>
      </c>
      <c r="BD51" s="507" t="str">
        <f t="shared" si="28"/>
        <v/>
      </c>
      <c r="BE51" s="507" t="str">
        <f t="shared" si="29"/>
        <v/>
      </c>
      <c r="BF51" s="507" t="str">
        <f t="shared" si="30"/>
        <v/>
      </c>
      <c r="BG51" s="507">
        <f t="shared" si="31"/>
        <v>5.4</v>
      </c>
      <c r="BH51" s="507" t="str">
        <f t="shared" si="32"/>
        <v/>
      </c>
      <c r="BI51" s="507" t="str">
        <f t="shared" si="33"/>
        <v/>
      </c>
      <c r="BJ51" s="507" t="str">
        <f t="shared" si="34"/>
        <v/>
      </c>
      <c r="BK51" s="507" t="str">
        <f t="shared" si="35"/>
        <v/>
      </c>
      <c r="BL51" s="507" t="str">
        <f t="shared" si="36"/>
        <v/>
      </c>
      <c r="BM51" s="507" t="str">
        <f t="shared" si="37"/>
        <v/>
      </c>
      <c r="BN51" s="507" t="str">
        <f t="shared" si="38"/>
        <v/>
      </c>
      <c r="BO51" s="507" t="str">
        <f t="shared" si="39"/>
        <v/>
      </c>
      <c r="BP51" s="507" t="str">
        <f t="shared" si="40"/>
        <v/>
      </c>
      <c r="BQ51" s="507" t="str">
        <f t="shared" si="41"/>
        <v/>
      </c>
      <c r="BR51" s="507" t="str">
        <f t="shared" si="42"/>
        <v/>
      </c>
      <c r="BS51" s="507" t="str">
        <f t="shared" si="43"/>
        <v/>
      </c>
      <c r="BT51" s="507" t="str">
        <f t="shared" si="44"/>
        <v/>
      </c>
      <c r="BU51" s="507" t="str">
        <f t="shared" si="45"/>
        <v/>
      </c>
      <c r="BV51" s="507" t="str">
        <f t="shared" si="46"/>
        <v/>
      </c>
      <c r="BW51" s="507" t="str">
        <f t="shared" si="47"/>
        <v/>
      </c>
      <c r="BX51" s="507" t="str">
        <f t="shared" si="48"/>
        <v/>
      </c>
      <c r="BY51" s="507" t="str">
        <f t="shared" si="49"/>
        <v/>
      </c>
    </row>
    <row r="52" spans="1:77">
      <c r="A52" s="481">
        <f>IF('NH13-14'!A52="","",'NH13-14'!A52)</f>
        <v>42</v>
      </c>
      <c r="B52" s="482" t="str">
        <f>IF('NH13-14'!B52="","",'NH13-14'!B52)</f>
        <v>13D301Đ178</v>
      </c>
      <c r="C52" s="490">
        <f t="shared" si="2"/>
        <v>39</v>
      </c>
      <c r="D52" s="490">
        <f t="shared" si="3"/>
        <v>0</v>
      </c>
      <c r="E52" s="483" t="str">
        <f>IF('NH13-14'!C52="","",'NH13-14'!C52)</f>
        <v>Lê Văn</v>
      </c>
      <c r="F52" s="484" t="str">
        <f>IF('NH13-14'!D52="","",'NH13-14'!D52)</f>
        <v>Vũ</v>
      </c>
      <c r="G52" s="485">
        <f>IF('NH13-14'!I52="",'NH13-14'!H52,IF('NH13-14'!I52&gt;='NH13-14'!H52,'NH13-14'!I52,'NH13-14'!H52))</f>
        <v>6.2</v>
      </c>
      <c r="H52" s="485">
        <f>IF('NH13-14'!K52="",'NH13-14'!J52,IF('NH13-14'!K52&gt;='NH13-14'!J52,'NH13-14'!K52,'NH13-14'!J52))</f>
        <v>5.9</v>
      </c>
      <c r="I52" s="485">
        <f>IF('NH13-14'!M52="",'NH13-14'!L52,IF('NH13-14'!M52&gt;='NH13-14'!L52,'NH13-14'!M52,'NH13-14'!L52))</f>
        <v>5.0999999999999996</v>
      </c>
      <c r="J52" s="485">
        <f>IF('NH13-14'!O52="",'NH13-14'!N52,IF('NH13-14'!O52&gt;='NH13-14'!N52,'NH13-14'!O52,'NH13-14'!N52))</f>
        <v>4.8</v>
      </c>
      <c r="K52" s="485">
        <f>IF('NH13-14'!Q52="",'NH13-14'!P52,IF('NH13-14'!Q52&gt;='NH13-14'!P52,'NH13-14'!Q52,'NH13-14'!P52))</f>
        <v>5.5</v>
      </c>
      <c r="L52" s="485">
        <f>IF('NH13-14'!S52="",'NH13-14'!R52,IF('NH13-14'!S52&gt;='NH13-14'!R52,'NH13-14'!S52,'NH13-14'!R52))</f>
        <v>5.7</v>
      </c>
      <c r="M52" s="485">
        <f>IF('NH13-14'!U52="",'NH13-14'!T52,IF('NH13-14'!U52&gt;='NH13-14'!T52,'NH13-14'!U52,'NH13-14'!T52))</f>
        <v>6.2</v>
      </c>
      <c r="N52" s="485" t="str">
        <f>IF('NH13-14'!W52="",'NH13-14'!V52,IF('NH13-14'!W52&gt;='NH13-14'!V52,'NH13-14'!W52,'NH13-14'!V52))</f>
        <v/>
      </c>
      <c r="O52" s="485" t="str">
        <f>IF('NH13-14'!Y52="",'NH13-14'!X52,IF('NH13-14'!Y52&gt;='NH13-14'!X52,'NH13-14'!Y52,'NH13-14'!X52))</f>
        <v/>
      </c>
      <c r="P52" s="485">
        <f>IF('NH13-14'!AA52="",'NH13-14'!Z52,IF('NH13-14'!AA52&gt;='NH13-14'!Z52,'NH13-14'!AA52,'NH13-14'!Z52))</f>
        <v>7</v>
      </c>
      <c r="Q52" s="485">
        <f>IF('NH13-14'!AC52="",'NH13-14'!AB52,IF('NH13-14'!AC52&gt;='NH13-14'!AB52,'NH13-14'!AC52,'NH13-14'!AB52))</f>
        <v>5.5</v>
      </c>
      <c r="R52" s="485">
        <f>IF('NH13-14'!AE52="",'NH13-14'!AD52,IF('NH13-14'!AE52&gt;='NH13-14'!AD52,'NH13-14'!AE52,'NH13-14'!AD52))</f>
        <v>6.9</v>
      </c>
      <c r="S52" s="485">
        <f>IF('NH13-14'!AG52="",'NH13-14'!AF52,IF('NH13-14'!AG52&gt;='NH13-14'!AF52,'NH13-14'!AG52,'NH13-14'!AF52))</f>
        <v>7.6</v>
      </c>
      <c r="T52" s="485" t="str">
        <f>IF('NH13-14'!AI52="",'NH13-14'!AH52,IF('NH13-14'!AI52&gt;='NH13-14'!AH52,'NH13-14'!AI52,'NH13-14'!AH52))</f>
        <v/>
      </c>
      <c r="U52" s="485">
        <f>IF('NH13-14'!AK52="",'NH13-14'!AJ52,IF('NH13-14'!AK52&gt;='NH13-14'!AJ52,'NH13-14'!AK52,'NH13-14'!AJ52))</f>
        <v>6.7</v>
      </c>
      <c r="V52" s="485">
        <f>IF('NH13-14'!AM52="",'NH13-14'!AL52,IF('NH13-14'!AM52&gt;='NH13-14'!AL52,'NH13-14'!AM52,'NH13-14'!AL52))</f>
        <v>7</v>
      </c>
      <c r="W52" s="485">
        <f>IF('NH13-14'!AO52="",'NH13-14'!AN52,IF('NH13-14'!AO52&gt;='NH13-14'!AN52,'NH13-14'!AO52,'NH13-14'!AN52))</f>
        <v>5</v>
      </c>
      <c r="X52" s="485">
        <f>IF('NH13-14'!AQ52="",'NH13-14'!AP52,IF('NH13-14'!AQ52&gt;='NH13-14'!AP52,'NH13-14'!AQ52,'NH13-14'!AP52))</f>
        <v>7</v>
      </c>
      <c r="Y52" s="485" t="str">
        <f>IF('NH13-14'!AS52="",'NH13-14'!AR52,IF('NH13-14'!AS52&gt;='NH13-14'!AR52,'NH13-14'!AS52,'NH13-14'!AR52))</f>
        <v/>
      </c>
      <c r="Z52" s="485" t="str">
        <f>IF('NH13-14'!AU52="",'NH13-14'!AT52,IF('NH13-14'!AU52&gt;='NH13-14'!AT52,'NH13-14'!AU52,'NH13-14'!AT52))</f>
        <v/>
      </c>
      <c r="AA52" s="485" t="str">
        <f>IF('NH13-14'!AW52="",'NH13-14'!AV52,IF('NH13-14'!AW52&gt;='NH13-14'!AV52,'NH13-14'!AW52,'NH13-14'!AV52))</f>
        <v/>
      </c>
      <c r="AB52" s="485">
        <f>IF('NH13-14'!AY52="",'NH13-14'!AX52,IF('NH13-14'!AY52&gt;='NH13-14'!AX52,'NH13-14'!AY52,'NH13-14'!AX52))</f>
        <v>5.7</v>
      </c>
      <c r="AC52" s="485" t="str">
        <f>IF('NH13-14'!BA52="",'NH13-14'!AZ52,IF('NH13-14'!BA52&gt;='NH13-14'!AZ52,'NH13-14'!BA52,'NH13-14'!AZ52))</f>
        <v/>
      </c>
      <c r="AD52" s="486">
        <f>IF('NH13-14'!B52="","",ROUND(SUMPRODUCT(G52:AC52,$G$7:$AC$7)/SUMIF(G52:AC52,"&gt;=0",$G$7:$AC$7),2))</f>
        <v>6.05</v>
      </c>
      <c r="AE52" s="487">
        <f t="shared" si="50"/>
        <v>2</v>
      </c>
      <c r="AF52" s="488">
        <f t="shared" si="51"/>
        <v>2</v>
      </c>
      <c r="AG52" s="488">
        <f t="shared" si="52"/>
        <v>1</v>
      </c>
      <c r="AH52" s="488">
        <f t="shared" si="53"/>
        <v>1</v>
      </c>
      <c r="AI52" s="488">
        <f t="shared" si="54"/>
        <v>2</v>
      </c>
      <c r="AJ52" s="488">
        <f t="shared" si="55"/>
        <v>2</v>
      </c>
      <c r="AK52" s="488">
        <f t="shared" si="56"/>
        <v>2</v>
      </c>
      <c r="AL52" s="488" t="str">
        <f t="shared" si="57"/>
        <v/>
      </c>
      <c r="AM52" s="488" t="str">
        <f t="shared" si="58"/>
        <v/>
      </c>
      <c r="AN52" s="488">
        <f t="shared" si="59"/>
        <v>3</v>
      </c>
      <c r="AO52" s="488">
        <f t="shared" si="60"/>
        <v>2</v>
      </c>
      <c r="AP52" s="488">
        <f t="shared" si="61"/>
        <v>2</v>
      </c>
      <c r="AQ52" s="488">
        <f t="shared" si="62"/>
        <v>3</v>
      </c>
      <c r="AR52" s="488" t="str">
        <f t="shared" si="63"/>
        <v/>
      </c>
      <c r="AS52" s="488">
        <f t="shared" si="64"/>
        <v>2</v>
      </c>
      <c r="AT52" s="488">
        <f t="shared" si="65"/>
        <v>3</v>
      </c>
      <c r="AU52" s="488">
        <f t="shared" si="66"/>
        <v>1</v>
      </c>
      <c r="AV52" s="488">
        <f t="shared" si="67"/>
        <v>3</v>
      </c>
      <c r="AW52" s="488" t="str">
        <f t="shared" si="68"/>
        <v/>
      </c>
      <c r="AX52" s="488" t="str">
        <f t="shared" si="69"/>
        <v/>
      </c>
      <c r="AY52" s="488" t="str">
        <f t="shared" si="70"/>
        <v/>
      </c>
      <c r="AZ52" s="488">
        <f t="shared" si="71"/>
        <v>2</v>
      </c>
      <c r="BA52" s="488" t="str">
        <f t="shared" si="26"/>
        <v/>
      </c>
      <c r="BB52" s="486">
        <f>IF('NH13-14'!B52="","",ROUND(SUMPRODUCT(AE52:BA52,$AE$7:$BA$7)/SUMIF(AE52:BA52,"&gt;=1",$AE$7:$BA$7),2))</f>
        <v>2.0499999999999998</v>
      </c>
      <c r="BC52" s="527">
        <f t="shared" si="27"/>
        <v>6.2</v>
      </c>
      <c r="BD52" s="507">
        <f t="shared" si="28"/>
        <v>5.9</v>
      </c>
      <c r="BE52" s="507">
        <f t="shared" si="29"/>
        <v>5.0999999999999996</v>
      </c>
      <c r="BF52" s="507">
        <f t="shared" si="30"/>
        <v>4.8</v>
      </c>
      <c r="BG52" s="507">
        <f t="shared" si="31"/>
        <v>5.5</v>
      </c>
      <c r="BH52" s="507">
        <f t="shared" si="32"/>
        <v>5.7</v>
      </c>
      <c r="BI52" s="507">
        <f t="shared" si="33"/>
        <v>6.2</v>
      </c>
      <c r="BJ52" s="507" t="str">
        <f t="shared" si="34"/>
        <v/>
      </c>
      <c r="BK52" s="507" t="str">
        <f t="shared" si="35"/>
        <v/>
      </c>
      <c r="BL52" s="507">
        <f t="shared" si="36"/>
        <v>7</v>
      </c>
      <c r="BM52" s="507">
        <f t="shared" si="37"/>
        <v>5.5</v>
      </c>
      <c r="BN52" s="507">
        <f t="shared" si="38"/>
        <v>6.9</v>
      </c>
      <c r="BO52" s="507">
        <f t="shared" si="39"/>
        <v>7.6</v>
      </c>
      <c r="BP52" s="507" t="str">
        <f t="shared" si="40"/>
        <v/>
      </c>
      <c r="BQ52" s="507">
        <f t="shared" si="41"/>
        <v>6.7</v>
      </c>
      <c r="BR52" s="507">
        <f t="shared" si="42"/>
        <v>7</v>
      </c>
      <c r="BS52" s="507">
        <f t="shared" si="43"/>
        <v>5</v>
      </c>
      <c r="BT52" s="507">
        <f t="shared" si="44"/>
        <v>7</v>
      </c>
      <c r="BU52" s="507" t="str">
        <f t="shared" si="45"/>
        <v/>
      </c>
      <c r="BV52" s="507" t="str">
        <f t="shared" si="46"/>
        <v/>
      </c>
      <c r="BW52" s="507" t="str">
        <f t="shared" si="47"/>
        <v/>
      </c>
      <c r="BX52" s="507">
        <f t="shared" si="48"/>
        <v>5.7</v>
      </c>
      <c r="BY52" s="507" t="str">
        <f t="shared" si="49"/>
        <v/>
      </c>
    </row>
    <row r="53" spans="1:77">
      <c r="A53" s="481" t="str">
        <f>IF('NH13-14'!A53="","",'NH13-14'!A53)</f>
        <v/>
      </c>
      <c r="B53" s="482" t="str">
        <f>IF('NH13-14'!B53="","",'NH13-14'!B53)</f>
        <v/>
      </c>
      <c r="C53" s="490" t="str">
        <f t="shared" si="2"/>
        <v/>
      </c>
      <c r="D53" s="490" t="str">
        <f t="shared" si="3"/>
        <v/>
      </c>
      <c r="E53" s="483" t="str">
        <f>IF('NH13-14'!C53="","",'NH13-14'!C53)</f>
        <v/>
      </c>
      <c r="F53" s="484" t="str">
        <f>IF('NH13-14'!D53="","",'NH13-14'!D53)</f>
        <v/>
      </c>
      <c r="G53" s="485" t="str">
        <f>IF('NH13-14'!I53="",'NH13-14'!H53,IF('NH13-14'!I53&gt;='NH13-14'!H53,'NH13-14'!I53,'NH13-14'!H53))</f>
        <v/>
      </c>
      <c r="H53" s="485" t="str">
        <f>IF('NH13-14'!K53="",'NH13-14'!J53,IF('NH13-14'!K53&gt;='NH13-14'!J53,'NH13-14'!K53,'NH13-14'!J53))</f>
        <v/>
      </c>
      <c r="I53" s="485" t="str">
        <f>IF('NH13-14'!M53="",'NH13-14'!L53,IF('NH13-14'!M53&gt;='NH13-14'!L53,'NH13-14'!M53,'NH13-14'!L53))</f>
        <v/>
      </c>
      <c r="J53" s="485" t="str">
        <f>IF('NH13-14'!O53="",'NH13-14'!N53,IF('NH13-14'!O53&gt;='NH13-14'!N53,'NH13-14'!O53,'NH13-14'!N53))</f>
        <v/>
      </c>
      <c r="K53" s="485" t="str">
        <f>IF('NH13-14'!Q53="",'NH13-14'!P53,IF('NH13-14'!Q53&gt;='NH13-14'!P53,'NH13-14'!Q53,'NH13-14'!P53))</f>
        <v/>
      </c>
      <c r="L53" s="485" t="str">
        <f>IF('NH13-14'!S53="",'NH13-14'!R53,IF('NH13-14'!S53&gt;='NH13-14'!R53,'NH13-14'!S53,'NH13-14'!R53))</f>
        <v/>
      </c>
      <c r="M53" s="485" t="str">
        <f>IF('NH13-14'!U53="",'NH13-14'!T53,IF('NH13-14'!U53&gt;='NH13-14'!T53,'NH13-14'!U53,'NH13-14'!T53))</f>
        <v/>
      </c>
      <c r="N53" s="485" t="str">
        <f>IF('NH13-14'!W53="",'NH13-14'!V53,IF('NH13-14'!W53&gt;='NH13-14'!V53,'NH13-14'!W53,'NH13-14'!V53))</f>
        <v/>
      </c>
      <c r="O53" s="485" t="str">
        <f>IF('NH13-14'!Y53="",'NH13-14'!X53,IF('NH13-14'!Y53&gt;='NH13-14'!X53,'NH13-14'!Y53,'NH13-14'!X53))</f>
        <v/>
      </c>
      <c r="P53" s="485" t="str">
        <f>IF('NH13-14'!AA53="",'NH13-14'!Z53,IF('NH13-14'!AA53&gt;='NH13-14'!Z53,'NH13-14'!AA53,'NH13-14'!Z53))</f>
        <v/>
      </c>
      <c r="Q53" s="485" t="str">
        <f>IF('NH13-14'!AC53="",'NH13-14'!AB53,IF('NH13-14'!AC53&gt;='NH13-14'!AB53,'NH13-14'!AC53,'NH13-14'!AB53))</f>
        <v/>
      </c>
      <c r="R53" s="485" t="str">
        <f>IF('NH13-14'!AE53="",'NH13-14'!AD53,IF('NH13-14'!AE53&gt;='NH13-14'!AD53,'NH13-14'!AE53,'NH13-14'!AD53))</f>
        <v/>
      </c>
      <c r="S53" s="485" t="str">
        <f>IF('NH13-14'!AG53="",'NH13-14'!AF53,IF('NH13-14'!AG53&gt;='NH13-14'!AF53,'NH13-14'!AG53,'NH13-14'!AF53))</f>
        <v/>
      </c>
      <c r="T53" s="485" t="str">
        <f>IF('NH13-14'!AI53="",'NH13-14'!AH53,IF('NH13-14'!AI53&gt;='NH13-14'!AH53,'NH13-14'!AI53,'NH13-14'!AH53))</f>
        <v/>
      </c>
      <c r="U53" s="485" t="str">
        <f>IF('NH13-14'!AK53="",'NH13-14'!AJ53,IF('NH13-14'!AK53&gt;='NH13-14'!AJ53,'NH13-14'!AK53,'NH13-14'!AJ53))</f>
        <v/>
      </c>
      <c r="V53" s="485" t="str">
        <f>IF('NH13-14'!AM53="",'NH13-14'!AL53,IF('NH13-14'!AM53&gt;='NH13-14'!AL53,'NH13-14'!AM53,'NH13-14'!AL53))</f>
        <v/>
      </c>
      <c r="W53" s="485" t="str">
        <f>IF('NH13-14'!AO53="",'NH13-14'!AN53,IF('NH13-14'!AO53&gt;='NH13-14'!AN53,'NH13-14'!AO53,'NH13-14'!AN53))</f>
        <v/>
      </c>
      <c r="X53" s="485" t="str">
        <f>IF('NH13-14'!AQ53="",'NH13-14'!AP53,IF('NH13-14'!AQ53&gt;='NH13-14'!AP53,'NH13-14'!AQ53,'NH13-14'!AP53))</f>
        <v/>
      </c>
      <c r="Y53" s="485" t="str">
        <f>IF('NH13-14'!AS53="",'NH13-14'!AR53,IF('NH13-14'!AS53&gt;='NH13-14'!AR53,'NH13-14'!AS53,'NH13-14'!AR53))</f>
        <v/>
      </c>
      <c r="Z53" s="485" t="str">
        <f>IF('NH13-14'!AU53="",'NH13-14'!AT53,IF('NH13-14'!AU53&gt;='NH13-14'!AT53,'NH13-14'!AU53,'NH13-14'!AT53))</f>
        <v/>
      </c>
      <c r="AA53" s="485" t="str">
        <f>IF('NH13-14'!AW53="",'NH13-14'!AV53,IF('NH13-14'!AW53&gt;='NH13-14'!AV53,'NH13-14'!AW53,'NH13-14'!AV53))</f>
        <v/>
      </c>
      <c r="AB53" s="485" t="str">
        <f>IF('NH13-14'!AY53="",'NH13-14'!AX53,IF('NH13-14'!AY53&gt;='NH13-14'!AX53,'NH13-14'!AY53,'NH13-14'!AX53))</f>
        <v/>
      </c>
      <c r="AC53" s="485" t="str">
        <f>IF('NH13-14'!BA53="",'NH13-14'!AZ53,IF('NH13-14'!BA53&gt;='NH13-14'!AZ53,'NH13-14'!BA53,'NH13-14'!AZ53))</f>
        <v/>
      </c>
      <c r="AD53" s="486" t="str">
        <f>IF('NH13-14'!B53="","",ROUND(SUMPRODUCT(G53:AC53,$G$7:$AC$7)/SUMIF(G53:AC53,"&gt;=0",$G$7:$AC$7),2))</f>
        <v/>
      </c>
      <c r="AE53" s="487" t="str">
        <f t="shared" si="50"/>
        <v/>
      </c>
      <c r="AF53" s="488" t="str">
        <f t="shared" si="51"/>
        <v/>
      </c>
      <c r="AG53" s="488" t="str">
        <f t="shared" si="52"/>
        <v/>
      </c>
      <c r="AH53" s="488" t="str">
        <f t="shared" si="53"/>
        <v/>
      </c>
      <c r="AI53" s="488" t="str">
        <f t="shared" si="54"/>
        <v/>
      </c>
      <c r="AJ53" s="488" t="str">
        <f t="shared" si="55"/>
        <v/>
      </c>
      <c r="AK53" s="488" t="str">
        <f t="shared" si="56"/>
        <v/>
      </c>
      <c r="AL53" s="488" t="str">
        <f t="shared" si="57"/>
        <v/>
      </c>
      <c r="AM53" s="488" t="str">
        <f t="shared" si="58"/>
        <v/>
      </c>
      <c r="AN53" s="488" t="str">
        <f t="shared" si="59"/>
        <v/>
      </c>
      <c r="AO53" s="488" t="str">
        <f t="shared" si="60"/>
        <v/>
      </c>
      <c r="AP53" s="488" t="str">
        <f t="shared" si="61"/>
        <v/>
      </c>
      <c r="AQ53" s="488" t="str">
        <f t="shared" si="62"/>
        <v/>
      </c>
      <c r="AR53" s="488" t="str">
        <f t="shared" si="63"/>
        <v/>
      </c>
      <c r="AS53" s="488" t="str">
        <f t="shared" si="64"/>
        <v/>
      </c>
      <c r="AT53" s="488" t="str">
        <f t="shared" si="65"/>
        <v/>
      </c>
      <c r="AU53" s="488" t="str">
        <f t="shared" si="66"/>
        <v/>
      </c>
      <c r="AV53" s="488" t="str">
        <f t="shared" si="67"/>
        <v/>
      </c>
      <c r="AW53" s="488" t="str">
        <f t="shared" si="68"/>
        <v/>
      </c>
      <c r="AX53" s="488" t="str">
        <f t="shared" si="69"/>
        <v/>
      </c>
      <c r="AY53" s="488" t="str">
        <f t="shared" si="70"/>
        <v/>
      </c>
      <c r="AZ53" s="488" t="str">
        <f t="shared" si="71"/>
        <v/>
      </c>
      <c r="BA53" s="488" t="str">
        <f t="shared" si="26"/>
        <v/>
      </c>
      <c r="BB53" s="486" t="str">
        <f>IF('NH13-14'!B53="","",ROUND(SUMPRODUCT(AE53:BA53,$AE$7:$BA$7)/SUMIF(AE53:BA53,"&gt;=1",$AE$7:$BA$7),2))</f>
        <v/>
      </c>
      <c r="BC53" s="527" t="str">
        <f t="shared" si="27"/>
        <v/>
      </c>
      <c r="BD53" s="507" t="str">
        <f t="shared" si="28"/>
        <v/>
      </c>
      <c r="BE53" s="507" t="str">
        <f t="shared" si="29"/>
        <v/>
      </c>
      <c r="BF53" s="507" t="str">
        <f t="shared" si="30"/>
        <v/>
      </c>
      <c r="BG53" s="507" t="str">
        <f t="shared" si="31"/>
        <v/>
      </c>
      <c r="BH53" s="507" t="str">
        <f t="shared" si="32"/>
        <v/>
      </c>
      <c r="BI53" s="507" t="str">
        <f t="shared" si="33"/>
        <v/>
      </c>
      <c r="BJ53" s="507" t="str">
        <f t="shared" si="34"/>
        <v/>
      </c>
      <c r="BK53" s="507" t="str">
        <f t="shared" si="35"/>
        <v/>
      </c>
      <c r="BL53" s="507" t="str">
        <f t="shared" si="36"/>
        <v/>
      </c>
      <c r="BM53" s="507" t="str">
        <f t="shared" si="37"/>
        <v/>
      </c>
      <c r="BN53" s="507" t="str">
        <f t="shared" si="38"/>
        <v/>
      </c>
      <c r="BO53" s="507" t="str">
        <f t="shared" si="39"/>
        <v/>
      </c>
      <c r="BP53" s="507" t="str">
        <f t="shared" si="40"/>
        <v/>
      </c>
      <c r="BQ53" s="507" t="str">
        <f t="shared" si="41"/>
        <v/>
      </c>
      <c r="BR53" s="507" t="str">
        <f t="shared" si="42"/>
        <v/>
      </c>
      <c r="BS53" s="507" t="str">
        <f t="shared" si="43"/>
        <v/>
      </c>
      <c r="BT53" s="507" t="str">
        <f t="shared" si="44"/>
        <v/>
      </c>
      <c r="BU53" s="507" t="str">
        <f t="shared" si="45"/>
        <v/>
      </c>
      <c r="BV53" s="507" t="str">
        <f t="shared" si="46"/>
        <v/>
      </c>
      <c r="BW53" s="507" t="str">
        <f t="shared" si="47"/>
        <v/>
      </c>
      <c r="BX53" s="507" t="str">
        <f t="shared" si="48"/>
        <v/>
      </c>
      <c r="BY53" s="507" t="str">
        <f t="shared" si="49"/>
        <v/>
      </c>
    </row>
    <row r="54" spans="1:77">
      <c r="A54" s="481" t="str">
        <f>IF('NH13-14'!A54="","",'NH13-14'!A54)</f>
        <v/>
      </c>
      <c r="B54" s="482" t="str">
        <f>IF('NH13-14'!B54="","",'NH13-14'!B54)</f>
        <v/>
      </c>
      <c r="C54" s="490" t="str">
        <f t="shared" si="2"/>
        <v/>
      </c>
      <c r="D54" s="490" t="str">
        <f t="shared" si="3"/>
        <v/>
      </c>
      <c r="E54" s="483" t="str">
        <f>IF('NH13-14'!C54="","",'NH13-14'!C54)</f>
        <v/>
      </c>
      <c r="F54" s="484" t="str">
        <f>IF('NH13-14'!D54="","",'NH13-14'!D54)</f>
        <v/>
      </c>
      <c r="G54" s="485" t="str">
        <f>IF('NH13-14'!I54="",'NH13-14'!H54,IF('NH13-14'!I54&gt;='NH13-14'!H54,'NH13-14'!I54,'NH13-14'!H54))</f>
        <v/>
      </c>
      <c r="H54" s="485" t="str">
        <f>IF('NH13-14'!K54="",'NH13-14'!J54,IF('NH13-14'!K54&gt;='NH13-14'!J54,'NH13-14'!K54,'NH13-14'!J54))</f>
        <v/>
      </c>
      <c r="I54" s="485" t="str">
        <f>IF('NH13-14'!M54="",'NH13-14'!L54,IF('NH13-14'!M54&gt;='NH13-14'!L54,'NH13-14'!M54,'NH13-14'!L54))</f>
        <v/>
      </c>
      <c r="J54" s="485" t="str">
        <f>IF('NH13-14'!O54="",'NH13-14'!N54,IF('NH13-14'!O54&gt;='NH13-14'!N54,'NH13-14'!O54,'NH13-14'!N54))</f>
        <v/>
      </c>
      <c r="K54" s="485" t="str">
        <f>IF('NH13-14'!Q54="",'NH13-14'!P54,IF('NH13-14'!Q54&gt;='NH13-14'!P54,'NH13-14'!Q54,'NH13-14'!P54))</f>
        <v/>
      </c>
      <c r="L54" s="485" t="str">
        <f>IF('NH13-14'!S54="",'NH13-14'!R54,IF('NH13-14'!S54&gt;='NH13-14'!R54,'NH13-14'!S54,'NH13-14'!R54))</f>
        <v/>
      </c>
      <c r="M54" s="485" t="str">
        <f>IF('NH13-14'!U54="",'NH13-14'!T54,IF('NH13-14'!U54&gt;='NH13-14'!T54,'NH13-14'!U54,'NH13-14'!T54))</f>
        <v/>
      </c>
      <c r="N54" s="485" t="str">
        <f>IF('NH13-14'!W54="",'NH13-14'!V54,IF('NH13-14'!W54&gt;='NH13-14'!V54,'NH13-14'!W54,'NH13-14'!V54))</f>
        <v/>
      </c>
      <c r="O54" s="485" t="str">
        <f>IF('NH13-14'!Y54="",'NH13-14'!X54,IF('NH13-14'!Y54&gt;='NH13-14'!X54,'NH13-14'!Y54,'NH13-14'!X54))</f>
        <v/>
      </c>
      <c r="P54" s="485" t="str">
        <f>IF('NH13-14'!AA54="",'NH13-14'!Z54,IF('NH13-14'!AA54&gt;='NH13-14'!Z54,'NH13-14'!AA54,'NH13-14'!Z54))</f>
        <v/>
      </c>
      <c r="Q54" s="485" t="str">
        <f>IF('NH13-14'!AC54="",'NH13-14'!AB54,IF('NH13-14'!AC54&gt;='NH13-14'!AB54,'NH13-14'!AC54,'NH13-14'!AB54))</f>
        <v/>
      </c>
      <c r="R54" s="485" t="str">
        <f>IF('NH13-14'!AE54="",'NH13-14'!AD54,IF('NH13-14'!AE54&gt;='NH13-14'!AD54,'NH13-14'!AE54,'NH13-14'!AD54))</f>
        <v/>
      </c>
      <c r="S54" s="485" t="str">
        <f>IF('NH13-14'!AG54="",'NH13-14'!AF54,IF('NH13-14'!AG54&gt;='NH13-14'!AF54,'NH13-14'!AG54,'NH13-14'!AF54))</f>
        <v/>
      </c>
      <c r="T54" s="485" t="str">
        <f>IF('NH13-14'!AI54="",'NH13-14'!AH54,IF('NH13-14'!AI54&gt;='NH13-14'!AH54,'NH13-14'!AI54,'NH13-14'!AH54))</f>
        <v/>
      </c>
      <c r="U54" s="485" t="str">
        <f>IF('NH13-14'!AK54="",'NH13-14'!AJ54,IF('NH13-14'!AK54&gt;='NH13-14'!AJ54,'NH13-14'!AK54,'NH13-14'!AJ54))</f>
        <v/>
      </c>
      <c r="V54" s="485" t="str">
        <f>IF('NH13-14'!AM54="",'NH13-14'!AL54,IF('NH13-14'!AM54&gt;='NH13-14'!AL54,'NH13-14'!AM54,'NH13-14'!AL54))</f>
        <v/>
      </c>
      <c r="W54" s="485" t="str">
        <f>IF('NH13-14'!AO54="",'NH13-14'!AN54,IF('NH13-14'!AO54&gt;='NH13-14'!AN54,'NH13-14'!AO54,'NH13-14'!AN54))</f>
        <v/>
      </c>
      <c r="X54" s="485" t="str">
        <f>IF('NH13-14'!AQ54="",'NH13-14'!AP54,IF('NH13-14'!AQ54&gt;='NH13-14'!AP54,'NH13-14'!AQ54,'NH13-14'!AP54))</f>
        <v/>
      </c>
      <c r="Y54" s="485" t="str">
        <f>IF('NH13-14'!AS54="",'NH13-14'!AR54,IF('NH13-14'!AS54&gt;='NH13-14'!AR54,'NH13-14'!AS54,'NH13-14'!AR54))</f>
        <v/>
      </c>
      <c r="Z54" s="485" t="str">
        <f>IF('NH13-14'!AU54="",'NH13-14'!AT54,IF('NH13-14'!AU54&gt;='NH13-14'!AT54,'NH13-14'!AU54,'NH13-14'!AT54))</f>
        <v/>
      </c>
      <c r="AA54" s="485" t="str">
        <f>IF('NH13-14'!AW54="",'NH13-14'!AV54,IF('NH13-14'!AW54&gt;='NH13-14'!AV54,'NH13-14'!AW54,'NH13-14'!AV54))</f>
        <v/>
      </c>
      <c r="AB54" s="485" t="str">
        <f>IF('NH13-14'!AY54="",'NH13-14'!AX54,IF('NH13-14'!AY54&gt;='NH13-14'!AX54,'NH13-14'!AY54,'NH13-14'!AX54))</f>
        <v/>
      </c>
      <c r="AC54" s="485" t="str">
        <f>IF('NH13-14'!BA54="",'NH13-14'!AZ54,IF('NH13-14'!BA54&gt;='NH13-14'!AZ54,'NH13-14'!BA54,'NH13-14'!AZ54))</f>
        <v/>
      </c>
      <c r="AD54" s="486" t="str">
        <f>IF('NH13-14'!B54="","",ROUND(SUMPRODUCT(G54:AC54,$G$7:$AC$7)/SUMIF(G54:AC54,"&gt;=0",$G$7:$AC$7),2))</f>
        <v/>
      </c>
      <c r="AE54" s="487" t="str">
        <f t="shared" si="50"/>
        <v/>
      </c>
      <c r="AF54" s="488" t="str">
        <f t="shared" si="51"/>
        <v/>
      </c>
      <c r="AG54" s="488" t="str">
        <f t="shared" si="52"/>
        <v/>
      </c>
      <c r="AH54" s="488" t="str">
        <f t="shared" si="53"/>
        <v/>
      </c>
      <c r="AI54" s="488" t="str">
        <f t="shared" si="54"/>
        <v/>
      </c>
      <c r="AJ54" s="488" t="str">
        <f t="shared" si="55"/>
        <v/>
      </c>
      <c r="AK54" s="488" t="str">
        <f t="shared" si="56"/>
        <v/>
      </c>
      <c r="AL54" s="488" t="str">
        <f t="shared" si="57"/>
        <v/>
      </c>
      <c r="AM54" s="488" t="str">
        <f t="shared" si="58"/>
        <v/>
      </c>
      <c r="AN54" s="488" t="str">
        <f t="shared" si="59"/>
        <v/>
      </c>
      <c r="AO54" s="488" t="str">
        <f t="shared" si="60"/>
        <v/>
      </c>
      <c r="AP54" s="488" t="str">
        <f t="shared" si="61"/>
        <v/>
      </c>
      <c r="AQ54" s="488" t="str">
        <f t="shared" si="62"/>
        <v/>
      </c>
      <c r="AR54" s="488" t="str">
        <f t="shared" si="63"/>
        <v/>
      </c>
      <c r="AS54" s="488" t="str">
        <f t="shared" si="64"/>
        <v/>
      </c>
      <c r="AT54" s="488" t="str">
        <f t="shared" si="65"/>
        <v/>
      </c>
      <c r="AU54" s="488" t="str">
        <f t="shared" si="66"/>
        <v/>
      </c>
      <c r="AV54" s="488" t="str">
        <f t="shared" si="67"/>
        <v/>
      </c>
      <c r="AW54" s="488" t="str">
        <f t="shared" si="68"/>
        <v/>
      </c>
      <c r="AX54" s="488" t="str">
        <f t="shared" si="69"/>
        <v/>
      </c>
      <c r="AY54" s="488" t="str">
        <f t="shared" si="70"/>
        <v/>
      </c>
      <c r="AZ54" s="488" t="str">
        <f t="shared" si="71"/>
        <v/>
      </c>
      <c r="BA54" s="488" t="str">
        <f t="shared" si="26"/>
        <v/>
      </c>
      <c r="BB54" s="486" t="str">
        <f>IF('NH13-14'!B54="","",ROUND(SUMPRODUCT(AE54:BA54,$AE$7:$BA$7)/SUMIF(AE54:BA54,"&gt;=1",$AE$7:$BA$7),2))</f>
        <v/>
      </c>
      <c r="BC54" s="527" t="str">
        <f t="shared" si="27"/>
        <v/>
      </c>
      <c r="BD54" s="507" t="str">
        <f t="shared" si="28"/>
        <v/>
      </c>
      <c r="BE54" s="507" t="str">
        <f t="shared" si="29"/>
        <v/>
      </c>
      <c r="BF54" s="507" t="str">
        <f t="shared" si="30"/>
        <v/>
      </c>
      <c r="BG54" s="507" t="str">
        <f t="shared" si="31"/>
        <v/>
      </c>
      <c r="BH54" s="507" t="str">
        <f t="shared" si="32"/>
        <v/>
      </c>
      <c r="BI54" s="507" t="str">
        <f t="shared" si="33"/>
        <v/>
      </c>
      <c r="BJ54" s="507" t="str">
        <f t="shared" si="34"/>
        <v/>
      </c>
      <c r="BK54" s="507" t="str">
        <f t="shared" si="35"/>
        <v/>
      </c>
      <c r="BL54" s="507" t="str">
        <f t="shared" si="36"/>
        <v/>
      </c>
      <c r="BM54" s="507" t="str">
        <f t="shared" si="37"/>
        <v/>
      </c>
      <c r="BN54" s="507" t="str">
        <f t="shared" si="38"/>
        <v/>
      </c>
      <c r="BO54" s="507" t="str">
        <f t="shared" si="39"/>
        <v/>
      </c>
      <c r="BP54" s="507" t="str">
        <f t="shared" si="40"/>
        <v/>
      </c>
      <c r="BQ54" s="507" t="str">
        <f t="shared" si="41"/>
        <v/>
      </c>
      <c r="BR54" s="507" t="str">
        <f t="shared" si="42"/>
        <v/>
      </c>
      <c r="BS54" s="507" t="str">
        <f t="shared" si="43"/>
        <v/>
      </c>
      <c r="BT54" s="507" t="str">
        <f t="shared" si="44"/>
        <v/>
      </c>
      <c r="BU54" s="507" t="str">
        <f t="shared" si="45"/>
        <v/>
      </c>
      <c r="BV54" s="507" t="str">
        <f t="shared" si="46"/>
        <v/>
      </c>
      <c r="BW54" s="507" t="str">
        <f t="shared" si="47"/>
        <v/>
      </c>
      <c r="BX54" s="507" t="str">
        <f t="shared" si="48"/>
        <v/>
      </c>
      <c r="BY54" s="507" t="str">
        <f t="shared" si="49"/>
        <v/>
      </c>
    </row>
    <row r="55" spans="1:77">
      <c r="A55" s="481" t="str">
        <f>IF('NH13-14'!A55="","",'NH13-14'!A55)</f>
        <v/>
      </c>
      <c r="B55" s="482" t="str">
        <f>IF('NH13-14'!B55="","",'NH13-14'!B55)</f>
        <v/>
      </c>
      <c r="C55" s="490" t="str">
        <f t="shared" si="2"/>
        <v/>
      </c>
      <c r="D55" s="490" t="str">
        <f t="shared" si="3"/>
        <v/>
      </c>
      <c r="E55" s="483" t="str">
        <f>IF('NH13-14'!C55="","",'NH13-14'!C55)</f>
        <v/>
      </c>
      <c r="F55" s="484" t="str">
        <f>IF('NH13-14'!D55="","",'NH13-14'!D55)</f>
        <v/>
      </c>
      <c r="G55" s="485" t="str">
        <f>IF('NH13-14'!I55="",'NH13-14'!H55,IF('NH13-14'!I55&gt;='NH13-14'!H55,'NH13-14'!I55,'NH13-14'!H55))</f>
        <v/>
      </c>
      <c r="H55" s="485" t="str">
        <f>IF('NH13-14'!K55="",'NH13-14'!J55,IF('NH13-14'!K55&gt;='NH13-14'!J55,'NH13-14'!K55,'NH13-14'!J55))</f>
        <v/>
      </c>
      <c r="I55" s="485" t="str">
        <f>IF('NH13-14'!M55="",'NH13-14'!L55,IF('NH13-14'!M55&gt;='NH13-14'!L55,'NH13-14'!M55,'NH13-14'!L55))</f>
        <v/>
      </c>
      <c r="J55" s="485" t="str">
        <f>IF('NH13-14'!O55="",'NH13-14'!N55,IF('NH13-14'!O55&gt;='NH13-14'!N55,'NH13-14'!O55,'NH13-14'!N55))</f>
        <v/>
      </c>
      <c r="K55" s="485" t="str">
        <f>IF('NH13-14'!Q55="",'NH13-14'!P55,IF('NH13-14'!Q55&gt;='NH13-14'!P55,'NH13-14'!Q55,'NH13-14'!P55))</f>
        <v/>
      </c>
      <c r="L55" s="485" t="str">
        <f>IF('NH13-14'!S55="",'NH13-14'!R55,IF('NH13-14'!S55&gt;='NH13-14'!R55,'NH13-14'!S55,'NH13-14'!R55))</f>
        <v/>
      </c>
      <c r="M55" s="485" t="str">
        <f>IF('NH13-14'!U55="",'NH13-14'!T55,IF('NH13-14'!U55&gt;='NH13-14'!T55,'NH13-14'!U55,'NH13-14'!T55))</f>
        <v/>
      </c>
      <c r="N55" s="485" t="str">
        <f>IF('NH13-14'!W55="",'NH13-14'!V55,IF('NH13-14'!W55&gt;='NH13-14'!V55,'NH13-14'!W55,'NH13-14'!V55))</f>
        <v/>
      </c>
      <c r="O55" s="485" t="str">
        <f>IF('NH13-14'!Y55="",'NH13-14'!X55,IF('NH13-14'!Y55&gt;='NH13-14'!X55,'NH13-14'!Y55,'NH13-14'!X55))</f>
        <v/>
      </c>
      <c r="P55" s="485" t="str">
        <f>IF('NH13-14'!AA55="",'NH13-14'!Z55,IF('NH13-14'!AA55&gt;='NH13-14'!Z55,'NH13-14'!AA55,'NH13-14'!Z55))</f>
        <v/>
      </c>
      <c r="Q55" s="485" t="str">
        <f>IF('NH13-14'!AC55="",'NH13-14'!AB55,IF('NH13-14'!AC55&gt;='NH13-14'!AB55,'NH13-14'!AC55,'NH13-14'!AB55))</f>
        <v/>
      </c>
      <c r="R55" s="485" t="str">
        <f>IF('NH13-14'!AE55="",'NH13-14'!AD55,IF('NH13-14'!AE55&gt;='NH13-14'!AD55,'NH13-14'!AE55,'NH13-14'!AD55))</f>
        <v/>
      </c>
      <c r="S55" s="485" t="str">
        <f>IF('NH13-14'!AG55="",'NH13-14'!AF55,IF('NH13-14'!AG55&gt;='NH13-14'!AF55,'NH13-14'!AG55,'NH13-14'!AF55))</f>
        <v/>
      </c>
      <c r="T55" s="485" t="str">
        <f>IF('NH13-14'!AI55="",'NH13-14'!AH55,IF('NH13-14'!AI55&gt;='NH13-14'!AH55,'NH13-14'!AI55,'NH13-14'!AH55))</f>
        <v/>
      </c>
      <c r="U55" s="485" t="str">
        <f>IF('NH13-14'!AK55="",'NH13-14'!AJ55,IF('NH13-14'!AK55&gt;='NH13-14'!AJ55,'NH13-14'!AK55,'NH13-14'!AJ55))</f>
        <v/>
      </c>
      <c r="V55" s="485" t="str">
        <f>IF('NH13-14'!AM55="",'NH13-14'!AL55,IF('NH13-14'!AM55&gt;='NH13-14'!AL55,'NH13-14'!AM55,'NH13-14'!AL55))</f>
        <v/>
      </c>
      <c r="W55" s="485" t="str">
        <f>IF('NH13-14'!AO55="",'NH13-14'!AN55,IF('NH13-14'!AO55&gt;='NH13-14'!AN55,'NH13-14'!AO55,'NH13-14'!AN55))</f>
        <v/>
      </c>
      <c r="X55" s="485" t="str">
        <f>IF('NH13-14'!AQ55="",'NH13-14'!AP55,IF('NH13-14'!AQ55&gt;='NH13-14'!AP55,'NH13-14'!AQ55,'NH13-14'!AP55))</f>
        <v/>
      </c>
      <c r="Y55" s="485" t="str">
        <f>IF('NH13-14'!AS55="",'NH13-14'!AR55,IF('NH13-14'!AS55&gt;='NH13-14'!AR55,'NH13-14'!AS55,'NH13-14'!AR55))</f>
        <v/>
      </c>
      <c r="Z55" s="485" t="str">
        <f>IF('NH13-14'!AU55="",'NH13-14'!AT55,IF('NH13-14'!AU55&gt;='NH13-14'!AT55,'NH13-14'!AU55,'NH13-14'!AT55))</f>
        <v/>
      </c>
      <c r="AA55" s="485" t="str">
        <f>IF('NH13-14'!AW55="",'NH13-14'!AV55,IF('NH13-14'!AW55&gt;='NH13-14'!AV55,'NH13-14'!AW55,'NH13-14'!AV55))</f>
        <v/>
      </c>
      <c r="AB55" s="485" t="str">
        <f>IF('NH13-14'!AY55="",'NH13-14'!AX55,IF('NH13-14'!AY55&gt;='NH13-14'!AX55,'NH13-14'!AY55,'NH13-14'!AX55))</f>
        <v/>
      </c>
      <c r="AC55" s="485" t="str">
        <f>IF('NH13-14'!BA55="",'NH13-14'!AZ55,IF('NH13-14'!BA55&gt;='NH13-14'!AZ55,'NH13-14'!BA55,'NH13-14'!AZ55))</f>
        <v/>
      </c>
      <c r="AD55" s="486" t="str">
        <f>IF('NH13-14'!B55="","",ROUND(SUMPRODUCT(G55:AC55,$G$7:$AC$7)/SUMIF(G55:AC55,"&gt;=0",$G$7:$AC$7),2))</f>
        <v/>
      </c>
      <c r="AE55" s="487" t="str">
        <f t="shared" si="50"/>
        <v/>
      </c>
      <c r="AF55" s="488" t="str">
        <f t="shared" si="51"/>
        <v/>
      </c>
      <c r="AG55" s="488" t="str">
        <f t="shared" si="52"/>
        <v/>
      </c>
      <c r="AH55" s="488" t="str">
        <f t="shared" si="53"/>
        <v/>
      </c>
      <c r="AI55" s="488" t="str">
        <f t="shared" si="54"/>
        <v/>
      </c>
      <c r="AJ55" s="488" t="str">
        <f t="shared" si="55"/>
        <v/>
      </c>
      <c r="AK55" s="488" t="str">
        <f t="shared" si="56"/>
        <v/>
      </c>
      <c r="AL55" s="488" t="str">
        <f t="shared" si="57"/>
        <v/>
      </c>
      <c r="AM55" s="488" t="str">
        <f t="shared" si="58"/>
        <v/>
      </c>
      <c r="AN55" s="488" t="str">
        <f t="shared" si="59"/>
        <v/>
      </c>
      <c r="AO55" s="488" t="str">
        <f t="shared" si="60"/>
        <v/>
      </c>
      <c r="AP55" s="488" t="str">
        <f t="shared" si="61"/>
        <v/>
      </c>
      <c r="AQ55" s="488" t="str">
        <f t="shared" si="62"/>
        <v/>
      </c>
      <c r="AR55" s="488" t="str">
        <f t="shared" si="63"/>
        <v/>
      </c>
      <c r="AS55" s="488" t="str">
        <f t="shared" si="64"/>
        <v/>
      </c>
      <c r="AT55" s="488" t="str">
        <f t="shared" si="65"/>
        <v/>
      </c>
      <c r="AU55" s="488" t="str">
        <f t="shared" si="66"/>
        <v/>
      </c>
      <c r="AV55" s="488" t="str">
        <f t="shared" si="67"/>
        <v/>
      </c>
      <c r="AW55" s="488" t="str">
        <f t="shared" si="68"/>
        <v/>
      </c>
      <c r="AX55" s="488" t="str">
        <f t="shared" si="69"/>
        <v/>
      </c>
      <c r="AY55" s="488" t="str">
        <f t="shared" si="70"/>
        <v/>
      </c>
      <c r="AZ55" s="488" t="str">
        <f t="shared" si="71"/>
        <v/>
      </c>
      <c r="BA55" s="488" t="str">
        <f t="shared" si="26"/>
        <v/>
      </c>
      <c r="BB55" s="486" t="str">
        <f>IF('NH13-14'!B55="","",ROUND(SUMPRODUCT(AE55:BA55,$AE$7:$BA$7)/SUMIF(AE55:BA55,"&gt;=1",$AE$7:$BA$7),2))</f>
        <v/>
      </c>
      <c r="BC55" s="527" t="str">
        <f t="shared" si="27"/>
        <v/>
      </c>
      <c r="BD55" s="507" t="str">
        <f t="shared" si="28"/>
        <v/>
      </c>
      <c r="BE55" s="507" t="str">
        <f t="shared" si="29"/>
        <v/>
      </c>
      <c r="BF55" s="507" t="str">
        <f t="shared" si="30"/>
        <v/>
      </c>
      <c r="BG55" s="507" t="str">
        <f t="shared" si="31"/>
        <v/>
      </c>
      <c r="BH55" s="507" t="str">
        <f t="shared" si="32"/>
        <v/>
      </c>
      <c r="BI55" s="507" t="str">
        <f t="shared" si="33"/>
        <v/>
      </c>
      <c r="BJ55" s="507" t="str">
        <f t="shared" si="34"/>
        <v/>
      </c>
      <c r="BK55" s="507" t="str">
        <f t="shared" si="35"/>
        <v/>
      </c>
      <c r="BL55" s="507" t="str">
        <f t="shared" si="36"/>
        <v/>
      </c>
      <c r="BM55" s="507" t="str">
        <f t="shared" si="37"/>
        <v/>
      </c>
      <c r="BN55" s="507" t="str">
        <f t="shared" si="38"/>
        <v/>
      </c>
      <c r="BO55" s="507" t="str">
        <f t="shared" si="39"/>
        <v/>
      </c>
      <c r="BP55" s="507" t="str">
        <f t="shared" si="40"/>
        <v/>
      </c>
      <c r="BQ55" s="507" t="str">
        <f t="shared" si="41"/>
        <v/>
      </c>
      <c r="BR55" s="507" t="str">
        <f t="shared" si="42"/>
        <v/>
      </c>
      <c r="BS55" s="507" t="str">
        <f t="shared" si="43"/>
        <v/>
      </c>
      <c r="BT55" s="507" t="str">
        <f t="shared" si="44"/>
        <v/>
      </c>
      <c r="BU55" s="507" t="str">
        <f t="shared" si="45"/>
        <v/>
      </c>
      <c r="BV55" s="507" t="str">
        <f t="shared" si="46"/>
        <v/>
      </c>
      <c r="BW55" s="507" t="str">
        <f t="shared" si="47"/>
        <v/>
      </c>
      <c r="BX55" s="507" t="str">
        <f t="shared" si="48"/>
        <v/>
      </c>
      <c r="BY55" s="507" t="str">
        <f t="shared" si="49"/>
        <v/>
      </c>
    </row>
    <row r="56" spans="1:77">
      <c r="A56" s="481" t="str">
        <f>IF('NH13-14'!A56="","",'NH13-14'!A56)</f>
        <v/>
      </c>
      <c r="B56" s="482" t="str">
        <f>IF('NH13-14'!B56="","",'NH13-14'!B56)</f>
        <v/>
      </c>
      <c r="C56" s="490" t="str">
        <f t="shared" si="2"/>
        <v/>
      </c>
      <c r="D56" s="490" t="str">
        <f t="shared" si="3"/>
        <v/>
      </c>
      <c r="E56" s="483" t="str">
        <f>IF('NH13-14'!C56="","",'NH13-14'!C56)</f>
        <v/>
      </c>
      <c r="F56" s="484" t="str">
        <f>IF('NH13-14'!D56="","",'NH13-14'!D56)</f>
        <v/>
      </c>
      <c r="G56" s="485" t="str">
        <f>IF('NH13-14'!I56="",'NH13-14'!H56,IF('NH13-14'!I56&gt;='NH13-14'!H56,'NH13-14'!I56,'NH13-14'!H56))</f>
        <v/>
      </c>
      <c r="H56" s="485" t="str">
        <f>IF('NH13-14'!K56="",'NH13-14'!J56,IF('NH13-14'!K56&gt;='NH13-14'!J56,'NH13-14'!K56,'NH13-14'!J56))</f>
        <v/>
      </c>
      <c r="I56" s="485" t="str">
        <f>IF('NH13-14'!M56="",'NH13-14'!L56,IF('NH13-14'!M56&gt;='NH13-14'!L56,'NH13-14'!M56,'NH13-14'!L56))</f>
        <v/>
      </c>
      <c r="J56" s="485" t="str">
        <f>IF('NH13-14'!O56="",'NH13-14'!N56,IF('NH13-14'!O56&gt;='NH13-14'!N56,'NH13-14'!O56,'NH13-14'!N56))</f>
        <v/>
      </c>
      <c r="K56" s="485" t="str">
        <f>IF('NH13-14'!Q56="",'NH13-14'!P56,IF('NH13-14'!Q56&gt;='NH13-14'!P56,'NH13-14'!Q56,'NH13-14'!P56))</f>
        <v/>
      </c>
      <c r="L56" s="485" t="str">
        <f>IF('NH13-14'!S56="",'NH13-14'!R56,IF('NH13-14'!S56&gt;='NH13-14'!R56,'NH13-14'!S56,'NH13-14'!R56))</f>
        <v/>
      </c>
      <c r="M56" s="485" t="str">
        <f>IF('NH13-14'!U56="",'NH13-14'!T56,IF('NH13-14'!U56&gt;='NH13-14'!T56,'NH13-14'!U56,'NH13-14'!T56))</f>
        <v/>
      </c>
      <c r="N56" s="485" t="str">
        <f>IF('NH13-14'!W56="",'NH13-14'!V56,IF('NH13-14'!W56&gt;='NH13-14'!V56,'NH13-14'!W56,'NH13-14'!V56))</f>
        <v/>
      </c>
      <c r="O56" s="485" t="str">
        <f>IF('NH13-14'!Y56="",'NH13-14'!X56,IF('NH13-14'!Y56&gt;='NH13-14'!X56,'NH13-14'!Y56,'NH13-14'!X56))</f>
        <v/>
      </c>
      <c r="P56" s="485" t="str">
        <f>IF('NH13-14'!AA56="",'NH13-14'!Z56,IF('NH13-14'!AA56&gt;='NH13-14'!Z56,'NH13-14'!AA56,'NH13-14'!Z56))</f>
        <v/>
      </c>
      <c r="Q56" s="485" t="str">
        <f>IF('NH13-14'!AC56="",'NH13-14'!AB56,IF('NH13-14'!AC56&gt;='NH13-14'!AB56,'NH13-14'!AC56,'NH13-14'!AB56))</f>
        <v/>
      </c>
      <c r="R56" s="485" t="str">
        <f>IF('NH13-14'!AE56="",'NH13-14'!AD56,IF('NH13-14'!AE56&gt;='NH13-14'!AD56,'NH13-14'!AE56,'NH13-14'!AD56))</f>
        <v/>
      </c>
      <c r="S56" s="485" t="str">
        <f>IF('NH13-14'!AG56="",'NH13-14'!AF56,IF('NH13-14'!AG56&gt;='NH13-14'!AF56,'NH13-14'!AG56,'NH13-14'!AF56))</f>
        <v/>
      </c>
      <c r="T56" s="485" t="str">
        <f>IF('NH13-14'!AI56="",'NH13-14'!AH56,IF('NH13-14'!AI56&gt;='NH13-14'!AH56,'NH13-14'!AI56,'NH13-14'!AH56))</f>
        <v/>
      </c>
      <c r="U56" s="485" t="str">
        <f>IF('NH13-14'!AK56="",'NH13-14'!AJ56,IF('NH13-14'!AK56&gt;='NH13-14'!AJ56,'NH13-14'!AK56,'NH13-14'!AJ56))</f>
        <v/>
      </c>
      <c r="V56" s="485" t="str">
        <f>IF('NH13-14'!AM56="",'NH13-14'!AL56,IF('NH13-14'!AM56&gt;='NH13-14'!AL56,'NH13-14'!AM56,'NH13-14'!AL56))</f>
        <v/>
      </c>
      <c r="W56" s="485" t="str">
        <f>IF('NH13-14'!AO56="",'NH13-14'!AN56,IF('NH13-14'!AO56&gt;='NH13-14'!AN56,'NH13-14'!AO56,'NH13-14'!AN56))</f>
        <v/>
      </c>
      <c r="X56" s="485" t="str">
        <f>IF('NH13-14'!AQ56="",'NH13-14'!AP56,IF('NH13-14'!AQ56&gt;='NH13-14'!AP56,'NH13-14'!AQ56,'NH13-14'!AP56))</f>
        <v/>
      </c>
      <c r="Y56" s="485" t="str">
        <f>IF('NH13-14'!AS56="",'NH13-14'!AR56,IF('NH13-14'!AS56&gt;='NH13-14'!AR56,'NH13-14'!AS56,'NH13-14'!AR56))</f>
        <v/>
      </c>
      <c r="Z56" s="485" t="str">
        <f>IF('NH13-14'!AU56="",'NH13-14'!AT56,IF('NH13-14'!AU56&gt;='NH13-14'!AT56,'NH13-14'!AU56,'NH13-14'!AT56))</f>
        <v/>
      </c>
      <c r="AA56" s="485" t="str">
        <f>IF('NH13-14'!AW56="",'NH13-14'!AV56,IF('NH13-14'!AW56&gt;='NH13-14'!AV56,'NH13-14'!AW56,'NH13-14'!AV56))</f>
        <v/>
      </c>
      <c r="AB56" s="485" t="str">
        <f>IF('NH13-14'!AY56="",'NH13-14'!AX56,IF('NH13-14'!AY56&gt;='NH13-14'!AX56,'NH13-14'!AY56,'NH13-14'!AX56))</f>
        <v/>
      </c>
      <c r="AC56" s="485" t="str">
        <f>IF('NH13-14'!BA56="",'NH13-14'!AZ56,IF('NH13-14'!BA56&gt;='NH13-14'!AZ56,'NH13-14'!BA56,'NH13-14'!AZ56))</f>
        <v/>
      </c>
      <c r="AD56" s="486" t="str">
        <f>IF('NH13-14'!B56="","",ROUND(SUMPRODUCT(G56:AC56,$G$7:$AC$7)/SUMIF(G56:AC56,"&gt;=0",$G$7:$AC$7),2))</f>
        <v/>
      </c>
      <c r="AE56" s="487" t="str">
        <f t="shared" si="50"/>
        <v/>
      </c>
      <c r="AF56" s="488" t="str">
        <f t="shared" si="51"/>
        <v/>
      </c>
      <c r="AG56" s="488" t="str">
        <f t="shared" si="52"/>
        <v/>
      </c>
      <c r="AH56" s="488" t="str">
        <f t="shared" si="53"/>
        <v/>
      </c>
      <c r="AI56" s="488" t="str">
        <f t="shared" si="54"/>
        <v/>
      </c>
      <c r="AJ56" s="488" t="str">
        <f t="shared" si="55"/>
        <v/>
      </c>
      <c r="AK56" s="488" t="str">
        <f t="shared" si="56"/>
        <v/>
      </c>
      <c r="AL56" s="488" t="str">
        <f t="shared" si="57"/>
        <v/>
      </c>
      <c r="AM56" s="488" t="str">
        <f t="shared" si="58"/>
        <v/>
      </c>
      <c r="AN56" s="488" t="str">
        <f t="shared" si="59"/>
        <v/>
      </c>
      <c r="AO56" s="488" t="str">
        <f t="shared" si="60"/>
        <v/>
      </c>
      <c r="AP56" s="488" t="str">
        <f t="shared" si="61"/>
        <v/>
      </c>
      <c r="AQ56" s="488" t="str">
        <f t="shared" si="62"/>
        <v/>
      </c>
      <c r="AR56" s="488" t="str">
        <f t="shared" si="63"/>
        <v/>
      </c>
      <c r="AS56" s="488" t="str">
        <f t="shared" si="64"/>
        <v/>
      </c>
      <c r="AT56" s="488" t="str">
        <f t="shared" si="65"/>
        <v/>
      </c>
      <c r="AU56" s="488" t="str">
        <f t="shared" si="66"/>
        <v/>
      </c>
      <c r="AV56" s="488" t="str">
        <f t="shared" si="67"/>
        <v/>
      </c>
      <c r="AW56" s="488" t="str">
        <f t="shared" si="68"/>
        <v/>
      </c>
      <c r="AX56" s="488" t="str">
        <f t="shared" si="69"/>
        <v/>
      </c>
      <c r="AY56" s="488" t="str">
        <f t="shared" si="70"/>
        <v/>
      </c>
      <c r="AZ56" s="488" t="str">
        <f t="shared" si="71"/>
        <v/>
      </c>
      <c r="BA56" s="488" t="str">
        <f t="shared" si="26"/>
        <v/>
      </c>
      <c r="BB56" s="486" t="str">
        <f>IF('NH13-14'!B56="","",ROUND(SUMPRODUCT(AE56:BA56,$AE$7:$BA$7)/SUMIF(AE56:BA56,"&gt;=1",$AE$7:$BA$7),2))</f>
        <v/>
      </c>
      <c r="BC56" s="527" t="str">
        <f t="shared" si="27"/>
        <v/>
      </c>
      <c r="BD56" s="507" t="str">
        <f t="shared" si="28"/>
        <v/>
      </c>
      <c r="BE56" s="507" t="str">
        <f t="shared" si="29"/>
        <v/>
      </c>
      <c r="BF56" s="507" t="str">
        <f t="shared" si="30"/>
        <v/>
      </c>
      <c r="BG56" s="507" t="str">
        <f t="shared" si="31"/>
        <v/>
      </c>
      <c r="BH56" s="507" t="str">
        <f t="shared" si="32"/>
        <v/>
      </c>
      <c r="BI56" s="507" t="str">
        <f t="shared" si="33"/>
        <v/>
      </c>
      <c r="BJ56" s="507" t="str">
        <f t="shared" si="34"/>
        <v/>
      </c>
      <c r="BK56" s="507" t="str">
        <f t="shared" si="35"/>
        <v/>
      </c>
      <c r="BL56" s="507" t="str">
        <f t="shared" si="36"/>
        <v/>
      </c>
      <c r="BM56" s="507" t="str">
        <f t="shared" si="37"/>
        <v/>
      </c>
      <c r="BN56" s="507" t="str">
        <f t="shared" si="38"/>
        <v/>
      </c>
      <c r="BO56" s="507" t="str">
        <f t="shared" si="39"/>
        <v/>
      </c>
      <c r="BP56" s="507" t="str">
        <f t="shared" si="40"/>
        <v/>
      </c>
      <c r="BQ56" s="507" t="str">
        <f t="shared" si="41"/>
        <v/>
      </c>
      <c r="BR56" s="507" t="str">
        <f t="shared" si="42"/>
        <v/>
      </c>
      <c r="BS56" s="507" t="str">
        <f t="shared" si="43"/>
        <v/>
      </c>
      <c r="BT56" s="507" t="str">
        <f t="shared" si="44"/>
        <v/>
      </c>
      <c r="BU56" s="507" t="str">
        <f t="shared" si="45"/>
        <v/>
      </c>
      <c r="BV56" s="507" t="str">
        <f t="shared" si="46"/>
        <v/>
      </c>
      <c r="BW56" s="507" t="str">
        <f t="shared" si="47"/>
        <v/>
      </c>
      <c r="BX56" s="507" t="str">
        <f t="shared" si="48"/>
        <v/>
      </c>
      <c r="BY56" s="507" t="str">
        <f t="shared" si="49"/>
        <v/>
      </c>
    </row>
    <row r="57" spans="1:77">
      <c r="A57" s="481" t="str">
        <f>IF('NH13-14'!A57="","",'NH13-14'!A57)</f>
        <v/>
      </c>
      <c r="B57" s="482" t="str">
        <f>IF('NH13-14'!B57="","",'NH13-14'!B57)</f>
        <v/>
      </c>
      <c r="C57" s="490" t="str">
        <f t="shared" si="2"/>
        <v/>
      </c>
      <c r="D57" s="490" t="str">
        <f t="shared" si="3"/>
        <v/>
      </c>
      <c r="E57" s="483" t="str">
        <f>IF('NH13-14'!C57="","",'NH13-14'!C57)</f>
        <v/>
      </c>
      <c r="F57" s="484" t="str">
        <f>IF('NH13-14'!D57="","",'NH13-14'!D57)</f>
        <v/>
      </c>
      <c r="G57" s="485" t="str">
        <f>IF('NH13-14'!I57="",'NH13-14'!H57,IF('NH13-14'!I57&gt;='NH13-14'!H57,'NH13-14'!I57,'NH13-14'!H57))</f>
        <v/>
      </c>
      <c r="H57" s="485" t="str">
        <f>IF('NH13-14'!K57="",'NH13-14'!J57,IF('NH13-14'!K57&gt;='NH13-14'!J57,'NH13-14'!K57,'NH13-14'!J57))</f>
        <v/>
      </c>
      <c r="I57" s="485" t="str">
        <f>IF('NH13-14'!M57="",'NH13-14'!L57,IF('NH13-14'!M57&gt;='NH13-14'!L57,'NH13-14'!M57,'NH13-14'!L57))</f>
        <v/>
      </c>
      <c r="J57" s="485" t="str">
        <f>IF('NH13-14'!O57="",'NH13-14'!N57,IF('NH13-14'!O57&gt;='NH13-14'!N57,'NH13-14'!O57,'NH13-14'!N57))</f>
        <v/>
      </c>
      <c r="K57" s="485" t="str">
        <f>IF('NH13-14'!Q57="",'NH13-14'!P57,IF('NH13-14'!Q57&gt;='NH13-14'!P57,'NH13-14'!Q57,'NH13-14'!P57))</f>
        <v/>
      </c>
      <c r="L57" s="485" t="str">
        <f>IF('NH13-14'!S57="",'NH13-14'!R57,IF('NH13-14'!S57&gt;='NH13-14'!R57,'NH13-14'!S57,'NH13-14'!R57))</f>
        <v/>
      </c>
      <c r="M57" s="485" t="str">
        <f>IF('NH13-14'!U57="",'NH13-14'!T57,IF('NH13-14'!U57&gt;='NH13-14'!T57,'NH13-14'!U57,'NH13-14'!T57))</f>
        <v/>
      </c>
      <c r="N57" s="485" t="str">
        <f>IF('NH13-14'!W57="",'NH13-14'!V57,IF('NH13-14'!W57&gt;='NH13-14'!V57,'NH13-14'!W57,'NH13-14'!V57))</f>
        <v/>
      </c>
      <c r="O57" s="485" t="str">
        <f>IF('NH13-14'!Y57="",'NH13-14'!X57,IF('NH13-14'!Y57&gt;='NH13-14'!X57,'NH13-14'!Y57,'NH13-14'!X57))</f>
        <v/>
      </c>
      <c r="P57" s="485" t="str">
        <f>IF('NH13-14'!AA57="",'NH13-14'!Z57,IF('NH13-14'!AA57&gt;='NH13-14'!Z57,'NH13-14'!AA57,'NH13-14'!Z57))</f>
        <v/>
      </c>
      <c r="Q57" s="485" t="str">
        <f>IF('NH13-14'!AC57="",'NH13-14'!AB57,IF('NH13-14'!AC57&gt;='NH13-14'!AB57,'NH13-14'!AC57,'NH13-14'!AB57))</f>
        <v/>
      </c>
      <c r="R57" s="485" t="str">
        <f>IF('NH13-14'!AE57="",'NH13-14'!AD57,IF('NH13-14'!AE57&gt;='NH13-14'!AD57,'NH13-14'!AE57,'NH13-14'!AD57))</f>
        <v/>
      </c>
      <c r="S57" s="485" t="str">
        <f>IF('NH13-14'!AG57="",'NH13-14'!AF57,IF('NH13-14'!AG57&gt;='NH13-14'!AF57,'NH13-14'!AG57,'NH13-14'!AF57))</f>
        <v/>
      </c>
      <c r="T57" s="485" t="str">
        <f>IF('NH13-14'!AI57="",'NH13-14'!AH57,IF('NH13-14'!AI57&gt;='NH13-14'!AH57,'NH13-14'!AI57,'NH13-14'!AH57))</f>
        <v/>
      </c>
      <c r="U57" s="485" t="str">
        <f>IF('NH13-14'!AK57="",'NH13-14'!AJ57,IF('NH13-14'!AK57&gt;='NH13-14'!AJ57,'NH13-14'!AK57,'NH13-14'!AJ57))</f>
        <v/>
      </c>
      <c r="V57" s="485" t="str">
        <f>IF('NH13-14'!AM57="",'NH13-14'!AL57,IF('NH13-14'!AM57&gt;='NH13-14'!AL57,'NH13-14'!AM57,'NH13-14'!AL57))</f>
        <v/>
      </c>
      <c r="W57" s="485" t="str">
        <f>IF('NH13-14'!AO57="",'NH13-14'!AN57,IF('NH13-14'!AO57&gt;='NH13-14'!AN57,'NH13-14'!AO57,'NH13-14'!AN57))</f>
        <v/>
      </c>
      <c r="X57" s="485" t="str">
        <f>IF('NH13-14'!AQ57="",'NH13-14'!AP57,IF('NH13-14'!AQ57&gt;='NH13-14'!AP57,'NH13-14'!AQ57,'NH13-14'!AP57))</f>
        <v/>
      </c>
      <c r="Y57" s="485" t="str">
        <f>IF('NH13-14'!AS57="",'NH13-14'!AR57,IF('NH13-14'!AS57&gt;='NH13-14'!AR57,'NH13-14'!AS57,'NH13-14'!AR57))</f>
        <v/>
      </c>
      <c r="Z57" s="485" t="str">
        <f>IF('NH13-14'!AU57="",'NH13-14'!AT57,IF('NH13-14'!AU57&gt;='NH13-14'!AT57,'NH13-14'!AU57,'NH13-14'!AT57))</f>
        <v/>
      </c>
      <c r="AA57" s="485" t="str">
        <f>IF('NH13-14'!AW57="",'NH13-14'!AV57,IF('NH13-14'!AW57&gt;='NH13-14'!AV57,'NH13-14'!AW57,'NH13-14'!AV57))</f>
        <v/>
      </c>
      <c r="AB57" s="485" t="str">
        <f>IF('NH13-14'!AY57="",'NH13-14'!AX57,IF('NH13-14'!AY57&gt;='NH13-14'!AX57,'NH13-14'!AY57,'NH13-14'!AX57))</f>
        <v/>
      </c>
      <c r="AC57" s="485" t="str">
        <f>IF('NH13-14'!BA57="",'NH13-14'!AZ57,IF('NH13-14'!BA57&gt;='NH13-14'!AZ57,'NH13-14'!BA57,'NH13-14'!AZ57))</f>
        <v/>
      </c>
      <c r="AD57" s="486" t="str">
        <f>IF('NH13-14'!B57="","",ROUND(SUMPRODUCT(G57:AC57,$G$7:$AC$7)/SUMIF(G57:AC57,"&gt;=0",$G$7:$AC$7),2))</f>
        <v/>
      </c>
      <c r="AE57" s="487" t="str">
        <f t="shared" si="50"/>
        <v/>
      </c>
      <c r="AF57" s="488" t="str">
        <f t="shared" si="51"/>
        <v/>
      </c>
      <c r="AG57" s="488" t="str">
        <f t="shared" si="52"/>
        <v/>
      </c>
      <c r="AH57" s="488" t="str">
        <f t="shared" si="53"/>
        <v/>
      </c>
      <c r="AI57" s="488" t="str">
        <f t="shared" si="54"/>
        <v/>
      </c>
      <c r="AJ57" s="488" t="str">
        <f t="shared" si="55"/>
        <v/>
      </c>
      <c r="AK57" s="488" t="str">
        <f t="shared" si="56"/>
        <v/>
      </c>
      <c r="AL57" s="488" t="str">
        <f t="shared" si="57"/>
        <v/>
      </c>
      <c r="AM57" s="488" t="str">
        <f t="shared" si="58"/>
        <v/>
      </c>
      <c r="AN57" s="488" t="str">
        <f t="shared" si="59"/>
        <v/>
      </c>
      <c r="AO57" s="488" t="str">
        <f t="shared" si="60"/>
        <v/>
      </c>
      <c r="AP57" s="488" t="str">
        <f t="shared" si="61"/>
        <v/>
      </c>
      <c r="AQ57" s="488" t="str">
        <f t="shared" si="62"/>
        <v/>
      </c>
      <c r="AR57" s="488" t="str">
        <f t="shared" si="63"/>
        <v/>
      </c>
      <c r="AS57" s="488" t="str">
        <f t="shared" si="64"/>
        <v/>
      </c>
      <c r="AT57" s="488" t="str">
        <f t="shared" si="65"/>
        <v/>
      </c>
      <c r="AU57" s="488" t="str">
        <f t="shared" si="66"/>
        <v/>
      </c>
      <c r="AV57" s="488" t="str">
        <f t="shared" si="67"/>
        <v/>
      </c>
      <c r="AW57" s="488" t="str">
        <f t="shared" si="68"/>
        <v/>
      </c>
      <c r="AX57" s="488" t="str">
        <f t="shared" si="69"/>
        <v/>
      </c>
      <c r="AY57" s="488" t="str">
        <f t="shared" si="70"/>
        <v/>
      </c>
      <c r="AZ57" s="488" t="str">
        <f t="shared" si="71"/>
        <v/>
      </c>
      <c r="BA57" s="488" t="str">
        <f t="shared" si="26"/>
        <v/>
      </c>
      <c r="BB57" s="486" t="str">
        <f>IF('NH13-14'!B57="","",ROUND(SUMPRODUCT(AE57:BA57,$AE$7:$BA$7)/SUMIF(AE57:BA57,"&gt;=1",$AE$7:$BA$7),2))</f>
        <v/>
      </c>
      <c r="BC57" s="527" t="str">
        <f t="shared" si="27"/>
        <v/>
      </c>
      <c r="BD57" s="507" t="str">
        <f t="shared" si="28"/>
        <v/>
      </c>
      <c r="BE57" s="507" t="str">
        <f t="shared" si="29"/>
        <v/>
      </c>
      <c r="BF57" s="507" t="str">
        <f t="shared" si="30"/>
        <v/>
      </c>
      <c r="BG57" s="507" t="str">
        <f t="shared" si="31"/>
        <v/>
      </c>
      <c r="BH57" s="507" t="str">
        <f t="shared" si="32"/>
        <v/>
      </c>
      <c r="BI57" s="507" t="str">
        <f t="shared" si="33"/>
        <v/>
      </c>
      <c r="BJ57" s="507" t="str">
        <f t="shared" si="34"/>
        <v/>
      </c>
      <c r="BK57" s="507" t="str">
        <f t="shared" si="35"/>
        <v/>
      </c>
      <c r="BL57" s="507" t="str">
        <f t="shared" si="36"/>
        <v/>
      </c>
      <c r="BM57" s="507" t="str">
        <f t="shared" si="37"/>
        <v/>
      </c>
      <c r="BN57" s="507" t="str">
        <f t="shared" si="38"/>
        <v/>
      </c>
      <c r="BO57" s="507" t="str">
        <f t="shared" si="39"/>
        <v/>
      </c>
      <c r="BP57" s="507" t="str">
        <f t="shared" si="40"/>
        <v/>
      </c>
      <c r="BQ57" s="507" t="str">
        <f t="shared" si="41"/>
        <v/>
      </c>
      <c r="BR57" s="507" t="str">
        <f t="shared" si="42"/>
        <v/>
      </c>
      <c r="BS57" s="507" t="str">
        <f t="shared" si="43"/>
        <v/>
      </c>
      <c r="BT57" s="507" t="str">
        <f t="shared" si="44"/>
        <v/>
      </c>
      <c r="BU57" s="507" t="str">
        <f t="shared" si="45"/>
        <v/>
      </c>
      <c r="BV57" s="507" t="str">
        <f t="shared" si="46"/>
        <v/>
      </c>
      <c r="BW57" s="507" t="str">
        <f t="shared" si="47"/>
        <v/>
      </c>
      <c r="BX57" s="507" t="str">
        <f t="shared" si="48"/>
        <v/>
      </c>
      <c r="BY57" s="507" t="str">
        <f t="shared" si="49"/>
        <v/>
      </c>
    </row>
    <row r="58" spans="1:77">
      <c r="A58" s="481" t="str">
        <f>IF('NH13-14'!A58="","",'NH13-14'!A58)</f>
        <v/>
      </c>
      <c r="B58" s="482" t="str">
        <f>IF('NH13-14'!B58="","",'NH13-14'!B58)</f>
        <v/>
      </c>
      <c r="C58" s="490" t="str">
        <f t="shared" si="2"/>
        <v/>
      </c>
      <c r="D58" s="490" t="str">
        <f t="shared" si="3"/>
        <v/>
      </c>
      <c r="E58" s="483" t="str">
        <f>IF('NH13-14'!C58="","",'NH13-14'!C58)</f>
        <v/>
      </c>
      <c r="F58" s="484" t="str">
        <f>IF('NH13-14'!D58="","",'NH13-14'!D58)</f>
        <v/>
      </c>
      <c r="G58" s="485" t="str">
        <f>IF('NH13-14'!I58="",'NH13-14'!H58,IF('NH13-14'!I58&gt;='NH13-14'!H58,'NH13-14'!I58,'NH13-14'!H58))</f>
        <v/>
      </c>
      <c r="H58" s="485" t="str">
        <f>IF('NH13-14'!K58="",'NH13-14'!J58,IF('NH13-14'!K58&gt;='NH13-14'!J58,'NH13-14'!K58,'NH13-14'!J58))</f>
        <v/>
      </c>
      <c r="I58" s="485" t="str">
        <f>IF('NH13-14'!M58="",'NH13-14'!L58,IF('NH13-14'!M58&gt;='NH13-14'!L58,'NH13-14'!M58,'NH13-14'!L58))</f>
        <v/>
      </c>
      <c r="J58" s="485" t="str">
        <f>IF('NH13-14'!O58="",'NH13-14'!N58,IF('NH13-14'!O58&gt;='NH13-14'!N58,'NH13-14'!O58,'NH13-14'!N58))</f>
        <v/>
      </c>
      <c r="K58" s="485" t="str">
        <f>IF('NH13-14'!Q58="",'NH13-14'!P58,IF('NH13-14'!Q58&gt;='NH13-14'!P58,'NH13-14'!Q58,'NH13-14'!P58))</f>
        <v/>
      </c>
      <c r="L58" s="485" t="str">
        <f>IF('NH13-14'!S58="",'NH13-14'!R58,IF('NH13-14'!S58&gt;='NH13-14'!R58,'NH13-14'!S58,'NH13-14'!R58))</f>
        <v/>
      </c>
      <c r="M58" s="485" t="str">
        <f>IF('NH13-14'!U58="",'NH13-14'!T58,IF('NH13-14'!U58&gt;='NH13-14'!T58,'NH13-14'!U58,'NH13-14'!T58))</f>
        <v/>
      </c>
      <c r="N58" s="485" t="str">
        <f>IF('NH13-14'!W58="",'NH13-14'!V58,IF('NH13-14'!W58&gt;='NH13-14'!V58,'NH13-14'!W58,'NH13-14'!V58))</f>
        <v/>
      </c>
      <c r="O58" s="485" t="str">
        <f>IF('NH13-14'!Y58="",'NH13-14'!X58,IF('NH13-14'!Y58&gt;='NH13-14'!X58,'NH13-14'!Y58,'NH13-14'!X58))</f>
        <v/>
      </c>
      <c r="P58" s="485" t="str">
        <f>IF('NH13-14'!AA58="",'NH13-14'!Z58,IF('NH13-14'!AA58&gt;='NH13-14'!Z58,'NH13-14'!AA58,'NH13-14'!Z58))</f>
        <v/>
      </c>
      <c r="Q58" s="485" t="str">
        <f>IF('NH13-14'!AC58="",'NH13-14'!AB58,IF('NH13-14'!AC58&gt;='NH13-14'!AB58,'NH13-14'!AC58,'NH13-14'!AB58))</f>
        <v/>
      </c>
      <c r="R58" s="485" t="str">
        <f>IF('NH13-14'!AE58="",'NH13-14'!AD58,IF('NH13-14'!AE58&gt;='NH13-14'!AD58,'NH13-14'!AE58,'NH13-14'!AD58))</f>
        <v/>
      </c>
      <c r="S58" s="485" t="str">
        <f>IF('NH13-14'!AG58="",'NH13-14'!AF58,IF('NH13-14'!AG58&gt;='NH13-14'!AF58,'NH13-14'!AG58,'NH13-14'!AF58))</f>
        <v/>
      </c>
      <c r="T58" s="485" t="str">
        <f>IF('NH13-14'!AI58="",'NH13-14'!AH58,IF('NH13-14'!AI58&gt;='NH13-14'!AH58,'NH13-14'!AI58,'NH13-14'!AH58))</f>
        <v/>
      </c>
      <c r="U58" s="485" t="str">
        <f>IF('NH13-14'!AK58="",'NH13-14'!AJ58,IF('NH13-14'!AK58&gt;='NH13-14'!AJ58,'NH13-14'!AK58,'NH13-14'!AJ58))</f>
        <v/>
      </c>
      <c r="V58" s="485" t="str">
        <f>IF('NH13-14'!AM58="",'NH13-14'!AL58,IF('NH13-14'!AM58&gt;='NH13-14'!AL58,'NH13-14'!AM58,'NH13-14'!AL58))</f>
        <v/>
      </c>
      <c r="W58" s="485" t="str">
        <f>IF('NH13-14'!AO58="",'NH13-14'!AN58,IF('NH13-14'!AO58&gt;='NH13-14'!AN58,'NH13-14'!AO58,'NH13-14'!AN58))</f>
        <v/>
      </c>
      <c r="X58" s="485" t="str">
        <f>IF('NH13-14'!AQ58="",'NH13-14'!AP58,IF('NH13-14'!AQ58&gt;='NH13-14'!AP58,'NH13-14'!AQ58,'NH13-14'!AP58))</f>
        <v/>
      </c>
      <c r="Y58" s="485" t="str">
        <f>IF('NH13-14'!AS58="",'NH13-14'!AR58,IF('NH13-14'!AS58&gt;='NH13-14'!AR58,'NH13-14'!AS58,'NH13-14'!AR58))</f>
        <v/>
      </c>
      <c r="Z58" s="485" t="str">
        <f>IF('NH13-14'!AU58="",'NH13-14'!AT58,IF('NH13-14'!AU58&gt;='NH13-14'!AT58,'NH13-14'!AU58,'NH13-14'!AT58))</f>
        <v/>
      </c>
      <c r="AA58" s="485" t="str">
        <f>IF('NH13-14'!AW58="",'NH13-14'!AV58,IF('NH13-14'!AW58&gt;='NH13-14'!AV58,'NH13-14'!AW58,'NH13-14'!AV58))</f>
        <v/>
      </c>
      <c r="AB58" s="485" t="str">
        <f>IF('NH13-14'!AY58="",'NH13-14'!AX58,IF('NH13-14'!AY58&gt;='NH13-14'!AX58,'NH13-14'!AY58,'NH13-14'!AX58))</f>
        <v/>
      </c>
      <c r="AC58" s="485" t="str">
        <f>IF('NH13-14'!BA58="",'NH13-14'!AZ58,IF('NH13-14'!BA58&gt;='NH13-14'!AZ58,'NH13-14'!BA58,'NH13-14'!AZ58))</f>
        <v/>
      </c>
      <c r="AD58" s="486" t="str">
        <f>IF('NH13-14'!B58="","",ROUND(SUMPRODUCT(G58:AC58,$G$7:$AC$7)/SUMIF(G58:AC58,"&gt;=0",$G$7:$AC$7),2))</f>
        <v/>
      </c>
      <c r="AE58" s="487" t="str">
        <f t="shared" si="50"/>
        <v/>
      </c>
      <c r="AF58" s="488" t="str">
        <f t="shared" si="51"/>
        <v/>
      </c>
      <c r="AG58" s="488" t="str">
        <f t="shared" si="52"/>
        <v/>
      </c>
      <c r="AH58" s="488" t="str">
        <f t="shared" si="53"/>
        <v/>
      </c>
      <c r="AI58" s="488" t="str">
        <f t="shared" si="54"/>
        <v/>
      </c>
      <c r="AJ58" s="488" t="str">
        <f t="shared" si="55"/>
        <v/>
      </c>
      <c r="AK58" s="488" t="str">
        <f t="shared" si="56"/>
        <v/>
      </c>
      <c r="AL58" s="488" t="str">
        <f t="shared" si="57"/>
        <v/>
      </c>
      <c r="AM58" s="488" t="str">
        <f t="shared" si="58"/>
        <v/>
      </c>
      <c r="AN58" s="488" t="str">
        <f t="shared" si="59"/>
        <v/>
      </c>
      <c r="AO58" s="488" t="str">
        <f t="shared" si="60"/>
        <v/>
      </c>
      <c r="AP58" s="488" t="str">
        <f t="shared" si="61"/>
        <v/>
      </c>
      <c r="AQ58" s="488" t="str">
        <f t="shared" si="62"/>
        <v/>
      </c>
      <c r="AR58" s="488" t="str">
        <f t="shared" si="63"/>
        <v/>
      </c>
      <c r="AS58" s="488" t="str">
        <f t="shared" si="64"/>
        <v/>
      </c>
      <c r="AT58" s="488" t="str">
        <f t="shared" si="65"/>
        <v/>
      </c>
      <c r="AU58" s="488" t="str">
        <f t="shared" si="66"/>
        <v/>
      </c>
      <c r="AV58" s="488" t="str">
        <f t="shared" si="67"/>
        <v/>
      </c>
      <c r="AW58" s="488" t="str">
        <f t="shared" si="68"/>
        <v/>
      </c>
      <c r="AX58" s="488" t="str">
        <f t="shared" si="69"/>
        <v/>
      </c>
      <c r="AY58" s="488" t="str">
        <f t="shared" si="70"/>
        <v/>
      </c>
      <c r="AZ58" s="488" t="str">
        <f t="shared" si="71"/>
        <v/>
      </c>
      <c r="BA58" s="488" t="str">
        <f t="shared" si="26"/>
        <v/>
      </c>
      <c r="BB58" s="486" t="str">
        <f>IF('NH13-14'!B58="","",ROUND(SUMPRODUCT(AE58:BA58,$AE$7:$BA$7)/SUMIF(AE58:BA58,"&gt;=1",$AE$7:$BA$7),2))</f>
        <v/>
      </c>
      <c r="BC58" s="527" t="str">
        <f t="shared" si="27"/>
        <v/>
      </c>
      <c r="BD58" s="507" t="str">
        <f t="shared" si="28"/>
        <v/>
      </c>
      <c r="BE58" s="507" t="str">
        <f t="shared" si="29"/>
        <v/>
      </c>
      <c r="BF58" s="507" t="str">
        <f t="shared" si="30"/>
        <v/>
      </c>
      <c r="BG58" s="507" t="str">
        <f t="shared" si="31"/>
        <v/>
      </c>
      <c r="BH58" s="507" t="str">
        <f t="shared" si="32"/>
        <v/>
      </c>
      <c r="BI58" s="507" t="str">
        <f t="shared" si="33"/>
        <v/>
      </c>
      <c r="BJ58" s="507" t="str">
        <f t="shared" si="34"/>
        <v/>
      </c>
      <c r="BK58" s="507" t="str">
        <f t="shared" si="35"/>
        <v/>
      </c>
      <c r="BL58" s="507" t="str">
        <f t="shared" si="36"/>
        <v/>
      </c>
      <c r="BM58" s="507" t="str">
        <f t="shared" si="37"/>
        <v/>
      </c>
      <c r="BN58" s="507" t="str">
        <f t="shared" si="38"/>
        <v/>
      </c>
      <c r="BO58" s="507" t="str">
        <f t="shared" si="39"/>
        <v/>
      </c>
      <c r="BP58" s="507" t="str">
        <f t="shared" si="40"/>
        <v/>
      </c>
      <c r="BQ58" s="507" t="str">
        <f t="shared" si="41"/>
        <v/>
      </c>
      <c r="BR58" s="507" t="str">
        <f t="shared" si="42"/>
        <v/>
      </c>
      <c r="BS58" s="507" t="str">
        <f t="shared" si="43"/>
        <v/>
      </c>
      <c r="BT58" s="507" t="str">
        <f t="shared" si="44"/>
        <v/>
      </c>
      <c r="BU58" s="507" t="str">
        <f t="shared" si="45"/>
        <v/>
      </c>
      <c r="BV58" s="507" t="str">
        <f t="shared" si="46"/>
        <v/>
      </c>
      <c r="BW58" s="507" t="str">
        <f t="shared" si="47"/>
        <v/>
      </c>
      <c r="BX58" s="507" t="str">
        <f t="shared" si="48"/>
        <v/>
      </c>
      <c r="BY58" s="507" t="str">
        <f t="shared" si="49"/>
        <v/>
      </c>
    </row>
    <row r="59" spans="1:77">
      <c r="A59" s="481" t="str">
        <f>IF('NH13-14'!A59="","",'NH13-14'!A59)</f>
        <v/>
      </c>
      <c r="B59" s="482" t="str">
        <f>IF('NH13-14'!B59="","",'NH13-14'!B59)</f>
        <v/>
      </c>
      <c r="C59" s="490" t="str">
        <f t="shared" si="2"/>
        <v/>
      </c>
      <c r="D59" s="490" t="str">
        <f t="shared" si="3"/>
        <v/>
      </c>
      <c r="E59" s="483" t="str">
        <f>IF('NH13-14'!C59="","",'NH13-14'!C59)</f>
        <v/>
      </c>
      <c r="F59" s="484" t="str">
        <f>IF('NH13-14'!D59="","",'NH13-14'!D59)</f>
        <v/>
      </c>
      <c r="G59" s="485" t="str">
        <f>IF('NH13-14'!I59="",'NH13-14'!H59,IF('NH13-14'!I59&gt;='NH13-14'!H59,'NH13-14'!I59,'NH13-14'!H59))</f>
        <v/>
      </c>
      <c r="H59" s="485" t="str">
        <f>IF('NH13-14'!K59="",'NH13-14'!J59,IF('NH13-14'!K59&gt;='NH13-14'!J59,'NH13-14'!K59,'NH13-14'!J59))</f>
        <v/>
      </c>
      <c r="I59" s="485" t="str">
        <f>IF('NH13-14'!M59="",'NH13-14'!L59,IF('NH13-14'!M59&gt;='NH13-14'!L59,'NH13-14'!M59,'NH13-14'!L59))</f>
        <v/>
      </c>
      <c r="J59" s="485" t="str">
        <f>IF('NH13-14'!O59="",'NH13-14'!N59,IF('NH13-14'!O59&gt;='NH13-14'!N59,'NH13-14'!O59,'NH13-14'!N59))</f>
        <v/>
      </c>
      <c r="K59" s="485" t="str">
        <f>IF('NH13-14'!Q59="",'NH13-14'!P59,IF('NH13-14'!Q59&gt;='NH13-14'!P59,'NH13-14'!Q59,'NH13-14'!P59))</f>
        <v/>
      </c>
      <c r="L59" s="485" t="str">
        <f>IF('NH13-14'!S59="",'NH13-14'!R59,IF('NH13-14'!S59&gt;='NH13-14'!R59,'NH13-14'!S59,'NH13-14'!R59))</f>
        <v/>
      </c>
      <c r="M59" s="485" t="str">
        <f>IF('NH13-14'!U59="",'NH13-14'!T59,IF('NH13-14'!U59&gt;='NH13-14'!T59,'NH13-14'!U59,'NH13-14'!T59))</f>
        <v/>
      </c>
      <c r="N59" s="485" t="str">
        <f>IF('NH13-14'!W59="",'NH13-14'!V59,IF('NH13-14'!W59&gt;='NH13-14'!V59,'NH13-14'!W59,'NH13-14'!V59))</f>
        <v/>
      </c>
      <c r="O59" s="485" t="str">
        <f>IF('NH13-14'!Y59="",'NH13-14'!X59,IF('NH13-14'!Y59&gt;='NH13-14'!X59,'NH13-14'!Y59,'NH13-14'!X59))</f>
        <v/>
      </c>
      <c r="P59" s="485" t="str">
        <f>IF('NH13-14'!AA59="",'NH13-14'!Z59,IF('NH13-14'!AA59&gt;='NH13-14'!Z59,'NH13-14'!AA59,'NH13-14'!Z59))</f>
        <v/>
      </c>
      <c r="Q59" s="485" t="str">
        <f>IF('NH13-14'!AC59="",'NH13-14'!AB59,IF('NH13-14'!AC59&gt;='NH13-14'!AB59,'NH13-14'!AC59,'NH13-14'!AB59))</f>
        <v/>
      </c>
      <c r="R59" s="485" t="str">
        <f>IF('NH13-14'!AE59="",'NH13-14'!AD59,IF('NH13-14'!AE59&gt;='NH13-14'!AD59,'NH13-14'!AE59,'NH13-14'!AD59))</f>
        <v/>
      </c>
      <c r="S59" s="485" t="str">
        <f>IF('NH13-14'!AG59="",'NH13-14'!AF59,IF('NH13-14'!AG59&gt;='NH13-14'!AF59,'NH13-14'!AG59,'NH13-14'!AF59))</f>
        <v/>
      </c>
      <c r="T59" s="485" t="str">
        <f>IF('NH13-14'!AI59="",'NH13-14'!AH59,IF('NH13-14'!AI59&gt;='NH13-14'!AH59,'NH13-14'!AI59,'NH13-14'!AH59))</f>
        <v/>
      </c>
      <c r="U59" s="485" t="str">
        <f>IF('NH13-14'!AK59="",'NH13-14'!AJ59,IF('NH13-14'!AK59&gt;='NH13-14'!AJ59,'NH13-14'!AK59,'NH13-14'!AJ59))</f>
        <v/>
      </c>
      <c r="V59" s="485" t="str">
        <f>IF('NH13-14'!AM59="",'NH13-14'!AL59,IF('NH13-14'!AM59&gt;='NH13-14'!AL59,'NH13-14'!AM59,'NH13-14'!AL59))</f>
        <v/>
      </c>
      <c r="W59" s="485" t="str">
        <f>IF('NH13-14'!AO59="",'NH13-14'!AN59,IF('NH13-14'!AO59&gt;='NH13-14'!AN59,'NH13-14'!AO59,'NH13-14'!AN59))</f>
        <v/>
      </c>
      <c r="X59" s="485" t="str">
        <f>IF('NH13-14'!AQ59="",'NH13-14'!AP59,IF('NH13-14'!AQ59&gt;='NH13-14'!AP59,'NH13-14'!AQ59,'NH13-14'!AP59))</f>
        <v/>
      </c>
      <c r="Y59" s="485" t="str">
        <f>IF('NH13-14'!AS59="",'NH13-14'!AR59,IF('NH13-14'!AS59&gt;='NH13-14'!AR59,'NH13-14'!AS59,'NH13-14'!AR59))</f>
        <v/>
      </c>
      <c r="Z59" s="485" t="str">
        <f>IF('NH13-14'!AU59="",'NH13-14'!AT59,IF('NH13-14'!AU59&gt;='NH13-14'!AT59,'NH13-14'!AU59,'NH13-14'!AT59))</f>
        <v/>
      </c>
      <c r="AA59" s="485" t="str">
        <f>IF('NH13-14'!AW59="",'NH13-14'!AV59,IF('NH13-14'!AW59&gt;='NH13-14'!AV59,'NH13-14'!AW59,'NH13-14'!AV59))</f>
        <v/>
      </c>
      <c r="AB59" s="485" t="str">
        <f>IF('NH13-14'!AY59="",'NH13-14'!AX59,IF('NH13-14'!AY59&gt;='NH13-14'!AX59,'NH13-14'!AY59,'NH13-14'!AX59))</f>
        <v/>
      </c>
      <c r="AC59" s="485" t="str">
        <f>IF('NH13-14'!BA59="",'NH13-14'!AZ59,IF('NH13-14'!BA59&gt;='NH13-14'!AZ59,'NH13-14'!BA59,'NH13-14'!AZ59))</f>
        <v/>
      </c>
      <c r="AD59" s="486" t="str">
        <f>IF('NH13-14'!B59="","",ROUND(SUMPRODUCT(G59:AC59,$G$7:$AC$7)/SUMIF(G59:AC59,"&gt;=0",$G$7:$AC$7),2))</f>
        <v/>
      </c>
      <c r="AE59" s="487" t="str">
        <f t="shared" si="50"/>
        <v/>
      </c>
      <c r="AF59" s="488" t="str">
        <f t="shared" si="51"/>
        <v/>
      </c>
      <c r="AG59" s="488" t="str">
        <f t="shared" si="52"/>
        <v/>
      </c>
      <c r="AH59" s="488" t="str">
        <f t="shared" si="53"/>
        <v/>
      </c>
      <c r="AI59" s="488" t="str">
        <f t="shared" si="54"/>
        <v/>
      </c>
      <c r="AJ59" s="488" t="str">
        <f t="shared" si="55"/>
        <v/>
      </c>
      <c r="AK59" s="488" t="str">
        <f t="shared" si="56"/>
        <v/>
      </c>
      <c r="AL59" s="488" t="str">
        <f t="shared" si="57"/>
        <v/>
      </c>
      <c r="AM59" s="488" t="str">
        <f t="shared" si="58"/>
        <v/>
      </c>
      <c r="AN59" s="488" t="str">
        <f t="shared" si="59"/>
        <v/>
      </c>
      <c r="AO59" s="488" t="str">
        <f t="shared" si="60"/>
        <v/>
      </c>
      <c r="AP59" s="488" t="str">
        <f t="shared" si="61"/>
        <v/>
      </c>
      <c r="AQ59" s="488" t="str">
        <f t="shared" si="62"/>
        <v/>
      </c>
      <c r="AR59" s="488" t="str">
        <f t="shared" si="63"/>
        <v/>
      </c>
      <c r="AS59" s="488" t="str">
        <f t="shared" si="64"/>
        <v/>
      </c>
      <c r="AT59" s="488" t="str">
        <f t="shared" si="65"/>
        <v/>
      </c>
      <c r="AU59" s="488" t="str">
        <f t="shared" si="66"/>
        <v/>
      </c>
      <c r="AV59" s="488" t="str">
        <f t="shared" si="67"/>
        <v/>
      </c>
      <c r="AW59" s="488" t="str">
        <f t="shared" si="68"/>
        <v/>
      </c>
      <c r="AX59" s="488" t="str">
        <f t="shared" si="69"/>
        <v/>
      </c>
      <c r="AY59" s="488" t="str">
        <f t="shared" si="70"/>
        <v/>
      </c>
      <c r="AZ59" s="488" t="str">
        <f t="shared" si="71"/>
        <v/>
      </c>
      <c r="BA59" s="488" t="str">
        <f t="shared" si="26"/>
        <v/>
      </c>
      <c r="BB59" s="486" t="str">
        <f>IF('NH13-14'!B59="","",ROUND(SUMPRODUCT(AE59:BA59,$AE$7:$BA$7)/SUMIF(AE59:BA59,"&gt;=1",$AE$7:$BA$7),2))</f>
        <v/>
      </c>
      <c r="BC59" s="527" t="str">
        <f t="shared" si="27"/>
        <v/>
      </c>
      <c r="BD59" s="507" t="str">
        <f t="shared" si="28"/>
        <v/>
      </c>
      <c r="BE59" s="507" t="str">
        <f t="shared" si="29"/>
        <v/>
      </c>
      <c r="BF59" s="507" t="str">
        <f t="shared" si="30"/>
        <v/>
      </c>
      <c r="BG59" s="507" t="str">
        <f t="shared" si="31"/>
        <v/>
      </c>
      <c r="BH59" s="507" t="str">
        <f t="shared" si="32"/>
        <v/>
      </c>
      <c r="BI59" s="507" t="str">
        <f t="shared" si="33"/>
        <v/>
      </c>
      <c r="BJ59" s="507" t="str">
        <f t="shared" si="34"/>
        <v/>
      </c>
      <c r="BK59" s="507" t="str">
        <f t="shared" si="35"/>
        <v/>
      </c>
      <c r="BL59" s="507" t="str">
        <f t="shared" si="36"/>
        <v/>
      </c>
      <c r="BM59" s="507" t="str">
        <f t="shared" si="37"/>
        <v/>
      </c>
      <c r="BN59" s="507" t="str">
        <f t="shared" si="38"/>
        <v/>
      </c>
      <c r="BO59" s="507" t="str">
        <f t="shared" si="39"/>
        <v/>
      </c>
      <c r="BP59" s="507" t="str">
        <f t="shared" si="40"/>
        <v/>
      </c>
      <c r="BQ59" s="507" t="str">
        <f t="shared" si="41"/>
        <v/>
      </c>
      <c r="BR59" s="507" t="str">
        <f t="shared" si="42"/>
        <v/>
      </c>
      <c r="BS59" s="507" t="str">
        <f t="shared" si="43"/>
        <v/>
      </c>
      <c r="BT59" s="507" t="str">
        <f t="shared" si="44"/>
        <v/>
      </c>
      <c r="BU59" s="507" t="str">
        <f t="shared" si="45"/>
        <v/>
      </c>
      <c r="BV59" s="507" t="str">
        <f t="shared" si="46"/>
        <v/>
      </c>
      <c r="BW59" s="507" t="str">
        <f t="shared" si="47"/>
        <v/>
      </c>
      <c r="BX59" s="507" t="str">
        <f t="shared" si="48"/>
        <v/>
      </c>
      <c r="BY59" s="507" t="str">
        <f t="shared" si="49"/>
        <v/>
      </c>
    </row>
    <row r="60" spans="1:77">
      <c r="A60" s="481" t="str">
        <f>IF('NH13-14'!A60="","",'NH13-14'!A60)</f>
        <v/>
      </c>
      <c r="B60" s="482" t="str">
        <f>IF('NH13-14'!B60="","",'NH13-14'!B60)</f>
        <v/>
      </c>
      <c r="C60" s="490" t="str">
        <f t="shared" si="2"/>
        <v/>
      </c>
      <c r="D60" s="490" t="str">
        <f t="shared" si="3"/>
        <v/>
      </c>
      <c r="E60" s="483" t="str">
        <f>IF('NH13-14'!C60="","",'NH13-14'!C60)</f>
        <v/>
      </c>
      <c r="F60" s="484" t="str">
        <f>IF('NH13-14'!D60="","",'NH13-14'!D60)</f>
        <v/>
      </c>
      <c r="G60" s="485" t="str">
        <f>IF('NH13-14'!I60="",'NH13-14'!H60,IF('NH13-14'!I60&gt;='NH13-14'!H60,'NH13-14'!I60,'NH13-14'!H60))</f>
        <v/>
      </c>
      <c r="H60" s="485" t="str">
        <f>IF('NH13-14'!K60="",'NH13-14'!J60,IF('NH13-14'!K60&gt;='NH13-14'!J60,'NH13-14'!K60,'NH13-14'!J60))</f>
        <v/>
      </c>
      <c r="I60" s="485" t="str">
        <f>IF('NH13-14'!M60="",'NH13-14'!L60,IF('NH13-14'!M60&gt;='NH13-14'!L60,'NH13-14'!M60,'NH13-14'!L60))</f>
        <v/>
      </c>
      <c r="J60" s="485" t="str">
        <f>IF('NH13-14'!O60="",'NH13-14'!N60,IF('NH13-14'!O60&gt;='NH13-14'!N60,'NH13-14'!O60,'NH13-14'!N60))</f>
        <v/>
      </c>
      <c r="K60" s="485" t="str">
        <f>IF('NH13-14'!Q60="",'NH13-14'!P60,IF('NH13-14'!Q60&gt;='NH13-14'!P60,'NH13-14'!Q60,'NH13-14'!P60))</f>
        <v/>
      </c>
      <c r="L60" s="485" t="str">
        <f>IF('NH13-14'!S60="",'NH13-14'!R60,IF('NH13-14'!S60&gt;='NH13-14'!R60,'NH13-14'!S60,'NH13-14'!R60))</f>
        <v/>
      </c>
      <c r="M60" s="485" t="str">
        <f>IF('NH13-14'!U60="",'NH13-14'!T60,IF('NH13-14'!U60&gt;='NH13-14'!T60,'NH13-14'!U60,'NH13-14'!T60))</f>
        <v/>
      </c>
      <c r="N60" s="485" t="str">
        <f>IF('NH13-14'!W60="",'NH13-14'!V60,IF('NH13-14'!W60&gt;='NH13-14'!V60,'NH13-14'!W60,'NH13-14'!V60))</f>
        <v/>
      </c>
      <c r="O60" s="485" t="str">
        <f>IF('NH13-14'!Y60="",'NH13-14'!X60,IF('NH13-14'!Y60&gt;='NH13-14'!X60,'NH13-14'!Y60,'NH13-14'!X60))</f>
        <v/>
      </c>
      <c r="P60" s="485" t="str">
        <f>IF('NH13-14'!AA60="",'NH13-14'!Z60,IF('NH13-14'!AA60&gt;='NH13-14'!Z60,'NH13-14'!AA60,'NH13-14'!Z60))</f>
        <v/>
      </c>
      <c r="Q60" s="485" t="str">
        <f>IF('NH13-14'!AC60="",'NH13-14'!AB60,IF('NH13-14'!AC60&gt;='NH13-14'!AB60,'NH13-14'!AC60,'NH13-14'!AB60))</f>
        <v/>
      </c>
      <c r="R60" s="485" t="str">
        <f>IF('NH13-14'!AE60="",'NH13-14'!AD60,IF('NH13-14'!AE60&gt;='NH13-14'!AD60,'NH13-14'!AE60,'NH13-14'!AD60))</f>
        <v/>
      </c>
      <c r="S60" s="485" t="str">
        <f>IF('NH13-14'!AG60="",'NH13-14'!AF60,IF('NH13-14'!AG60&gt;='NH13-14'!AF60,'NH13-14'!AG60,'NH13-14'!AF60))</f>
        <v/>
      </c>
      <c r="T60" s="485" t="str">
        <f>IF('NH13-14'!AI60="",'NH13-14'!AH60,IF('NH13-14'!AI60&gt;='NH13-14'!AH60,'NH13-14'!AI60,'NH13-14'!AH60))</f>
        <v/>
      </c>
      <c r="U60" s="485" t="str">
        <f>IF('NH13-14'!AK60="",'NH13-14'!AJ60,IF('NH13-14'!AK60&gt;='NH13-14'!AJ60,'NH13-14'!AK60,'NH13-14'!AJ60))</f>
        <v/>
      </c>
      <c r="V60" s="485" t="str">
        <f>IF('NH13-14'!AM60="",'NH13-14'!AL60,IF('NH13-14'!AM60&gt;='NH13-14'!AL60,'NH13-14'!AM60,'NH13-14'!AL60))</f>
        <v/>
      </c>
      <c r="W60" s="485" t="str">
        <f>IF('NH13-14'!AO60="",'NH13-14'!AN60,IF('NH13-14'!AO60&gt;='NH13-14'!AN60,'NH13-14'!AO60,'NH13-14'!AN60))</f>
        <v/>
      </c>
      <c r="X60" s="485" t="str">
        <f>IF('NH13-14'!AQ60="",'NH13-14'!AP60,IF('NH13-14'!AQ60&gt;='NH13-14'!AP60,'NH13-14'!AQ60,'NH13-14'!AP60))</f>
        <v/>
      </c>
      <c r="Y60" s="485" t="str">
        <f>IF('NH13-14'!AS60="",'NH13-14'!AR60,IF('NH13-14'!AS60&gt;='NH13-14'!AR60,'NH13-14'!AS60,'NH13-14'!AR60))</f>
        <v/>
      </c>
      <c r="Z60" s="485" t="str">
        <f>IF('NH13-14'!AU60="",'NH13-14'!AT60,IF('NH13-14'!AU60&gt;='NH13-14'!AT60,'NH13-14'!AU60,'NH13-14'!AT60))</f>
        <v/>
      </c>
      <c r="AA60" s="485" t="str">
        <f>IF('NH13-14'!AW60="",'NH13-14'!AV60,IF('NH13-14'!AW60&gt;='NH13-14'!AV60,'NH13-14'!AW60,'NH13-14'!AV60))</f>
        <v/>
      </c>
      <c r="AB60" s="485" t="str">
        <f>IF('NH13-14'!AY60="",'NH13-14'!AX60,IF('NH13-14'!AY60&gt;='NH13-14'!AX60,'NH13-14'!AY60,'NH13-14'!AX60))</f>
        <v/>
      </c>
      <c r="AC60" s="485" t="str">
        <f>IF('NH13-14'!BA60="",'NH13-14'!AZ60,IF('NH13-14'!BA60&gt;='NH13-14'!AZ60,'NH13-14'!BA60,'NH13-14'!AZ60))</f>
        <v/>
      </c>
      <c r="AD60" s="486" t="str">
        <f>IF('NH13-14'!B60="","",ROUND(SUMPRODUCT(G60:AC60,$G$7:$AC$7)/SUMIF(G60:AC60,"&gt;=0",$G$7:$AC$7),2))</f>
        <v/>
      </c>
      <c r="AE60" s="487" t="str">
        <f t="shared" si="50"/>
        <v/>
      </c>
      <c r="AF60" s="488" t="str">
        <f t="shared" si="51"/>
        <v/>
      </c>
      <c r="AG60" s="488" t="str">
        <f t="shared" si="52"/>
        <v/>
      </c>
      <c r="AH60" s="488" t="str">
        <f t="shared" si="53"/>
        <v/>
      </c>
      <c r="AI60" s="488" t="str">
        <f t="shared" si="54"/>
        <v/>
      </c>
      <c r="AJ60" s="488" t="str">
        <f t="shared" si="55"/>
        <v/>
      </c>
      <c r="AK60" s="488" t="str">
        <f t="shared" si="56"/>
        <v/>
      </c>
      <c r="AL60" s="488" t="str">
        <f t="shared" si="57"/>
        <v/>
      </c>
      <c r="AM60" s="488" t="str">
        <f t="shared" si="58"/>
        <v/>
      </c>
      <c r="AN60" s="488" t="str">
        <f t="shared" si="59"/>
        <v/>
      </c>
      <c r="AO60" s="488" t="str">
        <f t="shared" si="60"/>
        <v/>
      </c>
      <c r="AP60" s="488" t="str">
        <f t="shared" si="61"/>
        <v/>
      </c>
      <c r="AQ60" s="488" t="str">
        <f t="shared" si="62"/>
        <v/>
      </c>
      <c r="AR60" s="488" t="str">
        <f t="shared" si="63"/>
        <v/>
      </c>
      <c r="AS60" s="488" t="str">
        <f t="shared" si="64"/>
        <v/>
      </c>
      <c r="AT60" s="488" t="str">
        <f t="shared" si="65"/>
        <v/>
      </c>
      <c r="AU60" s="488" t="str">
        <f t="shared" si="66"/>
        <v/>
      </c>
      <c r="AV60" s="488" t="str">
        <f t="shared" si="67"/>
        <v/>
      </c>
      <c r="AW60" s="488" t="str">
        <f t="shared" si="68"/>
        <v/>
      </c>
      <c r="AX60" s="488" t="str">
        <f t="shared" si="69"/>
        <v/>
      </c>
      <c r="AY60" s="488" t="str">
        <f t="shared" si="70"/>
        <v/>
      </c>
      <c r="AZ60" s="488" t="str">
        <f t="shared" si="71"/>
        <v/>
      </c>
      <c r="BA60" s="488" t="str">
        <f t="shared" si="26"/>
        <v/>
      </c>
      <c r="BB60" s="486" t="str">
        <f>IF('NH13-14'!B60="","",ROUND(SUMPRODUCT(AE60:BA60,$AE$7:$BA$7)/SUMIF(AE60:BA60,"&gt;=1",$AE$7:$BA$7),2))</f>
        <v/>
      </c>
      <c r="BC60" s="527" t="str">
        <f t="shared" si="27"/>
        <v/>
      </c>
      <c r="BD60" s="507" t="str">
        <f t="shared" si="28"/>
        <v/>
      </c>
      <c r="BE60" s="507" t="str">
        <f t="shared" si="29"/>
        <v/>
      </c>
      <c r="BF60" s="507" t="str">
        <f t="shared" si="30"/>
        <v/>
      </c>
      <c r="BG60" s="507" t="str">
        <f t="shared" si="31"/>
        <v/>
      </c>
      <c r="BH60" s="507" t="str">
        <f t="shared" si="32"/>
        <v/>
      </c>
      <c r="BI60" s="507" t="str">
        <f t="shared" si="33"/>
        <v/>
      </c>
      <c r="BJ60" s="507" t="str">
        <f t="shared" si="34"/>
        <v/>
      </c>
      <c r="BK60" s="507" t="str">
        <f t="shared" si="35"/>
        <v/>
      </c>
      <c r="BL60" s="507" t="str">
        <f t="shared" si="36"/>
        <v/>
      </c>
      <c r="BM60" s="507" t="str">
        <f t="shared" si="37"/>
        <v/>
      </c>
      <c r="BN60" s="507" t="str">
        <f t="shared" si="38"/>
        <v/>
      </c>
      <c r="BO60" s="507" t="str">
        <f t="shared" si="39"/>
        <v/>
      </c>
      <c r="BP60" s="507" t="str">
        <f t="shared" si="40"/>
        <v/>
      </c>
      <c r="BQ60" s="507" t="str">
        <f t="shared" si="41"/>
        <v/>
      </c>
      <c r="BR60" s="507" t="str">
        <f t="shared" si="42"/>
        <v/>
      </c>
      <c r="BS60" s="507" t="str">
        <f t="shared" si="43"/>
        <v/>
      </c>
      <c r="BT60" s="507" t="str">
        <f t="shared" si="44"/>
        <v/>
      </c>
      <c r="BU60" s="507" t="str">
        <f t="shared" si="45"/>
        <v/>
      </c>
      <c r="BV60" s="507" t="str">
        <f t="shared" si="46"/>
        <v/>
      </c>
      <c r="BW60" s="507" t="str">
        <f t="shared" si="47"/>
        <v/>
      </c>
      <c r="BX60" s="507" t="str">
        <f t="shared" si="48"/>
        <v/>
      </c>
      <c r="BY60" s="507" t="str">
        <f t="shared" si="49"/>
        <v/>
      </c>
    </row>
    <row r="61" spans="1:77">
      <c r="A61" s="481" t="str">
        <f>IF('NH13-14'!A61="","",'NH13-14'!A61)</f>
        <v/>
      </c>
      <c r="B61" s="482" t="str">
        <f>IF('NH13-14'!B61="","",'NH13-14'!B61)</f>
        <v/>
      </c>
      <c r="C61" s="490" t="str">
        <f t="shared" si="2"/>
        <v/>
      </c>
      <c r="D61" s="490" t="str">
        <f t="shared" si="3"/>
        <v/>
      </c>
      <c r="E61" s="483" t="str">
        <f>IF('NH13-14'!C61="","",'NH13-14'!C61)</f>
        <v/>
      </c>
      <c r="F61" s="484" t="str">
        <f>IF('NH13-14'!D61="","",'NH13-14'!D61)</f>
        <v/>
      </c>
      <c r="G61" s="485" t="str">
        <f>IF('NH13-14'!I61="",'NH13-14'!H61,IF('NH13-14'!I61&gt;='NH13-14'!H61,'NH13-14'!I61,'NH13-14'!H61))</f>
        <v/>
      </c>
      <c r="H61" s="485" t="str">
        <f>IF('NH13-14'!K61="",'NH13-14'!J61,IF('NH13-14'!K61&gt;='NH13-14'!J61,'NH13-14'!K61,'NH13-14'!J61))</f>
        <v/>
      </c>
      <c r="I61" s="485" t="str">
        <f>IF('NH13-14'!M61="",'NH13-14'!L61,IF('NH13-14'!M61&gt;='NH13-14'!L61,'NH13-14'!M61,'NH13-14'!L61))</f>
        <v/>
      </c>
      <c r="J61" s="485" t="str">
        <f>IF('NH13-14'!O61="",'NH13-14'!N61,IF('NH13-14'!O61&gt;='NH13-14'!N61,'NH13-14'!O61,'NH13-14'!N61))</f>
        <v/>
      </c>
      <c r="K61" s="485" t="str">
        <f>IF('NH13-14'!Q61="",'NH13-14'!P61,IF('NH13-14'!Q61&gt;='NH13-14'!P61,'NH13-14'!Q61,'NH13-14'!P61))</f>
        <v/>
      </c>
      <c r="L61" s="485" t="str">
        <f>IF('NH13-14'!S61="",'NH13-14'!R61,IF('NH13-14'!S61&gt;='NH13-14'!R61,'NH13-14'!S61,'NH13-14'!R61))</f>
        <v/>
      </c>
      <c r="M61" s="485" t="str">
        <f>IF('NH13-14'!U61="",'NH13-14'!T61,IF('NH13-14'!U61&gt;='NH13-14'!T61,'NH13-14'!U61,'NH13-14'!T61))</f>
        <v/>
      </c>
      <c r="N61" s="485" t="str">
        <f>IF('NH13-14'!W61="",'NH13-14'!V61,IF('NH13-14'!W61&gt;='NH13-14'!V61,'NH13-14'!W61,'NH13-14'!V61))</f>
        <v/>
      </c>
      <c r="O61" s="485" t="str">
        <f>IF('NH13-14'!Y61="",'NH13-14'!X61,IF('NH13-14'!Y61&gt;='NH13-14'!X61,'NH13-14'!Y61,'NH13-14'!X61))</f>
        <v/>
      </c>
      <c r="P61" s="485" t="str">
        <f>IF('NH13-14'!AA61="",'NH13-14'!Z61,IF('NH13-14'!AA61&gt;='NH13-14'!Z61,'NH13-14'!AA61,'NH13-14'!Z61))</f>
        <v/>
      </c>
      <c r="Q61" s="485" t="str">
        <f>IF('NH13-14'!AC61="",'NH13-14'!AB61,IF('NH13-14'!AC61&gt;='NH13-14'!AB61,'NH13-14'!AC61,'NH13-14'!AB61))</f>
        <v/>
      </c>
      <c r="R61" s="485" t="str">
        <f>IF('NH13-14'!AE61="",'NH13-14'!AD61,IF('NH13-14'!AE61&gt;='NH13-14'!AD61,'NH13-14'!AE61,'NH13-14'!AD61))</f>
        <v/>
      </c>
      <c r="S61" s="485" t="str">
        <f>IF('NH13-14'!AG61="",'NH13-14'!AF61,IF('NH13-14'!AG61&gt;='NH13-14'!AF61,'NH13-14'!AG61,'NH13-14'!AF61))</f>
        <v/>
      </c>
      <c r="T61" s="485" t="str">
        <f>IF('NH13-14'!AI61="",'NH13-14'!AH61,IF('NH13-14'!AI61&gt;='NH13-14'!AH61,'NH13-14'!AI61,'NH13-14'!AH61))</f>
        <v/>
      </c>
      <c r="U61" s="485" t="str">
        <f>IF('NH13-14'!AK61="",'NH13-14'!AJ61,IF('NH13-14'!AK61&gt;='NH13-14'!AJ61,'NH13-14'!AK61,'NH13-14'!AJ61))</f>
        <v/>
      </c>
      <c r="V61" s="485" t="str">
        <f>IF('NH13-14'!AM61="",'NH13-14'!AL61,IF('NH13-14'!AM61&gt;='NH13-14'!AL61,'NH13-14'!AM61,'NH13-14'!AL61))</f>
        <v/>
      </c>
      <c r="W61" s="485" t="str">
        <f>IF('NH13-14'!AO61="",'NH13-14'!AN61,IF('NH13-14'!AO61&gt;='NH13-14'!AN61,'NH13-14'!AO61,'NH13-14'!AN61))</f>
        <v/>
      </c>
      <c r="X61" s="485" t="str">
        <f>IF('NH13-14'!AQ61="",'NH13-14'!AP61,IF('NH13-14'!AQ61&gt;='NH13-14'!AP61,'NH13-14'!AQ61,'NH13-14'!AP61))</f>
        <v/>
      </c>
      <c r="Y61" s="485" t="str">
        <f>IF('NH13-14'!AS61="",'NH13-14'!AR61,IF('NH13-14'!AS61&gt;='NH13-14'!AR61,'NH13-14'!AS61,'NH13-14'!AR61))</f>
        <v/>
      </c>
      <c r="Z61" s="485" t="str">
        <f>IF('NH13-14'!AU61="",'NH13-14'!AT61,IF('NH13-14'!AU61&gt;='NH13-14'!AT61,'NH13-14'!AU61,'NH13-14'!AT61))</f>
        <v/>
      </c>
      <c r="AA61" s="485" t="str">
        <f>IF('NH13-14'!AW61="",'NH13-14'!AV61,IF('NH13-14'!AW61&gt;='NH13-14'!AV61,'NH13-14'!AW61,'NH13-14'!AV61))</f>
        <v/>
      </c>
      <c r="AB61" s="485" t="str">
        <f>IF('NH13-14'!AY61="",'NH13-14'!AX61,IF('NH13-14'!AY61&gt;='NH13-14'!AX61,'NH13-14'!AY61,'NH13-14'!AX61))</f>
        <v/>
      </c>
      <c r="AC61" s="485" t="str">
        <f>IF('NH13-14'!BA61="",'NH13-14'!AZ61,IF('NH13-14'!BA61&gt;='NH13-14'!AZ61,'NH13-14'!BA61,'NH13-14'!AZ61))</f>
        <v/>
      </c>
      <c r="AD61" s="486" t="str">
        <f>IF('NH13-14'!B61="","",ROUND(SUMPRODUCT(G61:AC61,$G$7:$AC$7)/SUMIF(G61:AC61,"&gt;=0",$G$7:$AC$7),2))</f>
        <v/>
      </c>
      <c r="AE61" s="487" t="str">
        <f t="shared" si="50"/>
        <v/>
      </c>
      <c r="AF61" s="488" t="str">
        <f t="shared" si="51"/>
        <v/>
      </c>
      <c r="AG61" s="488" t="str">
        <f t="shared" si="52"/>
        <v/>
      </c>
      <c r="AH61" s="488" t="str">
        <f t="shared" si="53"/>
        <v/>
      </c>
      <c r="AI61" s="488" t="str">
        <f t="shared" si="54"/>
        <v/>
      </c>
      <c r="AJ61" s="488" t="str">
        <f t="shared" si="55"/>
        <v/>
      </c>
      <c r="AK61" s="488" t="str">
        <f t="shared" si="56"/>
        <v/>
      </c>
      <c r="AL61" s="488" t="str">
        <f t="shared" si="57"/>
        <v/>
      </c>
      <c r="AM61" s="488" t="str">
        <f t="shared" si="58"/>
        <v/>
      </c>
      <c r="AN61" s="488" t="str">
        <f t="shared" si="59"/>
        <v/>
      </c>
      <c r="AO61" s="488" t="str">
        <f t="shared" si="60"/>
        <v/>
      </c>
      <c r="AP61" s="488" t="str">
        <f t="shared" si="61"/>
        <v/>
      </c>
      <c r="AQ61" s="488" t="str">
        <f t="shared" si="62"/>
        <v/>
      </c>
      <c r="AR61" s="488" t="str">
        <f t="shared" si="63"/>
        <v/>
      </c>
      <c r="AS61" s="488" t="str">
        <f t="shared" si="64"/>
        <v/>
      </c>
      <c r="AT61" s="488" t="str">
        <f t="shared" si="65"/>
        <v/>
      </c>
      <c r="AU61" s="488" t="str">
        <f t="shared" si="66"/>
        <v/>
      </c>
      <c r="AV61" s="488" t="str">
        <f t="shared" si="67"/>
        <v/>
      </c>
      <c r="AW61" s="488" t="str">
        <f t="shared" si="68"/>
        <v/>
      </c>
      <c r="AX61" s="488" t="str">
        <f t="shared" si="69"/>
        <v/>
      </c>
      <c r="AY61" s="488" t="str">
        <f t="shared" si="70"/>
        <v/>
      </c>
      <c r="AZ61" s="488" t="str">
        <f t="shared" si="71"/>
        <v/>
      </c>
      <c r="BA61" s="488" t="str">
        <f t="shared" si="26"/>
        <v/>
      </c>
      <c r="BB61" s="486" t="str">
        <f>IF('NH13-14'!B61="","",ROUND(SUMPRODUCT(AE61:BA61,$AE$7:$BA$7)/SUMIF(AE61:BA61,"&gt;=1",$AE$7:$BA$7),2))</f>
        <v/>
      </c>
      <c r="BC61" s="527" t="str">
        <f t="shared" si="27"/>
        <v/>
      </c>
      <c r="BD61" s="507" t="str">
        <f t="shared" si="28"/>
        <v/>
      </c>
      <c r="BE61" s="507" t="str">
        <f t="shared" si="29"/>
        <v/>
      </c>
      <c r="BF61" s="507" t="str">
        <f t="shared" si="30"/>
        <v/>
      </c>
      <c r="BG61" s="507" t="str">
        <f t="shared" si="31"/>
        <v/>
      </c>
      <c r="BH61" s="507" t="str">
        <f t="shared" si="32"/>
        <v/>
      </c>
      <c r="BI61" s="507" t="str">
        <f t="shared" si="33"/>
        <v/>
      </c>
      <c r="BJ61" s="507" t="str">
        <f t="shared" si="34"/>
        <v/>
      </c>
      <c r="BK61" s="507" t="str">
        <f t="shared" si="35"/>
        <v/>
      </c>
      <c r="BL61" s="507" t="str">
        <f t="shared" si="36"/>
        <v/>
      </c>
      <c r="BM61" s="507" t="str">
        <f t="shared" si="37"/>
        <v/>
      </c>
      <c r="BN61" s="507" t="str">
        <f t="shared" si="38"/>
        <v/>
      </c>
      <c r="BO61" s="507" t="str">
        <f t="shared" si="39"/>
        <v/>
      </c>
      <c r="BP61" s="507" t="str">
        <f t="shared" si="40"/>
        <v/>
      </c>
      <c r="BQ61" s="507" t="str">
        <f t="shared" si="41"/>
        <v/>
      </c>
      <c r="BR61" s="507" t="str">
        <f t="shared" si="42"/>
        <v/>
      </c>
      <c r="BS61" s="507" t="str">
        <f t="shared" si="43"/>
        <v/>
      </c>
      <c r="BT61" s="507" t="str">
        <f t="shared" si="44"/>
        <v/>
      </c>
      <c r="BU61" s="507" t="str">
        <f t="shared" si="45"/>
        <v/>
      </c>
      <c r="BV61" s="507" t="str">
        <f t="shared" si="46"/>
        <v/>
      </c>
      <c r="BW61" s="507" t="str">
        <f t="shared" si="47"/>
        <v/>
      </c>
      <c r="BX61" s="507" t="str">
        <f t="shared" si="48"/>
        <v/>
      </c>
      <c r="BY61" s="507" t="str">
        <f t="shared" si="49"/>
        <v/>
      </c>
    </row>
    <row r="62" spans="1:77">
      <c r="A62" s="481" t="str">
        <f>IF('NH13-14'!A62="","",'NH13-14'!A62)</f>
        <v/>
      </c>
      <c r="B62" s="482" t="str">
        <f>IF('NH13-14'!B62="","",'NH13-14'!B62)</f>
        <v/>
      </c>
      <c r="C62" s="490" t="str">
        <f t="shared" si="2"/>
        <v/>
      </c>
      <c r="D62" s="490" t="str">
        <f t="shared" si="3"/>
        <v/>
      </c>
      <c r="E62" s="483" t="str">
        <f>IF('NH13-14'!C62="","",'NH13-14'!C62)</f>
        <v/>
      </c>
      <c r="F62" s="484" t="str">
        <f>IF('NH13-14'!D62="","",'NH13-14'!D62)</f>
        <v/>
      </c>
      <c r="G62" s="485" t="str">
        <f>IF('NH13-14'!I62="",'NH13-14'!H62,IF('NH13-14'!I62&gt;='NH13-14'!H62,'NH13-14'!I62,'NH13-14'!H62))</f>
        <v/>
      </c>
      <c r="H62" s="485" t="str">
        <f>IF('NH13-14'!K62="",'NH13-14'!J62,IF('NH13-14'!K62&gt;='NH13-14'!J62,'NH13-14'!K62,'NH13-14'!J62))</f>
        <v/>
      </c>
      <c r="I62" s="485" t="str">
        <f>IF('NH13-14'!M62="",'NH13-14'!L62,IF('NH13-14'!M62&gt;='NH13-14'!L62,'NH13-14'!M62,'NH13-14'!L62))</f>
        <v/>
      </c>
      <c r="J62" s="485" t="str">
        <f>IF('NH13-14'!O62="",'NH13-14'!N62,IF('NH13-14'!O62&gt;='NH13-14'!N62,'NH13-14'!O62,'NH13-14'!N62))</f>
        <v/>
      </c>
      <c r="K62" s="485" t="str">
        <f>IF('NH13-14'!Q62="",'NH13-14'!P62,IF('NH13-14'!Q62&gt;='NH13-14'!P62,'NH13-14'!Q62,'NH13-14'!P62))</f>
        <v/>
      </c>
      <c r="L62" s="485" t="str">
        <f>IF('NH13-14'!S62="",'NH13-14'!R62,IF('NH13-14'!S62&gt;='NH13-14'!R62,'NH13-14'!S62,'NH13-14'!R62))</f>
        <v/>
      </c>
      <c r="M62" s="485" t="str">
        <f>IF('NH13-14'!U62="",'NH13-14'!T62,IF('NH13-14'!U62&gt;='NH13-14'!T62,'NH13-14'!U62,'NH13-14'!T62))</f>
        <v/>
      </c>
      <c r="N62" s="485" t="str">
        <f>IF('NH13-14'!W62="",'NH13-14'!V62,IF('NH13-14'!W62&gt;='NH13-14'!V62,'NH13-14'!W62,'NH13-14'!V62))</f>
        <v/>
      </c>
      <c r="O62" s="485" t="str">
        <f>IF('NH13-14'!Y62="",'NH13-14'!X62,IF('NH13-14'!Y62&gt;='NH13-14'!X62,'NH13-14'!Y62,'NH13-14'!X62))</f>
        <v/>
      </c>
      <c r="P62" s="485" t="str">
        <f>IF('NH13-14'!AA62="",'NH13-14'!Z62,IF('NH13-14'!AA62&gt;='NH13-14'!Z62,'NH13-14'!AA62,'NH13-14'!Z62))</f>
        <v/>
      </c>
      <c r="Q62" s="485" t="str">
        <f>IF('NH13-14'!AC62="",'NH13-14'!AB62,IF('NH13-14'!AC62&gt;='NH13-14'!AB62,'NH13-14'!AC62,'NH13-14'!AB62))</f>
        <v/>
      </c>
      <c r="R62" s="485" t="str">
        <f>IF('NH13-14'!AE62="",'NH13-14'!AD62,IF('NH13-14'!AE62&gt;='NH13-14'!AD62,'NH13-14'!AE62,'NH13-14'!AD62))</f>
        <v/>
      </c>
      <c r="S62" s="485" t="str">
        <f>IF('NH13-14'!AG62="",'NH13-14'!AF62,IF('NH13-14'!AG62&gt;='NH13-14'!AF62,'NH13-14'!AG62,'NH13-14'!AF62))</f>
        <v/>
      </c>
      <c r="T62" s="485" t="str">
        <f>IF('NH13-14'!AI62="",'NH13-14'!AH62,IF('NH13-14'!AI62&gt;='NH13-14'!AH62,'NH13-14'!AI62,'NH13-14'!AH62))</f>
        <v/>
      </c>
      <c r="U62" s="485" t="str">
        <f>IF('NH13-14'!AK62="",'NH13-14'!AJ62,IF('NH13-14'!AK62&gt;='NH13-14'!AJ62,'NH13-14'!AK62,'NH13-14'!AJ62))</f>
        <v/>
      </c>
      <c r="V62" s="485" t="str">
        <f>IF('NH13-14'!AM62="",'NH13-14'!AL62,IF('NH13-14'!AM62&gt;='NH13-14'!AL62,'NH13-14'!AM62,'NH13-14'!AL62))</f>
        <v/>
      </c>
      <c r="W62" s="485" t="str">
        <f>IF('NH13-14'!AO62="",'NH13-14'!AN62,IF('NH13-14'!AO62&gt;='NH13-14'!AN62,'NH13-14'!AO62,'NH13-14'!AN62))</f>
        <v/>
      </c>
      <c r="X62" s="485" t="str">
        <f>IF('NH13-14'!AQ62="",'NH13-14'!AP62,IF('NH13-14'!AQ62&gt;='NH13-14'!AP62,'NH13-14'!AQ62,'NH13-14'!AP62))</f>
        <v/>
      </c>
      <c r="Y62" s="485" t="str">
        <f>IF('NH13-14'!AS62="",'NH13-14'!AR62,IF('NH13-14'!AS62&gt;='NH13-14'!AR62,'NH13-14'!AS62,'NH13-14'!AR62))</f>
        <v/>
      </c>
      <c r="Z62" s="485" t="str">
        <f>IF('NH13-14'!AU62="",'NH13-14'!AT62,IF('NH13-14'!AU62&gt;='NH13-14'!AT62,'NH13-14'!AU62,'NH13-14'!AT62))</f>
        <v/>
      </c>
      <c r="AA62" s="485" t="str">
        <f>IF('NH13-14'!AW62="",'NH13-14'!AV62,IF('NH13-14'!AW62&gt;='NH13-14'!AV62,'NH13-14'!AW62,'NH13-14'!AV62))</f>
        <v/>
      </c>
      <c r="AB62" s="485" t="str">
        <f>IF('NH13-14'!AY62="",'NH13-14'!AX62,IF('NH13-14'!AY62&gt;='NH13-14'!AX62,'NH13-14'!AY62,'NH13-14'!AX62))</f>
        <v/>
      </c>
      <c r="AC62" s="485" t="str">
        <f>IF('NH13-14'!BA62="",'NH13-14'!AZ62,IF('NH13-14'!BA62&gt;='NH13-14'!AZ62,'NH13-14'!BA62,'NH13-14'!AZ62))</f>
        <v/>
      </c>
      <c r="AD62" s="486" t="str">
        <f>IF('NH13-14'!B62="","",ROUND(SUMPRODUCT(G62:AC62,$G$7:$AC$7)/SUMIF(G62:AC62,"&gt;=0",$G$7:$AC$7),2))</f>
        <v/>
      </c>
      <c r="AE62" s="487" t="str">
        <f t="shared" si="50"/>
        <v/>
      </c>
      <c r="AF62" s="488" t="str">
        <f t="shared" si="51"/>
        <v/>
      </c>
      <c r="AG62" s="488" t="str">
        <f t="shared" si="52"/>
        <v/>
      </c>
      <c r="AH62" s="488" t="str">
        <f t="shared" si="53"/>
        <v/>
      </c>
      <c r="AI62" s="488" t="str">
        <f t="shared" si="54"/>
        <v/>
      </c>
      <c r="AJ62" s="488" t="str">
        <f t="shared" si="55"/>
        <v/>
      </c>
      <c r="AK62" s="488" t="str">
        <f t="shared" si="56"/>
        <v/>
      </c>
      <c r="AL62" s="488" t="str">
        <f t="shared" si="57"/>
        <v/>
      </c>
      <c r="AM62" s="488" t="str">
        <f t="shared" si="58"/>
        <v/>
      </c>
      <c r="AN62" s="488" t="str">
        <f t="shared" si="59"/>
        <v/>
      </c>
      <c r="AO62" s="488" t="str">
        <f t="shared" si="60"/>
        <v/>
      </c>
      <c r="AP62" s="488" t="str">
        <f t="shared" si="61"/>
        <v/>
      </c>
      <c r="AQ62" s="488" t="str">
        <f t="shared" si="62"/>
        <v/>
      </c>
      <c r="AR62" s="488" t="str">
        <f t="shared" si="63"/>
        <v/>
      </c>
      <c r="AS62" s="488" t="str">
        <f t="shared" si="64"/>
        <v/>
      </c>
      <c r="AT62" s="488" t="str">
        <f t="shared" si="65"/>
        <v/>
      </c>
      <c r="AU62" s="488" t="str">
        <f t="shared" si="66"/>
        <v/>
      </c>
      <c r="AV62" s="488" t="str">
        <f t="shared" si="67"/>
        <v/>
      </c>
      <c r="AW62" s="488" t="str">
        <f t="shared" si="68"/>
        <v/>
      </c>
      <c r="AX62" s="488" t="str">
        <f t="shared" si="69"/>
        <v/>
      </c>
      <c r="AY62" s="488" t="str">
        <f t="shared" si="70"/>
        <v/>
      </c>
      <c r="AZ62" s="488" t="str">
        <f t="shared" si="71"/>
        <v/>
      </c>
      <c r="BA62" s="488" t="str">
        <f t="shared" si="26"/>
        <v/>
      </c>
      <c r="BB62" s="486" t="str">
        <f>IF('NH13-14'!B62="","",ROUND(SUMPRODUCT(AE62:BA62,$AE$7:$BA$7)/SUMIF(AE62:BA62,"&gt;=1",$AE$7:$BA$7),2))</f>
        <v/>
      </c>
      <c r="BC62" s="527" t="str">
        <f t="shared" si="27"/>
        <v/>
      </c>
      <c r="BD62" s="507" t="str">
        <f t="shared" si="28"/>
        <v/>
      </c>
      <c r="BE62" s="507" t="str">
        <f t="shared" si="29"/>
        <v/>
      </c>
      <c r="BF62" s="507" t="str">
        <f t="shared" si="30"/>
        <v/>
      </c>
      <c r="BG62" s="507" t="str">
        <f t="shared" si="31"/>
        <v/>
      </c>
      <c r="BH62" s="507" t="str">
        <f t="shared" si="32"/>
        <v/>
      </c>
      <c r="BI62" s="507" t="str">
        <f t="shared" si="33"/>
        <v/>
      </c>
      <c r="BJ62" s="507" t="str">
        <f t="shared" si="34"/>
        <v/>
      </c>
      <c r="BK62" s="507" t="str">
        <f t="shared" si="35"/>
        <v/>
      </c>
      <c r="BL62" s="507" t="str">
        <f t="shared" si="36"/>
        <v/>
      </c>
      <c r="BM62" s="507" t="str">
        <f t="shared" si="37"/>
        <v/>
      </c>
      <c r="BN62" s="507" t="str">
        <f t="shared" si="38"/>
        <v/>
      </c>
      <c r="BO62" s="507" t="str">
        <f t="shared" si="39"/>
        <v/>
      </c>
      <c r="BP62" s="507" t="str">
        <f t="shared" si="40"/>
        <v/>
      </c>
      <c r="BQ62" s="507" t="str">
        <f t="shared" si="41"/>
        <v/>
      </c>
      <c r="BR62" s="507" t="str">
        <f t="shared" si="42"/>
        <v/>
      </c>
      <c r="BS62" s="507" t="str">
        <f t="shared" si="43"/>
        <v/>
      </c>
      <c r="BT62" s="507" t="str">
        <f t="shared" si="44"/>
        <v/>
      </c>
      <c r="BU62" s="507" t="str">
        <f t="shared" si="45"/>
        <v/>
      </c>
      <c r="BV62" s="507" t="str">
        <f t="shared" si="46"/>
        <v/>
      </c>
      <c r="BW62" s="507" t="str">
        <f t="shared" si="47"/>
        <v/>
      </c>
      <c r="BX62" s="507" t="str">
        <f t="shared" si="48"/>
        <v/>
      </c>
      <c r="BY62" s="507" t="str">
        <f t="shared" si="49"/>
        <v/>
      </c>
    </row>
    <row r="63" spans="1:77">
      <c r="A63" s="481" t="str">
        <f>IF('NH13-14'!A63="","",'NH13-14'!A63)</f>
        <v/>
      </c>
      <c r="B63" s="482" t="str">
        <f>IF('NH13-14'!B63="","",'NH13-14'!B63)</f>
        <v/>
      </c>
      <c r="C63" s="490" t="str">
        <f t="shared" si="2"/>
        <v/>
      </c>
      <c r="D63" s="490" t="str">
        <f t="shared" si="3"/>
        <v/>
      </c>
      <c r="E63" s="483" t="str">
        <f>IF('NH13-14'!C63="","",'NH13-14'!C63)</f>
        <v/>
      </c>
      <c r="F63" s="484" t="str">
        <f>IF('NH13-14'!D63="","",'NH13-14'!D63)</f>
        <v/>
      </c>
      <c r="G63" s="485" t="str">
        <f>IF('NH13-14'!I63="",'NH13-14'!H63,IF('NH13-14'!I63&gt;='NH13-14'!H63,'NH13-14'!I63,'NH13-14'!H63))</f>
        <v/>
      </c>
      <c r="H63" s="485" t="str">
        <f>IF('NH13-14'!K63="",'NH13-14'!J63,IF('NH13-14'!K63&gt;='NH13-14'!J63,'NH13-14'!K63,'NH13-14'!J63))</f>
        <v/>
      </c>
      <c r="I63" s="485" t="str">
        <f>IF('NH13-14'!M63="",'NH13-14'!L63,IF('NH13-14'!M63&gt;='NH13-14'!L63,'NH13-14'!M63,'NH13-14'!L63))</f>
        <v/>
      </c>
      <c r="J63" s="485" t="str">
        <f>IF('NH13-14'!O63="",'NH13-14'!N63,IF('NH13-14'!O63&gt;='NH13-14'!N63,'NH13-14'!O63,'NH13-14'!N63))</f>
        <v/>
      </c>
      <c r="K63" s="485" t="str">
        <f>IF('NH13-14'!Q63="",'NH13-14'!P63,IF('NH13-14'!Q63&gt;='NH13-14'!P63,'NH13-14'!Q63,'NH13-14'!P63))</f>
        <v/>
      </c>
      <c r="L63" s="485" t="str">
        <f>IF('NH13-14'!S63="",'NH13-14'!R63,IF('NH13-14'!S63&gt;='NH13-14'!R63,'NH13-14'!S63,'NH13-14'!R63))</f>
        <v/>
      </c>
      <c r="M63" s="485" t="str">
        <f>IF('NH13-14'!U63="",'NH13-14'!T63,IF('NH13-14'!U63&gt;='NH13-14'!T63,'NH13-14'!U63,'NH13-14'!T63))</f>
        <v/>
      </c>
      <c r="N63" s="485" t="str">
        <f>IF('NH13-14'!W63="",'NH13-14'!V63,IF('NH13-14'!W63&gt;='NH13-14'!V63,'NH13-14'!W63,'NH13-14'!V63))</f>
        <v/>
      </c>
      <c r="O63" s="485" t="str">
        <f>IF('NH13-14'!Y63="",'NH13-14'!X63,IF('NH13-14'!Y63&gt;='NH13-14'!X63,'NH13-14'!Y63,'NH13-14'!X63))</f>
        <v/>
      </c>
      <c r="P63" s="485" t="str">
        <f>IF('NH13-14'!AA63="",'NH13-14'!Z63,IF('NH13-14'!AA63&gt;='NH13-14'!Z63,'NH13-14'!AA63,'NH13-14'!Z63))</f>
        <v/>
      </c>
      <c r="Q63" s="485" t="str">
        <f>IF('NH13-14'!AC63="",'NH13-14'!AB63,IF('NH13-14'!AC63&gt;='NH13-14'!AB63,'NH13-14'!AC63,'NH13-14'!AB63))</f>
        <v/>
      </c>
      <c r="R63" s="485" t="str">
        <f>IF('NH13-14'!AE63="",'NH13-14'!AD63,IF('NH13-14'!AE63&gt;='NH13-14'!AD63,'NH13-14'!AE63,'NH13-14'!AD63))</f>
        <v/>
      </c>
      <c r="S63" s="485" t="str">
        <f>IF('NH13-14'!AG63="",'NH13-14'!AF63,IF('NH13-14'!AG63&gt;='NH13-14'!AF63,'NH13-14'!AG63,'NH13-14'!AF63))</f>
        <v/>
      </c>
      <c r="T63" s="485" t="str">
        <f>IF('NH13-14'!AI63="",'NH13-14'!AH63,IF('NH13-14'!AI63&gt;='NH13-14'!AH63,'NH13-14'!AI63,'NH13-14'!AH63))</f>
        <v/>
      </c>
      <c r="U63" s="485" t="str">
        <f>IF('NH13-14'!AK63="",'NH13-14'!AJ63,IF('NH13-14'!AK63&gt;='NH13-14'!AJ63,'NH13-14'!AK63,'NH13-14'!AJ63))</f>
        <v/>
      </c>
      <c r="V63" s="485" t="str">
        <f>IF('NH13-14'!AM63="",'NH13-14'!AL63,IF('NH13-14'!AM63&gt;='NH13-14'!AL63,'NH13-14'!AM63,'NH13-14'!AL63))</f>
        <v/>
      </c>
      <c r="W63" s="485" t="str">
        <f>IF('NH13-14'!AO63="",'NH13-14'!AN63,IF('NH13-14'!AO63&gt;='NH13-14'!AN63,'NH13-14'!AO63,'NH13-14'!AN63))</f>
        <v/>
      </c>
      <c r="X63" s="485" t="str">
        <f>IF('NH13-14'!AQ63="",'NH13-14'!AP63,IF('NH13-14'!AQ63&gt;='NH13-14'!AP63,'NH13-14'!AQ63,'NH13-14'!AP63))</f>
        <v/>
      </c>
      <c r="Y63" s="485" t="str">
        <f>IF('NH13-14'!AS63="",'NH13-14'!AR63,IF('NH13-14'!AS63&gt;='NH13-14'!AR63,'NH13-14'!AS63,'NH13-14'!AR63))</f>
        <v/>
      </c>
      <c r="Z63" s="485" t="str">
        <f>IF('NH13-14'!AU63="",'NH13-14'!AT63,IF('NH13-14'!AU63&gt;='NH13-14'!AT63,'NH13-14'!AU63,'NH13-14'!AT63))</f>
        <v/>
      </c>
      <c r="AA63" s="485" t="str">
        <f>IF('NH13-14'!AW63="",'NH13-14'!AV63,IF('NH13-14'!AW63&gt;='NH13-14'!AV63,'NH13-14'!AW63,'NH13-14'!AV63))</f>
        <v/>
      </c>
      <c r="AB63" s="485" t="str">
        <f>IF('NH13-14'!AY63="",'NH13-14'!AX63,IF('NH13-14'!AY63&gt;='NH13-14'!AX63,'NH13-14'!AY63,'NH13-14'!AX63))</f>
        <v/>
      </c>
      <c r="AC63" s="485" t="str">
        <f>IF('NH13-14'!BA63="",'NH13-14'!AZ63,IF('NH13-14'!BA63&gt;='NH13-14'!AZ63,'NH13-14'!BA63,'NH13-14'!AZ63))</f>
        <v/>
      </c>
      <c r="AD63" s="486" t="str">
        <f>IF('NH13-14'!B63="","",ROUND(SUMPRODUCT(G63:AC63,$G$7:$AC$7)/SUMIF(G63:AC63,"&gt;=0",$G$7:$AC$7),2))</f>
        <v/>
      </c>
      <c r="AE63" s="487" t="str">
        <f t="shared" si="50"/>
        <v/>
      </c>
      <c r="AF63" s="488" t="str">
        <f t="shared" si="51"/>
        <v/>
      </c>
      <c r="AG63" s="488" t="str">
        <f t="shared" si="52"/>
        <v/>
      </c>
      <c r="AH63" s="488" t="str">
        <f t="shared" si="53"/>
        <v/>
      </c>
      <c r="AI63" s="488" t="str">
        <f t="shared" si="54"/>
        <v/>
      </c>
      <c r="AJ63" s="488" t="str">
        <f t="shared" si="55"/>
        <v/>
      </c>
      <c r="AK63" s="488" t="str">
        <f t="shared" si="56"/>
        <v/>
      </c>
      <c r="AL63" s="488" t="str">
        <f t="shared" si="57"/>
        <v/>
      </c>
      <c r="AM63" s="488" t="str">
        <f t="shared" si="58"/>
        <v/>
      </c>
      <c r="AN63" s="488" t="str">
        <f t="shared" si="59"/>
        <v/>
      </c>
      <c r="AO63" s="488" t="str">
        <f t="shared" si="60"/>
        <v/>
      </c>
      <c r="AP63" s="488" t="str">
        <f t="shared" si="61"/>
        <v/>
      </c>
      <c r="AQ63" s="488" t="str">
        <f t="shared" si="62"/>
        <v/>
      </c>
      <c r="AR63" s="488" t="str">
        <f t="shared" si="63"/>
        <v/>
      </c>
      <c r="AS63" s="488" t="str">
        <f t="shared" si="64"/>
        <v/>
      </c>
      <c r="AT63" s="488" t="str">
        <f t="shared" si="65"/>
        <v/>
      </c>
      <c r="AU63" s="488" t="str">
        <f t="shared" si="66"/>
        <v/>
      </c>
      <c r="AV63" s="488" t="str">
        <f t="shared" si="67"/>
        <v/>
      </c>
      <c r="AW63" s="488" t="str">
        <f t="shared" si="68"/>
        <v/>
      </c>
      <c r="AX63" s="488" t="str">
        <f t="shared" si="69"/>
        <v/>
      </c>
      <c r="AY63" s="488" t="str">
        <f t="shared" si="70"/>
        <v/>
      </c>
      <c r="AZ63" s="488" t="str">
        <f t="shared" si="71"/>
        <v/>
      </c>
      <c r="BA63" s="488" t="str">
        <f t="shared" si="26"/>
        <v/>
      </c>
      <c r="BB63" s="486" t="str">
        <f>IF('NH13-14'!B63="","",ROUND(SUMPRODUCT(AE63:BA63,$AE$7:$BA$7)/SUMIF(AE63:BA63,"&gt;=1",$AE$7:$BA$7),2))</f>
        <v/>
      </c>
      <c r="BC63" s="527" t="str">
        <f t="shared" si="27"/>
        <v/>
      </c>
      <c r="BD63" s="507" t="str">
        <f t="shared" si="28"/>
        <v/>
      </c>
      <c r="BE63" s="507" t="str">
        <f t="shared" si="29"/>
        <v/>
      </c>
      <c r="BF63" s="507" t="str">
        <f t="shared" si="30"/>
        <v/>
      </c>
      <c r="BG63" s="507" t="str">
        <f t="shared" si="31"/>
        <v/>
      </c>
      <c r="BH63" s="507" t="str">
        <f t="shared" si="32"/>
        <v/>
      </c>
      <c r="BI63" s="507" t="str">
        <f t="shared" si="33"/>
        <v/>
      </c>
      <c r="BJ63" s="507" t="str">
        <f t="shared" si="34"/>
        <v/>
      </c>
      <c r="BK63" s="507" t="str">
        <f t="shared" si="35"/>
        <v/>
      </c>
      <c r="BL63" s="507" t="str">
        <f t="shared" si="36"/>
        <v/>
      </c>
      <c r="BM63" s="507" t="str">
        <f t="shared" si="37"/>
        <v/>
      </c>
      <c r="BN63" s="507" t="str">
        <f t="shared" si="38"/>
        <v/>
      </c>
      <c r="BO63" s="507" t="str">
        <f t="shared" si="39"/>
        <v/>
      </c>
      <c r="BP63" s="507" t="str">
        <f t="shared" si="40"/>
        <v/>
      </c>
      <c r="BQ63" s="507" t="str">
        <f t="shared" si="41"/>
        <v/>
      </c>
      <c r="BR63" s="507" t="str">
        <f t="shared" si="42"/>
        <v/>
      </c>
      <c r="BS63" s="507" t="str">
        <f t="shared" si="43"/>
        <v/>
      </c>
      <c r="BT63" s="507" t="str">
        <f t="shared" si="44"/>
        <v/>
      </c>
      <c r="BU63" s="507" t="str">
        <f t="shared" si="45"/>
        <v/>
      </c>
      <c r="BV63" s="507" t="str">
        <f t="shared" si="46"/>
        <v/>
      </c>
      <c r="BW63" s="507" t="str">
        <f t="shared" si="47"/>
        <v/>
      </c>
      <c r="BX63" s="507" t="str">
        <f t="shared" si="48"/>
        <v/>
      </c>
      <c r="BY63" s="507" t="str">
        <f t="shared" si="49"/>
        <v/>
      </c>
    </row>
    <row r="64" spans="1:77">
      <c r="A64" s="481" t="str">
        <f>IF('NH13-14'!A64="","",'NH13-14'!A64)</f>
        <v/>
      </c>
      <c r="B64" s="482" t="str">
        <f>IF('NH13-14'!B64="","",'NH13-14'!B64)</f>
        <v/>
      </c>
      <c r="C64" s="490" t="str">
        <f t="shared" si="2"/>
        <v/>
      </c>
      <c r="D64" s="490" t="str">
        <f t="shared" si="3"/>
        <v/>
      </c>
      <c r="E64" s="483" t="str">
        <f>IF('NH13-14'!C64="","",'NH13-14'!C64)</f>
        <v/>
      </c>
      <c r="F64" s="484" t="str">
        <f>IF('NH13-14'!D64="","",'NH13-14'!D64)</f>
        <v/>
      </c>
      <c r="G64" s="485" t="str">
        <f>IF('NH13-14'!I64="",'NH13-14'!H64,IF('NH13-14'!I64&gt;='NH13-14'!H64,'NH13-14'!I64,'NH13-14'!H64))</f>
        <v/>
      </c>
      <c r="H64" s="485" t="str">
        <f>IF('NH13-14'!K64="",'NH13-14'!J64,IF('NH13-14'!K64&gt;='NH13-14'!J64,'NH13-14'!K64,'NH13-14'!J64))</f>
        <v/>
      </c>
      <c r="I64" s="485" t="str">
        <f>IF('NH13-14'!M64="",'NH13-14'!L64,IF('NH13-14'!M64&gt;='NH13-14'!L64,'NH13-14'!M64,'NH13-14'!L64))</f>
        <v/>
      </c>
      <c r="J64" s="485" t="str">
        <f>IF('NH13-14'!O64="",'NH13-14'!N64,IF('NH13-14'!O64&gt;='NH13-14'!N64,'NH13-14'!O64,'NH13-14'!N64))</f>
        <v/>
      </c>
      <c r="K64" s="485" t="str">
        <f>IF('NH13-14'!Q64="",'NH13-14'!P64,IF('NH13-14'!Q64&gt;='NH13-14'!P64,'NH13-14'!Q64,'NH13-14'!P64))</f>
        <v/>
      </c>
      <c r="L64" s="485" t="str">
        <f>IF('NH13-14'!S64="",'NH13-14'!R64,IF('NH13-14'!S64&gt;='NH13-14'!R64,'NH13-14'!S64,'NH13-14'!R64))</f>
        <v/>
      </c>
      <c r="M64" s="485" t="str">
        <f>IF('NH13-14'!U64="",'NH13-14'!T64,IF('NH13-14'!U64&gt;='NH13-14'!T64,'NH13-14'!U64,'NH13-14'!T64))</f>
        <v/>
      </c>
      <c r="N64" s="485" t="str">
        <f>IF('NH13-14'!W64="",'NH13-14'!V64,IF('NH13-14'!W64&gt;='NH13-14'!V64,'NH13-14'!W64,'NH13-14'!V64))</f>
        <v/>
      </c>
      <c r="O64" s="485" t="str">
        <f>IF('NH13-14'!Y64="",'NH13-14'!X64,IF('NH13-14'!Y64&gt;='NH13-14'!X64,'NH13-14'!Y64,'NH13-14'!X64))</f>
        <v/>
      </c>
      <c r="P64" s="485" t="str">
        <f>IF('NH13-14'!AA64="",'NH13-14'!Z64,IF('NH13-14'!AA64&gt;='NH13-14'!Z64,'NH13-14'!AA64,'NH13-14'!Z64))</f>
        <v/>
      </c>
      <c r="Q64" s="485" t="str">
        <f>IF('NH13-14'!AC64="",'NH13-14'!AB64,IF('NH13-14'!AC64&gt;='NH13-14'!AB64,'NH13-14'!AC64,'NH13-14'!AB64))</f>
        <v/>
      </c>
      <c r="R64" s="485" t="str">
        <f>IF('NH13-14'!AE64="",'NH13-14'!AD64,IF('NH13-14'!AE64&gt;='NH13-14'!AD64,'NH13-14'!AE64,'NH13-14'!AD64))</f>
        <v/>
      </c>
      <c r="S64" s="485" t="str">
        <f>IF('NH13-14'!AG64="",'NH13-14'!AF64,IF('NH13-14'!AG64&gt;='NH13-14'!AF64,'NH13-14'!AG64,'NH13-14'!AF64))</f>
        <v/>
      </c>
      <c r="T64" s="485" t="str">
        <f>IF('NH13-14'!AI64="",'NH13-14'!AH64,IF('NH13-14'!AI64&gt;='NH13-14'!AH64,'NH13-14'!AI64,'NH13-14'!AH64))</f>
        <v/>
      </c>
      <c r="U64" s="485" t="str">
        <f>IF('NH13-14'!AK64="",'NH13-14'!AJ64,IF('NH13-14'!AK64&gt;='NH13-14'!AJ64,'NH13-14'!AK64,'NH13-14'!AJ64))</f>
        <v/>
      </c>
      <c r="V64" s="485" t="str">
        <f>IF('NH13-14'!AM64="",'NH13-14'!AL64,IF('NH13-14'!AM64&gt;='NH13-14'!AL64,'NH13-14'!AM64,'NH13-14'!AL64))</f>
        <v/>
      </c>
      <c r="W64" s="485" t="str">
        <f>IF('NH13-14'!AO64="",'NH13-14'!AN64,IF('NH13-14'!AO64&gt;='NH13-14'!AN64,'NH13-14'!AO64,'NH13-14'!AN64))</f>
        <v/>
      </c>
      <c r="X64" s="485" t="str">
        <f>IF('NH13-14'!AQ64="",'NH13-14'!AP64,IF('NH13-14'!AQ64&gt;='NH13-14'!AP64,'NH13-14'!AQ64,'NH13-14'!AP64))</f>
        <v/>
      </c>
      <c r="Y64" s="485" t="str">
        <f>IF('NH13-14'!AS64="",'NH13-14'!AR64,IF('NH13-14'!AS64&gt;='NH13-14'!AR64,'NH13-14'!AS64,'NH13-14'!AR64))</f>
        <v/>
      </c>
      <c r="Z64" s="485" t="str">
        <f>IF('NH13-14'!AU64="",'NH13-14'!AT64,IF('NH13-14'!AU64&gt;='NH13-14'!AT64,'NH13-14'!AU64,'NH13-14'!AT64))</f>
        <v/>
      </c>
      <c r="AA64" s="485" t="str">
        <f>IF('NH13-14'!AW64="",'NH13-14'!AV64,IF('NH13-14'!AW64&gt;='NH13-14'!AV64,'NH13-14'!AW64,'NH13-14'!AV64))</f>
        <v/>
      </c>
      <c r="AB64" s="485" t="str">
        <f>IF('NH13-14'!AY64="",'NH13-14'!AX64,IF('NH13-14'!AY64&gt;='NH13-14'!AX64,'NH13-14'!AY64,'NH13-14'!AX64))</f>
        <v/>
      </c>
      <c r="AC64" s="485" t="str">
        <f>IF('NH13-14'!BA64="",'NH13-14'!AZ64,IF('NH13-14'!BA64&gt;='NH13-14'!AZ64,'NH13-14'!BA64,'NH13-14'!AZ64))</f>
        <v/>
      </c>
      <c r="AD64" s="486" t="str">
        <f>IF('NH13-14'!B64="","",ROUND(SUMPRODUCT(G64:AC64,$G$7:$AC$7)/SUMIF(G64:AC64,"&gt;=0",$G$7:$AC$7),2))</f>
        <v/>
      </c>
      <c r="AE64" s="487" t="str">
        <f t="shared" si="50"/>
        <v/>
      </c>
      <c r="AF64" s="488" t="str">
        <f t="shared" si="51"/>
        <v/>
      </c>
      <c r="AG64" s="488" t="str">
        <f t="shared" si="52"/>
        <v/>
      </c>
      <c r="AH64" s="488" t="str">
        <f t="shared" si="53"/>
        <v/>
      </c>
      <c r="AI64" s="488" t="str">
        <f t="shared" si="54"/>
        <v/>
      </c>
      <c r="AJ64" s="488" t="str">
        <f t="shared" si="55"/>
        <v/>
      </c>
      <c r="AK64" s="488" t="str">
        <f t="shared" si="56"/>
        <v/>
      </c>
      <c r="AL64" s="488" t="str">
        <f t="shared" si="57"/>
        <v/>
      </c>
      <c r="AM64" s="488" t="str">
        <f t="shared" si="58"/>
        <v/>
      </c>
      <c r="AN64" s="488" t="str">
        <f t="shared" si="59"/>
        <v/>
      </c>
      <c r="AO64" s="488" t="str">
        <f t="shared" si="60"/>
        <v/>
      </c>
      <c r="AP64" s="488" t="str">
        <f t="shared" si="61"/>
        <v/>
      </c>
      <c r="AQ64" s="488" t="str">
        <f t="shared" si="62"/>
        <v/>
      </c>
      <c r="AR64" s="488" t="str">
        <f t="shared" si="63"/>
        <v/>
      </c>
      <c r="AS64" s="488" t="str">
        <f t="shared" si="64"/>
        <v/>
      </c>
      <c r="AT64" s="488" t="str">
        <f t="shared" si="65"/>
        <v/>
      </c>
      <c r="AU64" s="488" t="str">
        <f t="shared" si="66"/>
        <v/>
      </c>
      <c r="AV64" s="488" t="str">
        <f t="shared" si="67"/>
        <v/>
      </c>
      <c r="AW64" s="488" t="str">
        <f t="shared" si="68"/>
        <v/>
      </c>
      <c r="AX64" s="488" t="str">
        <f t="shared" si="69"/>
        <v/>
      </c>
      <c r="AY64" s="488" t="str">
        <f t="shared" si="70"/>
        <v/>
      </c>
      <c r="AZ64" s="488" t="str">
        <f t="shared" si="71"/>
        <v/>
      </c>
      <c r="BA64" s="488" t="str">
        <f t="shared" si="26"/>
        <v/>
      </c>
      <c r="BB64" s="486" t="str">
        <f>IF('NH13-14'!B64="","",ROUND(SUMPRODUCT(AE64:BA64,$AE$7:$BA$7)/SUMIF(AE64:BA64,"&gt;=1",$AE$7:$BA$7),2))</f>
        <v/>
      </c>
      <c r="BC64" s="527" t="str">
        <f t="shared" si="27"/>
        <v/>
      </c>
      <c r="BD64" s="507" t="str">
        <f t="shared" si="28"/>
        <v/>
      </c>
      <c r="BE64" s="507" t="str">
        <f t="shared" si="29"/>
        <v/>
      </c>
      <c r="BF64" s="507" t="str">
        <f t="shared" si="30"/>
        <v/>
      </c>
      <c r="BG64" s="507" t="str">
        <f t="shared" si="31"/>
        <v/>
      </c>
      <c r="BH64" s="507" t="str">
        <f t="shared" si="32"/>
        <v/>
      </c>
      <c r="BI64" s="507" t="str">
        <f t="shared" si="33"/>
        <v/>
      </c>
      <c r="BJ64" s="507" t="str">
        <f t="shared" si="34"/>
        <v/>
      </c>
      <c r="BK64" s="507" t="str">
        <f t="shared" si="35"/>
        <v/>
      </c>
      <c r="BL64" s="507" t="str">
        <f t="shared" si="36"/>
        <v/>
      </c>
      <c r="BM64" s="507" t="str">
        <f t="shared" si="37"/>
        <v/>
      </c>
      <c r="BN64" s="507" t="str">
        <f t="shared" si="38"/>
        <v/>
      </c>
      <c r="BO64" s="507" t="str">
        <f t="shared" si="39"/>
        <v/>
      </c>
      <c r="BP64" s="507" t="str">
        <f t="shared" si="40"/>
        <v/>
      </c>
      <c r="BQ64" s="507" t="str">
        <f t="shared" si="41"/>
        <v/>
      </c>
      <c r="BR64" s="507" t="str">
        <f t="shared" si="42"/>
        <v/>
      </c>
      <c r="BS64" s="507" t="str">
        <f t="shared" si="43"/>
        <v/>
      </c>
      <c r="BT64" s="507" t="str">
        <f t="shared" si="44"/>
        <v/>
      </c>
      <c r="BU64" s="507" t="str">
        <f t="shared" si="45"/>
        <v/>
      </c>
      <c r="BV64" s="507" t="str">
        <f t="shared" si="46"/>
        <v/>
      </c>
      <c r="BW64" s="507" t="str">
        <f t="shared" si="47"/>
        <v/>
      </c>
      <c r="BX64" s="507" t="str">
        <f t="shared" si="48"/>
        <v/>
      </c>
      <c r="BY64" s="507" t="str">
        <f t="shared" si="49"/>
        <v/>
      </c>
    </row>
    <row r="65" spans="1:77">
      <c r="A65" s="481" t="str">
        <f>IF('NH13-14'!A65="","",'NH13-14'!A65)</f>
        <v/>
      </c>
      <c r="B65" s="482" t="str">
        <f>IF('NH13-14'!B65="","",'NH13-14'!B65)</f>
        <v/>
      </c>
      <c r="C65" s="490" t="str">
        <f t="shared" si="2"/>
        <v/>
      </c>
      <c r="D65" s="490" t="str">
        <f t="shared" si="3"/>
        <v/>
      </c>
      <c r="E65" s="483" t="str">
        <f>IF('NH13-14'!C65="","",'NH13-14'!C65)</f>
        <v/>
      </c>
      <c r="F65" s="484" t="str">
        <f>IF('NH13-14'!D65="","",'NH13-14'!D65)</f>
        <v/>
      </c>
      <c r="G65" s="485" t="str">
        <f>IF('NH13-14'!I65="",'NH13-14'!H65,IF('NH13-14'!I65&gt;='NH13-14'!H65,'NH13-14'!I65,'NH13-14'!H65))</f>
        <v/>
      </c>
      <c r="H65" s="485" t="str">
        <f>IF('NH13-14'!K65="",'NH13-14'!J65,IF('NH13-14'!K65&gt;='NH13-14'!J65,'NH13-14'!K65,'NH13-14'!J65))</f>
        <v/>
      </c>
      <c r="I65" s="485" t="str">
        <f>IF('NH13-14'!M65="",'NH13-14'!L65,IF('NH13-14'!M65&gt;='NH13-14'!L65,'NH13-14'!M65,'NH13-14'!L65))</f>
        <v/>
      </c>
      <c r="J65" s="485" t="str">
        <f>IF('NH13-14'!O65="",'NH13-14'!N65,IF('NH13-14'!O65&gt;='NH13-14'!N65,'NH13-14'!O65,'NH13-14'!N65))</f>
        <v/>
      </c>
      <c r="K65" s="485" t="str">
        <f>IF('NH13-14'!Q65="",'NH13-14'!P65,IF('NH13-14'!Q65&gt;='NH13-14'!P65,'NH13-14'!Q65,'NH13-14'!P65))</f>
        <v/>
      </c>
      <c r="L65" s="485" t="str">
        <f>IF('NH13-14'!S65="",'NH13-14'!R65,IF('NH13-14'!S65&gt;='NH13-14'!R65,'NH13-14'!S65,'NH13-14'!R65))</f>
        <v/>
      </c>
      <c r="M65" s="485" t="str">
        <f>IF('NH13-14'!U65="",'NH13-14'!T65,IF('NH13-14'!U65&gt;='NH13-14'!T65,'NH13-14'!U65,'NH13-14'!T65))</f>
        <v/>
      </c>
      <c r="N65" s="485" t="str">
        <f>IF('NH13-14'!W65="",'NH13-14'!V65,IF('NH13-14'!W65&gt;='NH13-14'!V65,'NH13-14'!W65,'NH13-14'!V65))</f>
        <v/>
      </c>
      <c r="O65" s="485" t="str">
        <f>IF('NH13-14'!Y65="",'NH13-14'!X65,IF('NH13-14'!Y65&gt;='NH13-14'!X65,'NH13-14'!Y65,'NH13-14'!X65))</f>
        <v/>
      </c>
      <c r="P65" s="485" t="str">
        <f>IF('NH13-14'!AA65="",'NH13-14'!Z65,IF('NH13-14'!AA65&gt;='NH13-14'!Z65,'NH13-14'!AA65,'NH13-14'!Z65))</f>
        <v/>
      </c>
      <c r="Q65" s="485" t="str">
        <f>IF('NH13-14'!AC65="",'NH13-14'!AB65,IF('NH13-14'!AC65&gt;='NH13-14'!AB65,'NH13-14'!AC65,'NH13-14'!AB65))</f>
        <v/>
      </c>
      <c r="R65" s="485" t="str">
        <f>IF('NH13-14'!AE65="",'NH13-14'!AD65,IF('NH13-14'!AE65&gt;='NH13-14'!AD65,'NH13-14'!AE65,'NH13-14'!AD65))</f>
        <v/>
      </c>
      <c r="S65" s="485" t="str">
        <f>IF('NH13-14'!AG65="",'NH13-14'!AF65,IF('NH13-14'!AG65&gt;='NH13-14'!AF65,'NH13-14'!AG65,'NH13-14'!AF65))</f>
        <v/>
      </c>
      <c r="T65" s="485" t="str">
        <f>IF('NH13-14'!AI65="",'NH13-14'!AH65,IF('NH13-14'!AI65&gt;='NH13-14'!AH65,'NH13-14'!AI65,'NH13-14'!AH65))</f>
        <v/>
      </c>
      <c r="U65" s="485" t="str">
        <f>IF('NH13-14'!AK65="",'NH13-14'!AJ65,IF('NH13-14'!AK65&gt;='NH13-14'!AJ65,'NH13-14'!AK65,'NH13-14'!AJ65))</f>
        <v/>
      </c>
      <c r="V65" s="485" t="str">
        <f>IF('NH13-14'!AM65="",'NH13-14'!AL65,IF('NH13-14'!AM65&gt;='NH13-14'!AL65,'NH13-14'!AM65,'NH13-14'!AL65))</f>
        <v/>
      </c>
      <c r="W65" s="485" t="str">
        <f>IF('NH13-14'!AO65="",'NH13-14'!AN65,IF('NH13-14'!AO65&gt;='NH13-14'!AN65,'NH13-14'!AO65,'NH13-14'!AN65))</f>
        <v/>
      </c>
      <c r="X65" s="485" t="str">
        <f>IF('NH13-14'!AQ65="",'NH13-14'!AP65,IF('NH13-14'!AQ65&gt;='NH13-14'!AP65,'NH13-14'!AQ65,'NH13-14'!AP65))</f>
        <v/>
      </c>
      <c r="Y65" s="485" t="str">
        <f>IF('NH13-14'!AS65="",'NH13-14'!AR65,IF('NH13-14'!AS65&gt;='NH13-14'!AR65,'NH13-14'!AS65,'NH13-14'!AR65))</f>
        <v/>
      </c>
      <c r="Z65" s="485" t="str">
        <f>IF('NH13-14'!AU65="",'NH13-14'!AT65,IF('NH13-14'!AU65&gt;='NH13-14'!AT65,'NH13-14'!AU65,'NH13-14'!AT65))</f>
        <v/>
      </c>
      <c r="AA65" s="485" t="str">
        <f>IF('NH13-14'!AW65="",'NH13-14'!AV65,IF('NH13-14'!AW65&gt;='NH13-14'!AV65,'NH13-14'!AW65,'NH13-14'!AV65))</f>
        <v/>
      </c>
      <c r="AB65" s="485" t="str">
        <f>IF('NH13-14'!AY65="",'NH13-14'!AX65,IF('NH13-14'!AY65&gt;='NH13-14'!AX65,'NH13-14'!AY65,'NH13-14'!AX65))</f>
        <v/>
      </c>
      <c r="AC65" s="485" t="str">
        <f>IF('NH13-14'!BA65="",'NH13-14'!AZ65,IF('NH13-14'!BA65&gt;='NH13-14'!AZ65,'NH13-14'!BA65,'NH13-14'!AZ65))</f>
        <v/>
      </c>
      <c r="AD65" s="486" t="str">
        <f>IF('NH13-14'!B65="","",ROUND(SUMPRODUCT(G65:AC65,$G$7:$AC$7)/SUMIF(G65:AC65,"&gt;=0",$G$7:$AC$7),2))</f>
        <v/>
      </c>
      <c r="AE65" s="487" t="str">
        <f t="shared" si="50"/>
        <v/>
      </c>
      <c r="AF65" s="488" t="str">
        <f t="shared" si="51"/>
        <v/>
      </c>
      <c r="AG65" s="488" t="str">
        <f t="shared" si="52"/>
        <v/>
      </c>
      <c r="AH65" s="488" t="str">
        <f t="shared" si="53"/>
        <v/>
      </c>
      <c r="AI65" s="488" t="str">
        <f t="shared" si="54"/>
        <v/>
      </c>
      <c r="AJ65" s="488" t="str">
        <f t="shared" si="55"/>
        <v/>
      </c>
      <c r="AK65" s="488" t="str">
        <f t="shared" si="56"/>
        <v/>
      </c>
      <c r="AL65" s="488" t="str">
        <f t="shared" si="57"/>
        <v/>
      </c>
      <c r="AM65" s="488" t="str">
        <f t="shared" si="58"/>
        <v/>
      </c>
      <c r="AN65" s="488" t="str">
        <f t="shared" si="59"/>
        <v/>
      </c>
      <c r="AO65" s="488" t="str">
        <f t="shared" si="60"/>
        <v/>
      </c>
      <c r="AP65" s="488" t="str">
        <f t="shared" si="61"/>
        <v/>
      </c>
      <c r="AQ65" s="488" t="str">
        <f t="shared" si="62"/>
        <v/>
      </c>
      <c r="AR65" s="488" t="str">
        <f t="shared" si="63"/>
        <v/>
      </c>
      <c r="AS65" s="488" t="str">
        <f t="shared" si="64"/>
        <v/>
      </c>
      <c r="AT65" s="488" t="str">
        <f t="shared" si="65"/>
        <v/>
      </c>
      <c r="AU65" s="488" t="str">
        <f t="shared" si="66"/>
        <v/>
      </c>
      <c r="AV65" s="488" t="str">
        <f t="shared" si="67"/>
        <v/>
      </c>
      <c r="AW65" s="488" t="str">
        <f t="shared" si="68"/>
        <v/>
      </c>
      <c r="AX65" s="488" t="str">
        <f t="shared" si="69"/>
        <v/>
      </c>
      <c r="AY65" s="488" t="str">
        <f t="shared" si="70"/>
        <v/>
      </c>
      <c r="AZ65" s="488" t="str">
        <f t="shared" si="71"/>
        <v/>
      </c>
      <c r="BA65" s="488" t="str">
        <f t="shared" si="26"/>
        <v/>
      </c>
      <c r="BB65" s="486" t="str">
        <f>IF('NH13-14'!B65="","",ROUND(SUMPRODUCT(AE65:BA65,$AE$7:$BA$7)/SUMIF(AE65:BA65,"&gt;=1",$AE$7:$BA$7),2))</f>
        <v/>
      </c>
      <c r="BC65" s="527" t="str">
        <f t="shared" si="27"/>
        <v/>
      </c>
      <c r="BD65" s="507" t="str">
        <f t="shared" si="28"/>
        <v/>
      </c>
      <c r="BE65" s="507" t="str">
        <f t="shared" si="29"/>
        <v/>
      </c>
      <c r="BF65" s="507" t="str">
        <f t="shared" si="30"/>
        <v/>
      </c>
      <c r="BG65" s="507" t="str">
        <f t="shared" si="31"/>
        <v/>
      </c>
      <c r="BH65" s="507" t="str">
        <f t="shared" si="32"/>
        <v/>
      </c>
      <c r="BI65" s="507" t="str">
        <f t="shared" si="33"/>
        <v/>
      </c>
      <c r="BJ65" s="507" t="str">
        <f t="shared" si="34"/>
        <v/>
      </c>
      <c r="BK65" s="507" t="str">
        <f t="shared" si="35"/>
        <v/>
      </c>
      <c r="BL65" s="507" t="str">
        <f t="shared" si="36"/>
        <v/>
      </c>
      <c r="BM65" s="507" t="str">
        <f t="shared" si="37"/>
        <v/>
      </c>
      <c r="BN65" s="507" t="str">
        <f t="shared" si="38"/>
        <v/>
      </c>
      <c r="BO65" s="507" t="str">
        <f t="shared" si="39"/>
        <v/>
      </c>
      <c r="BP65" s="507" t="str">
        <f t="shared" si="40"/>
        <v/>
      </c>
      <c r="BQ65" s="507" t="str">
        <f t="shared" si="41"/>
        <v/>
      </c>
      <c r="BR65" s="507" t="str">
        <f t="shared" si="42"/>
        <v/>
      </c>
      <c r="BS65" s="507" t="str">
        <f t="shared" si="43"/>
        <v/>
      </c>
      <c r="BT65" s="507" t="str">
        <f t="shared" si="44"/>
        <v/>
      </c>
      <c r="BU65" s="507" t="str">
        <f t="shared" si="45"/>
        <v/>
      </c>
      <c r="BV65" s="507" t="str">
        <f t="shared" si="46"/>
        <v/>
      </c>
      <c r="BW65" s="507" t="str">
        <f t="shared" si="47"/>
        <v/>
      </c>
      <c r="BX65" s="507" t="str">
        <f t="shared" si="48"/>
        <v/>
      </c>
      <c r="BY65" s="507" t="str">
        <f t="shared" si="49"/>
        <v/>
      </c>
    </row>
    <row r="66" spans="1:77">
      <c r="A66" s="481" t="str">
        <f>IF('NH13-14'!A66="","",'NH13-14'!A66)</f>
        <v/>
      </c>
      <c r="B66" s="482" t="str">
        <f>IF('NH13-14'!B66="","",'NH13-14'!B66)</f>
        <v/>
      </c>
      <c r="C66" s="490" t="str">
        <f t="shared" si="2"/>
        <v/>
      </c>
      <c r="D66" s="490" t="str">
        <f t="shared" si="3"/>
        <v/>
      </c>
      <c r="E66" s="483" t="str">
        <f>IF('NH13-14'!C66="","",'NH13-14'!C66)</f>
        <v/>
      </c>
      <c r="F66" s="484" t="str">
        <f>IF('NH13-14'!D66="","",'NH13-14'!D66)</f>
        <v/>
      </c>
      <c r="G66" s="485" t="str">
        <f>IF('NH13-14'!I66="",'NH13-14'!H66,IF('NH13-14'!I66&gt;='NH13-14'!H66,'NH13-14'!I66,'NH13-14'!H66))</f>
        <v/>
      </c>
      <c r="H66" s="485" t="str">
        <f>IF('NH13-14'!K66="",'NH13-14'!J66,IF('NH13-14'!K66&gt;='NH13-14'!J66,'NH13-14'!K66,'NH13-14'!J66))</f>
        <v/>
      </c>
      <c r="I66" s="485" t="str">
        <f>IF('NH13-14'!M66="",'NH13-14'!L66,IF('NH13-14'!M66&gt;='NH13-14'!L66,'NH13-14'!M66,'NH13-14'!L66))</f>
        <v/>
      </c>
      <c r="J66" s="485" t="str">
        <f>IF('NH13-14'!O66="",'NH13-14'!N66,IF('NH13-14'!O66&gt;='NH13-14'!N66,'NH13-14'!O66,'NH13-14'!N66))</f>
        <v/>
      </c>
      <c r="K66" s="485" t="str">
        <f>IF('NH13-14'!Q66="",'NH13-14'!P66,IF('NH13-14'!Q66&gt;='NH13-14'!P66,'NH13-14'!Q66,'NH13-14'!P66))</f>
        <v/>
      </c>
      <c r="L66" s="485" t="str">
        <f>IF('NH13-14'!S66="",'NH13-14'!R66,IF('NH13-14'!S66&gt;='NH13-14'!R66,'NH13-14'!S66,'NH13-14'!R66))</f>
        <v/>
      </c>
      <c r="M66" s="485" t="str">
        <f>IF('NH13-14'!U66="",'NH13-14'!T66,IF('NH13-14'!U66&gt;='NH13-14'!T66,'NH13-14'!U66,'NH13-14'!T66))</f>
        <v/>
      </c>
      <c r="N66" s="485" t="str">
        <f>IF('NH13-14'!W66="",'NH13-14'!V66,IF('NH13-14'!W66&gt;='NH13-14'!V66,'NH13-14'!W66,'NH13-14'!V66))</f>
        <v/>
      </c>
      <c r="O66" s="485" t="str">
        <f>IF('NH13-14'!Y66="",'NH13-14'!X66,IF('NH13-14'!Y66&gt;='NH13-14'!X66,'NH13-14'!Y66,'NH13-14'!X66))</f>
        <v/>
      </c>
      <c r="P66" s="485" t="str">
        <f>IF('NH13-14'!AA66="",'NH13-14'!Z66,IF('NH13-14'!AA66&gt;='NH13-14'!Z66,'NH13-14'!AA66,'NH13-14'!Z66))</f>
        <v/>
      </c>
      <c r="Q66" s="485" t="str">
        <f>IF('NH13-14'!AC66="",'NH13-14'!AB66,IF('NH13-14'!AC66&gt;='NH13-14'!AB66,'NH13-14'!AC66,'NH13-14'!AB66))</f>
        <v/>
      </c>
      <c r="R66" s="485" t="str">
        <f>IF('NH13-14'!AE66="",'NH13-14'!AD66,IF('NH13-14'!AE66&gt;='NH13-14'!AD66,'NH13-14'!AE66,'NH13-14'!AD66))</f>
        <v/>
      </c>
      <c r="S66" s="485" t="str">
        <f>IF('NH13-14'!AG66="",'NH13-14'!AF66,IF('NH13-14'!AG66&gt;='NH13-14'!AF66,'NH13-14'!AG66,'NH13-14'!AF66))</f>
        <v/>
      </c>
      <c r="T66" s="485" t="str">
        <f>IF('NH13-14'!AI66="",'NH13-14'!AH66,IF('NH13-14'!AI66&gt;='NH13-14'!AH66,'NH13-14'!AI66,'NH13-14'!AH66))</f>
        <v/>
      </c>
      <c r="U66" s="485" t="str">
        <f>IF('NH13-14'!AK66="",'NH13-14'!AJ66,IF('NH13-14'!AK66&gt;='NH13-14'!AJ66,'NH13-14'!AK66,'NH13-14'!AJ66))</f>
        <v/>
      </c>
      <c r="V66" s="485" t="str">
        <f>IF('NH13-14'!AM66="",'NH13-14'!AL66,IF('NH13-14'!AM66&gt;='NH13-14'!AL66,'NH13-14'!AM66,'NH13-14'!AL66))</f>
        <v/>
      </c>
      <c r="W66" s="485" t="str">
        <f>IF('NH13-14'!AO66="",'NH13-14'!AN66,IF('NH13-14'!AO66&gt;='NH13-14'!AN66,'NH13-14'!AO66,'NH13-14'!AN66))</f>
        <v/>
      </c>
      <c r="X66" s="485" t="str">
        <f>IF('NH13-14'!AQ66="",'NH13-14'!AP66,IF('NH13-14'!AQ66&gt;='NH13-14'!AP66,'NH13-14'!AQ66,'NH13-14'!AP66))</f>
        <v/>
      </c>
      <c r="Y66" s="485" t="str">
        <f>IF('NH13-14'!AS66="",'NH13-14'!AR66,IF('NH13-14'!AS66&gt;='NH13-14'!AR66,'NH13-14'!AS66,'NH13-14'!AR66))</f>
        <v/>
      </c>
      <c r="Z66" s="485" t="str">
        <f>IF('NH13-14'!AU66="",'NH13-14'!AT66,IF('NH13-14'!AU66&gt;='NH13-14'!AT66,'NH13-14'!AU66,'NH13-14'!AT66))</f>
        <v/>
      </c>
      <c r="AA66" s="485" t="str">
        <f>IF('NH13-14'!AW66="",'NH13-14'!AV66,IF('NH13-14'!AW66&gt;='NH13-14'!AV66,'NH13-14'!AW66,'NH13-14'!AV66))</f>
        <v/>
      </c>
      <c r="AB66" s="485" t="str">
        <f>IF('NH13-14'!AY66="",'NH13-14'!AX66,IF('NH13-14'!AY66&gt;='NH13-14'!AX66,'NH13-14'!AY66,'NH13-14'!AX66))</f>
        <v/>
      </c>
      <c r="AC66" s="485" t="str">
        <f>IF('NH13-14'!BA66="",'NH13-14'!AZ66,IF('NH13-14'!BA66&gt;='NH13-14'!AZ66,'NH13-14'!BA66,'NH13-14'!AZ66))</f>
        <v/>
      </c>
      <c r="AD66" s="486" t="str">
        <f>IF('NH13-14'!B66="","",ROUND(SUMPRODUCT(G66:AC66,$G$7:$AC$7)/SUMIF(G66:AC66,"&gt;=0",$G$7:$AC$7),2))</f>
        <v/>
      </c>
      <c r="AE66" s="487" t="str">
        <f t="shared" si="50"/>
        <v/>
      </c>
      <c r="AF66" s="488" t="str">
        <f t="shared" si="51"/>
        <v/>
      </c>
      <c r="AG66" s="488" t="str">
        <f t="shared" si="52"/>
        <v/>
      </c>
      <c r="AH66" s="488" t="str">
        <f t="shared" si="53"/>
        <v/>
      </c>
      <c r="AI66" s="488" t="str">
        <f t="shared" si="54"/>
        <v/>
      </c>
      <c r="AJ66" s="488" t="str">
        <f t="shared" si="55"/>
        <v/>
      </c>
      <c r="AK66" s="488" t="str">
        <f t="shared" si="56"/>
        <v/>
      </c>
      <c r="AL66" s="488" t="str">
        <f t="shared" si="57"/>
        <v/>
      </c>
      <c r="AM66" s="488" t="str">
        <f t="shared" si="58"/>
        <v/>
      </c>
      <c r="AN66" s="488" t="str">
        <f t="shared" si="59"/>
        <v/>
      </c>
      <c r="AO66" s="488" t="str">
        <f t="shared" si="60"/>
        <v/>
      </c>
      <c r="AP66" s="488" t="str">
        <f t="shared" si="61"/>
        <v/>
      </c>
      <c r="AQ66" s="488" t="str">
        <f t="shared" si="62"/>
        <v/>
      </c>
      <c r="AR66" s="488" t="str">
        <f t="shared" si="63"/>
        <v/>
      </c>
      <c r="AS66" s="488" t="str">
        <f t="shared" si="64"/>
        <v/>
      </c>
      <c r="AT66" s="488" t="str">
        <f t="shared" si="65"/>
        <v/>
      </c>
      <c r="AU66" s="488" t="str">
        <f t="shared" si="66"/>
        <v/>
      </c>
      <c r="AV66" s="488" t="str">
        <f t="shared" si="67"/>
        <v/>
      </c>
      <c r="AW66" s="488" t="str">
        <f t="shared" si="68"/>
        <v/>
      </c>
      <c r="AX66" s="488" t="str">
        <f t="shared" si="69"/>
        <v/>
      </c>
      <c r="AY66" s="488" t="str">
        <f t="shared" si="70"/>
        <v/>
      </c>
      <c r="AZ66" s="488" t="str">
        <f t="shared" si="71"/>
        <v/>
      </c>
      <c r="BA66" s="488" t="str">
        <f t="shared" si="26"/>
        <v/>
      </c>
      <c r="BB66" s="486" t="str">
        <f>IF('NH13-14'!B66="","",ROUND(SUMPRODUCT(AE66:BA66,$AE$7:$BA$7)/SUMIF(AE66:BA66,"&gt;=1",$AE$7:$BA$7),2))</f>
        <v/>
      </c>
      <c r="BC66" s="527" t="str">
        <f t="shared" si="27"/>
        <v/>
      </c>
      <c r="BD66" s="507" t="str">
        <f t="shared" si="28"/>
        <v/>
      </c>
      <c r="BE66" s="507" t="str">
        <f t="shared" si="29"/>
        <v/>
      </c>
      <c r="BF66" s="507" t="str">
        <f t="shared" si="30"/>
        <v/>
      </c>
      <c r="BG66" s="507" t="str">
        <f t="shared" si="31"/>
        <v/>
      </c>
      <c r="BH66" s="507" t="str">
        <f t="shared" si="32"/>
        <v/>
      </c>
      <c r="BI66" s="507" t="str">
        <f t="shared" si="33"/>
        <v/>
      </c>
      <c r="BJ66" s="507" t="str">
        <f t="shared" si="34"/>
        <v/>
      </c>
      <c r="BK66" s="507" t="str">
        <f t="shared" si="35"/>
        <v/>
      </c>
      <c r="BL66" s="507" t="str">
        <f t="shared" si="36"/>
        <v/>
      </c>
      <c r="BM66" s="507" t="str">
        <f t="shared" si="37"/>
        <v/>
      </c>
      <c r="BN66" s="507" t="str">
        <f t="shared" si="38"/>
        <v/>
      </c>
      <c r="BO66" s="507" t="str">
        <f t="shared" si="39"/>
        <v/>
      </c>
      <c r="BP66" s="507" t="str">
        <f t="shared" si="40"/>
        <v/>
      </c>
      <c r="BQ66" s="507" t="str">
        <f t="shared" si="41"/>
        <v/>
      </c>
      <c r="BR66" s="507" t="str">
        <f t="shared" si="42"/>
        <v/>
      </c>
      <c r="BS66" s="507" t="str">
        <f t="shared" si="43"/>
        <v/>
      </c>
      <c r="BT66" s="507" t="str">
        <f t="shared" si="44"/>
        <v/>
      </c>
      <c r="BU66" s="507" t="str">
        <f t="shared" si="45"/>
        <v/>
      </c>
      <c r="BV66" s="507" t="str">
        <f t="shared" si="46"/>
        <v/>
      </c>
      <c r="BW66" s="507" t="str">
        <f t="shared" si="47"/>
        <v/>
      </c>
      <c r="BX66" s="507" t="str">
        <f t="shared" si="48"/>
        <v/>
      </c>
      <c r="BY66" s="507" t="str">
        <f t="shared" si="49"/>
        <v/>
      </c>
    </row>
    <row r="67" spans="1:77">
      <c r="A67" s="481" t="str">
        <f>IF('NH13-14'!A67="","",'NH13-14'!A67)</f>
        <v/>
      </c>
      <c r="B67" s="482" t="str">
        <f>IF('NH13-14'!B67="","",'NH13-14'!B67)</f>
        <v/>
      </c>
      <c r="C67" s="490" t="str">
        <f t="shared" si="2"/>
        <v/>
      </c>
      <c r="D67" s="490" t="str">
        <f t="shared" si="3"/>
        <v/>
      </c>
      <c r="E67" s="483" t="str">
        <f>IF('NH13-14'!C67="","",'NH13-14'!C67)</f>
        <v/>
      </c>
      <c r="F67" s="484" t="str">
        <f>IF('NH13-14'!D67="","",'NH13-14'!D67)</f>
        <v/>
      </c>
      <c r="G67" s="485" t="str">
        <f>IF('NH13-14'!I67="",'NH13-14'!H67,IF('NH13-14'!I67&gt;='NH13-14'!H67,'NH13-14'!I67,'NH13-14'!H67))</f>
        <v/>
      </c>
      <c r="H67" s="485" t="str">
        <f>IF('NH13-14'!K67="",'NH13-14'!J67,IF('NH13-14'!K67&gt;='NH13-14'!J67,'NH13-14'!K67,'NH13-14'!J67))</f>
        <v/>
      </c>
      <c r="I67" s="485" t="str">
        <f>IF('NH13-14'!M67="",'NH13-14'!L67,IF('NH13-14'!M67&gt;='NH13-14'!L67,'NH13-14'!M67,'NH13-14'!L67))</f>
        <v/>
      </c>
      <c r="J67" s="485" t="str">
        <f>IF('NH13-14'!O67="",'NH13-14'!N67,IF('NH13-14'!O67&gt;='NH13-14'!N67,'NH13-14'!O67,'NH13-14'!N67))</f>
        <v/>
      </c>
      <c r="K67" s="485" t="str">
        <f>IF('NH13-14'!Q67="",'NH13-14'!P67,IF('NH13-14'!Q67&gt;='NH13-14'!P67,'NH13-14'!Q67,'NH13-14'!P67))</f>
        <v/>
      </c>
      <c r="L67" s="485" t="str">
        <f>IF('NH13-14'!S67="",'NH13-14'!R67,IF('NH13-14'!S67&gt;='NH13-14'!R67,'NH13-14'!S67,'NH13-14'!R67))</f>
        <v/>
      </c>
      <c r="M67" s="485" t="str">
        <f>IF('NH13-14'!U67="",'NH13-14'!T67,IF('NH13-14'!U67&gt;='NH13-14'!T67,'NH13-14'!U67,'NH13-14'!T67))</f>
        <v/>
      </c>
      <c r="N67" s="485" t="str">
        <f>IF('NH13-14'!W67="",'NH13-14'!V67,IF('NH13-14'!W67&gt;='NH13-14'!V67,'NH13-14'!W67,'NH13-14'!V67))</f>
        <v/>
      </c>
      <c r="O67" s="485" t="str">
        <f>IF('NH13-14'!Y67="",'NH13-14'!X67,IF('NH13-14'!Y67&gt;='NH13-14'!X67,'NH13-14'!Y67,'NH13-14'!X67))</f>
        <v/>
      </c>
      <c r="P67" s="485" t="str">
        <f>IF('NH13-14'!AA67="",'NH13-14'!Z67,IF('NH13-14'!AA67&gt;='NH13-14'!Z67,'NH13-14'!AA67,'NH13-14'!Z67))</f>
        <v/>
      </c>
      <c r="Q67" s="485" t="str">
        <f>IF('NH13-14'!AC67="",'NH13-14'!AB67,IF('NH13-14'!AC67&gt;='NH13-14'!AB67,'NH13-14'!AC67,'NH13-14'!AB67))</f>
        <v/>
      </c>
      <c r="R67" s="485" t="str">
        <f>IF('NH13-14'!AE67="",'NH13-14'!AD67,IF('NH13-14'!AE67&gt;='NH13-14'!AD67,'NH13-14'!AE67,'NH13-14'!AD67))</f>
        <v/>
      </c>
      <c r="S67" s="485" t="str">
        <f>IF('NH13-14'!AG67="",'NH13-14'!AF67,IF('NH13-14'!AG67&gt;='NH13-14'!AF67,'NH13-14'!AG67,'NH13-14'!AF67))</f>
        <v/>
      </c>
      <c r="T67" s="485" t="str">
        <f>IF('NH13-14'!AI67="",'NH13-14'!AH67,IF('NH13-14'!AI67&gt;='NH13-14'!AH67,'NH13-14'!AI67,'NH13-14'!AH67))</f>
        <v/>
      </c>
      <c r="U67" s="485" t="str">
        <f>IF('NH13-14'!AK67="",'NH13-14'!AJ67,IF('NH13-14'!AK67&gt;='NH13-14'!AJ67,'NH13-14'!AK67,'NH13-14'!AJ67))</f>
        <v/>
      </c>
      <c r="V67" s="485" t="str">
        <f>IF('NH13-14'!AM67="",'NH13-14'!AL67,IF('NH13-14'!AM67&gt;='NH13-14'!AL67,'NH13-14'!AM67,'NH13-14'!AL67))</f>
        <v/>
      </c>
      <c r="W67" s="485" t="str">
        <f>IF('NH13-14'!AO67="",'NH13-14'!AN67,IF('NH13-14'!AO67&gt;='NH13-14'!AN67,'NH13-14'!AO67,'NH13-14'!AN67))</f>
        <v/>
      </c>
      <c r="X67" s="485" t="str">
        <f>IF('NH13-14'!AQ67="",'NH13-14'!AP67,IF('NH13-14'!AQ67&gt;='NH13-14'!AP67,'NH13-14'!AQ67,'NH13-14'!AP67))</f>
        <v/>
      </c>
      <c r="Y67" s="485" t="str">
        <f>IF('NH13-14'!AS67="",'NH13-14'!AR67,IF('NH13-14'!AS67&gt;='NH13-14'!AR67,'NH13-14'!AS67,'NH13-14'!AR67))</f>
        <v/>
      </c>
      <c r="Z67" s="485" t="str">
        <f>IF('NH13-14'!AU67="",'NH13-14'!AT67,IF('NH13-14'!AU67&gt;='NH13-14'!AT67,'NH13-14'!AU67,'NH13-14'!AT67))</f>
        <v/>
      </c>
      <c r="AA67" s="485" t="str">
        <f>IF('NH13-14'!AW67="",'NH13-14'!AV67,IF('NH13-14'!AW67&gt;='NH13-14'!AV67,'NH13-14'!AW67,'NH13-14'!AV67))</f>
        <v/>
      </c>
      <c r="AB67" s="485" t="str">
        <f>IF('NH13-14'!AY67="",'NH13-14'!AX67,IF('NH13-14'!AY67&gt;='NH13-14'!AX67,'NH13-14'!AY67,'NH13-14'!AX67))</f>
        <v/>
      </c>
      <c r="AC67" s="485" t="str">
        <f>IF('NH13-14'!BA67="",'NH13-14'!AZ67,IF('NH13-14'!BA67&gt;='NH13-14'!AZ67,'NH13-14'!BA67,'NH13-14'!AZ67))</f>
        <v/>
      </c>
      <c r="AD67" s="486" t="str">
        <f>IF('NH13-14'!B67="","",ROUND(SUMPRODUCT(G67:AC67,$G$7:$AC$7)/SUMIF(G67:AC67,"&gt;=0",$G$7:$AC$7),2))</f>
        <v/>
      </c>
      <c r="AE67" s="487" t="str">
        <f t="shared" si="50"/>
        <v/>
      </c>
      <c r="AF67" s="488" t="str">
        <f t="shared" si="51"/>
        <v/>
      </c>
      <c r="AG67" s="488" t="str">
        <f t="shared" si="52"/>
        <v/>
      </c>
      <c r="AH67" s="488" t="str">
        <f t="shared" si="53"/>
        <v/>
      </c>
      <c r="AI67" s="488" t="str">
        <f t="shared" si="54"/>
        <v/>
      </c>
      <c r="AJ67" s="488" t="str">
        <f t="shared" si="55"/>
        <v/>
      </c>
      <c r="AK67" s="488" t="str">
        <f t="shared" si="56"/>
        <v/>
      </c>
      <c r="AL67" s="488" t="str">
        <f t="shared" si="57"/>
        <v/>
      </c>
      <c r="AM67" s="488" t="str">
        <f t="shared" si="58"/>
        <v/>
      </c>
      <c r="AN67" s="488" t="str">
        <f t="shared" si="59"/>
        <v/>
      </c>
      <c r="AO67" s="488" t="str">
        <f t="shared" si="60"/>
        <v/>
      </c>
      <c r="AP67" s="488" t="str">
        <f t="shared" si="61"/>
        <v/>
      </c>
      <c r="AQ67" s="488" t="str">
        <f t="shared" si="62"/>
        <v/>
      </c>
      <c r="AR67" s="488" t="str">
        <f t="shared" si="63"/>
        <v/>
      </c>
      <c r="AS67" s="488" t="str">
        <f t="shared" si="64"/>
        <v/>
      </c>
      <c r="AT67" s="488" t="str">
        <f t="shared" si="65"/>
        <v/>
      </c>
      <c r="AU67" s="488" t="str">
        <f t="shared" si="66"/>
        <v/>
      </c>
      <c r="AV67" s="488" t="str">
        <f t="shared" si="67"/>
        <v/>
      </c>
      <c r="AW67" s="488" t="str">
        <f t="shared" si="68"/>
        <v/>
      </c>
      <c r="AX67" s="488" t="str">
        <f t="shared" si="69"/>
        <v/>
      </c>
      <c r="AY67" s="488" t="str">
        <f t="shared" si="70"/>
        <v/>
      </c>
      <c r="AZ67" s="488" t="str">
        <f t="shared" si="71"/>
        <v/>
      </c>
      <c r="BA67" s="488" t="str">
        <f t="shared" si="26"/>
        <v/>
      </c>
      <c r="BB67" s="486" t="str">
        <f>IF('NH13-14'!B67="","",ROUND(SUMPRODUCT(AE67:BA67,$AE$7:$BA$7)/SUMIF(AE67:BA67,"&gt;=1",$AE$7:$BA$7),2))</f>
        <v/>
      </c>
      <c r="BC67" s="527" t="str">
        <f t="shared" si="27"/>
        <v/>
      </c>
      <c r="BD67" s="507" t="str">
        <f t="shared" si="28"/>
        <v/>
      </c>
      <c r="BE67" s="507" t="str">
        <f t="shared" si="29"/>
        <v/>
      </c>
      <c r="BF67" s="507" t="str">
        <f t="shared" si="30"/>
        <v/>
      </c>
      <c r="BG67" s="507" t="str">
        <f t="shared" si="31"/>
        <v/>
      </c>
      <c r="BH67" s="507" t="str">
        <f t="shared" si="32"/>
        <v/>
      </c>
      <c r="BI67" s="507" t="str">
        <f t="shared" si="33"/>
        <v/>
      </c>
      <c r="BJ67" s="507" t="str">
        <f t="shared" si="34"/>
        <v/>
      </c>
      <c r="BK67" s="507" t="str">
        <f t="shared" si="35"/>
        <v/>
      </c>
      <c r="BL67" s="507" t="str">
        <f t="shared" si="36"/>
        <v/>
      </c>
      <c r="BM67" s="507" t="str">
        <f t="shared" si="37"/>
        <v/>
      </c>
      <c r="BN67" s="507" t="str">
        <f t="shared" si="38"/>
        <v/>
      </c>
      <c r="BO67" s="507" t="str">
        <f t="shared" si="39"/>
        <v/>
      </c>
      <c r="BP67" s="507" t="str">
        <f t="shared" si="40"/>
        <v/>
      </c>
      <c r="BQ67" s="507" t="str">
        <f t="shared" si="41"/>
        <v/>
      </c>
      <c r="BR67" s="507" t="str">
        <f t="shared" si="42"/>
        <v/>
      </c>
      <c r="BS67" s="507" t="str">
        <f t="shared" si="43"/>
        <v/>
      </c>
      <c r="BT67" s="507" t="str">
        <f t="shared" si="44"/>
        <v/>
      </c>
      <c r="BU67" s="507" t="str">
        <f t="shared" si="45"/>
        <v/>
      </c>
      <c r="BV67" s="507" t="str">
        <f t="shared" si="46"/>
        <v/>
      </c>
      <c r="BW67" s="507" t="str">
        <f t="shared" si="47"/>
        <v/>
      </c>
      <c r="BX67" s="507" t="str">
        <f t="shared" si="48"/>
        <v/>
      </c>
      <c r="BY67" s="507" t="str">
        <f t="shared" si="49"/>
        <v/>
      </c>
    </row>
    <row r="68" spans="1:77">
      <c r="A68" s="481" t="str">
        <f>IF('NH13-14'!A68="","",'NH13-14'!A68)</f>
        <v/>
      </c>
      <c r="B68" s="482" t="str">
        <f>IF('NH13-14'!B68="","",'NH13-14'!B68)</f>
        <v/>
      </c>
      <c r="C68" s="490" t="str">
        <f t="shared" si="2"/>
        <v/>
      </c>
      <c r="D68" s="490" t="str">
        <f t="shared" si="3"/>
        <v/>
      </c>
      <c r="E68" s="483" t="str">
        <f>IF('NH13-14'!C68="","",'NH13-14'!C68)</f>
        <v/>
      </c>
      <c r="F68" s="484" t="str">
        <f>IF('NH13-14'!D68="","",'NH13-14'!D68)</f>
        <v/>
      </c>
      <c r="G68" s="485" t="str">
        <f>IF('NH13-14'!I68="",'NH13-14'!H68,IF('NH13-14'!I68&gt;='NH13-14'!H68,'NH13-14'!I68,'NH13-14'!H68))</f>
        <v/>
      </c>
      <c r="H68" s="485" t="str">
        <f>IF('NH13-14'!K68="",'NH13-14'!J68,IF('NH13-14'!K68&gt;='NH13-14'!J68,'NH13-14'!K68,'NH13-14'!J68))</f>
        <v/>
      </c>
      <c r="I68" s="485" t="str">
        <f>IF('NH13-14'!M68="",'NH13-14'!L68,IF('NH13-14'!M68&gt;='NH13-14'!L68,'NH13-14'!M68,'NH13-14'!L68))</f>
        <v/>
      </c>
      <c r="J68" s="485" t="str">
        <f>IF('NH13-14'!O68="",'NH13-14'!N68,IF('NH13-14'!O68&gt;='NH13-14'!N68,'NH13-14'!O68,'NH13-14'!N68))</f>
        <v/>
      </c>
      <c r="K68" s="485" t="str">
        <f>IF('NH13-14'!Q68="",'NH13-14'!P68,IF('NH13-14'!Q68&gt;='NH13-14'!P68,'NH13-14'!Q68,'NH13-14'!P68))</f>
        <v/>
      </c>
      <c r="L68" s="485" t="str">
        <f>IF('NH13-14'!S68="",'NH13-14'!R68,IF('NH13-14'!S68&gt;='NH13-14'!R68,'NH13-14'!S68,'NH13-14'!R68))</f>
        <v/>
      </c>
      <c r="M68" s="485" t="str">
        <f>IF('NH13-14'!U68="",'NH13-14'!T68,IF('NH13-14'!U68&gt;='NH13-14'!T68,'NH13-14'!U68,'NH13-14'!T68))</f>
        <v/>
      </c>
      <c r="N68" s="485" t="str">
        <f>IF('NH13-14'!W68="",'NH13-14'!V68,IF('NH13-14'!W68&gt;='NH13-14'!V68,'NH13-14'!W68,'NH13-14'!V68))</f>
        <v/>
      </c>
      <c r="O68" s="485" t="str">
        <f>IF('NH13-14'!Y68="",'NH13-14'!X68,IF('NH13-14'!Y68&gt;='NH13-14'!X68,'NH13-14'!Y68,'NH13-14'!X68))</f>
        <v/>
      </c>
      <c r="P68" s="485" t="str">
        <f>IF('NH13-14'!AA68="",'NH13-14'!Z68,IF('NH13-14'!AA68&gt;='NH13-14'!Z68,'NH13-14'!AA68,'NH13-14'!Z68))</f>
        <v/>
      </c>
      <c r="Q68" s="485" t="str">
        <f>IF('NH13-14'!AC68="",'NH13-14'!AB68,IF('NH13-14'!AC68&gt;='NH13-14'!AB68,'NH13-14'!AC68,'NH13-14'!AB68))</f>
        <v/>
      </c>
      <c r="R68" s="485" t="str">
        <f>IF('NH13-14'!AE68="",'NH13-14'!AD68,IF('NH13-14'!AE68&gt;='NH13-14'!AD68,'NH13-14'!AE68,'NH13-14'!AD68))</f>
        <v/>
      </c>
      <c r="S68" s="485" t="str">
        <f>IF('NH13-14'!AG68="",'NH13-14'!AF68,IF('NH13-14'!AG68&gt;='NH13-14'!AF68,'NH13-14'!AG68,'NH13-14'!AF68))</f>
        <v/>
      </c>
      <c r="T68" s="485" t="str">
        <f>IF('NH13-14'!AI68="",'NH13-14'!AH68,IF('NH13-14'!AI68&gt;='NH13-14'!AH68,'NH13-14'!AI68,'NH13-14'!AH68))</f>
        <v/>
      </c>
      <c r="U68" s="485" t="str">
        <f>IF('NH13-14'!AK68="",'NH13-14'!AJ68,IF('NH13-14'!AK68&gt;='NH13-14'!AJ68,'NH13-14'!AK68,'NH13-14'!AJ68))</f>
        <v/>
      </c>
      <c r="V68" s="485" t="str">
        <f>IF('NH13-14'!AM68="",'NH13-14'!AL68,IF('NH13-14'!AM68&gt;='NH13-14'!AL68,'NH13-14'!AM68,'NH13-14'!AL68))</f>
        <v/>
      </c>
      <c r="W68" s="485" t="str">
        <f>IF('NH13-14'!AO68="",'NH13-14'!AN68,IF('NH13-14'!AO68&gt;='NH13-14'!AN68,'NH13-14'!AO68,'NH13-14'!AN68))</f>
        <v/>
      </c>
      <c r="X68" s="485" t="str">
        <f>IF('NH13-14'!AQ68="",'NH13-14'!AP68,IF('NH13-14'!AQ68&gt;='NH13-14'!AP68,'NH13-14'!AQ68,'NH13-14'!AP68))</f>
        <v/>
      </c>
      <c r="Y68" s="485" t="str">
        <f>IF('NH13-14'!AS68="",'NH13-14'!AR68,IF('NH13-14'!AS68&gt;='NH13-14'!AR68,'NH13-14'!AS68,'NH13-14'!AR68))</f>
        <v/>
      </c>
      <c r="Z68" s="485" t="str">
        <f>IF('NH13-14'!AU68="",'NH13-14'!AT68,IF('NH13-14'!AU68&gt;='NH13-14'!AT68,'NH13-14'!AU68,'NH13-14'!AT68))</f>
        <v/>
      </c>
      <c r="AA68" s="485" t="str">
        <f>IF('NH13-14'!AW68="",'NH13-14'!AV68,IF('NH13-14'!AW68&gt;='NH13-14'!AV68,'NH13-14'!AW68,'NH13-14'!AV68))</f>
        <v/>
      </c>
      <c r="AB68" s="485" t="str">
        <f>IF('NH13-14'!AY68="",'NH13-14'!AX68,IF('NH13-14'!AY68&gt;='NH13-14'!AX68,'NH13-14'!AY68,'NH13-14'!AX68))</f>
        <v/>
      </c>
      <c r="AC68" s="485" t="str">
        <f>IF('NH13-14'!BA68="",'NH13-14'!AZ68,IF('NH13-14'!BA68&gt;='NH13-14'!AZ68,'NH13-14'!BA68,'NH13-14'!AZ68))</f>
        <v/>
      </c>
      <c r="AD68" s="486" t="str">
        <f>IF('NH13-14'!B68="","",ROUND(SUMPRODUCT(G68:AC68,$G$7:$AC$7)/SUMIF(G68:AC68,"&gt;=0",$G$7:$AC$7),2))</f>
        <v/>
      </c>
      <c r="AE68" s="487" t="str">
        <f t="shared" si="50"/>
        <v/>
      </c>
      <c r="AF68" s="488" t="str">
        <f t="shared" si="51"/>
        <v/>
      </c>
      <c r="AG68" s="488" t="str">
        <f t="shared" si="52"/>
        <v/>
      </c>
      <c r="AH68" s="488" t="str">
        <f t="shared" si="53"/>
        <v/>
      </c>
      <c r="AI68" s="488" t="str">
        <f t="shared" si="54"/>
        <v/>
      </c>
      <c r="AJ68" s="488" t="str">
        <f t="shared" si="55"/>
        <v/>
      </c>
      <c r="AK68" s="488" t="str">
        <f t="shared" si="56"/>
        <v/>
      </c>
      <c r="AL68" s="488" t="str">
        <f t="shared" si="57"/>
        <v/>
      </c>
      <c r="AM68" s="488" t="str">
        <f t="shared" si="58"/>
        <v/>
      </c>
      <c r="AN68" s="488" t="str">
        <f t="shared" si="59"/>
        <v/>
      </c>
      <c r="AO68" s="488" t="str">
        <f t="shared" si="60"/>
        <v/>
      </c>
      <c r="AP68" s="488" t="str">
        <f t="shared" si="61"/>
        <v/>
      </c>
      <c r="AQ68" s="488" t="str">
        <f t="shared" si="62"/>
        <v/>
      </c>
      <c r="AR68" s="488" t="str">
        <f t="shared" si="63"/>
        <v/>
      </c>
      <c r="AS68" s="488" t="str">
        <f t="shared" si="64"/>
        <v/>
      </c>
      <c r="AT68" s="488" t="str">
        <f t="shared" si="65"/>
        <v/>
      </c>
      <c r="AU68" s="488" t="str">
        <f t="shared" si="66"/>
        <v/>
      </c>
      <c r="AV68" s="488" t="str">
        <f t="shared" si="67"/>
        <v/>
      </c>
      <c r="AW68" s="488" t="str">
        <f t="shared" si="68"/>
        <v/>
      </c>
      <c r="AX68" s="488" t="str">
        <f t="shared" si="69"/>
        <v/>
      </c>
      <c r="AY68" s="488" t="str">
        <f t="shared" si="70"/>
        <v/>
      </c>
      <c r="AZ68" s="488" t="str">
        <f t="shared" si="71"/>
        <v/>
      </c>
      <c r="BA68" s="488" t="str">
        <f t="shared" si="26"/>
        <v/>
      </c>
      <c r="BB68" s="486" t="str">
        <f>IF('NH13-14'!B68="","",ROUND(SUMPRODUCT(AE68:BA68,$AE$7:$BA$7)/SUMIF(AE68:BA68,"&gt;=1",$AE$7:$BA$7),2))</f>
        <v/>
      </c>
      <c r="BC68" s="527" t="str">
        <f t="shared" si="27"/>
        <v/>
      </c>
      <c r="BD68" s="507" t="str">
        <f t="shared" si="28"/>
        <v/>
      </c>
      <c r="BE68" s="507" t="str">
        <f t="shared" si="29"/>
        <v/>
      </c>
      <c r="BF68" s="507" t="str">
        <f t="shared" si="30"/>
        <v/>
      </c>
      <c r="BG68" s="507" t="str">
        <f t="shared" si="31"/>
        <v/>
      </c>
      <c r="BH68" s="507" t="str">
        <f t="shared" si="32"/>
        <v/>
      </c>
      <c r="BI68" s="507" t="str">
        <f t="shared" si="33"/>
        <v/>
      </c>
      <c r="BJ68" s="507" t="str">
        <f t="shared" si="34"/>
        <v/>
      </c>
      <c r="BK68" s="507" t="str">
        <f t="shared" si="35"/>
        <v/>
      </c>
      <c r="BL68" s="507" t="str">
        <f t="shared" si="36"/>
        <v/>
      </c>
      <c r="BM68" s="507" t="str">
        <f t="shared" si="37"/>
        <v/>
      </c>
      <c r="BN68" s="507" t="str">
        <f t="shared" si="38"/>
        <v/>
      </c>
      <c r="BO68" s="507" t="str">
        <f t="shared" si="39"/>
        <v/>
      </c>
      <c r="BP68" s="507" t="str">
        <f t="shared" si="40"/>
        <v/>
      </c>
      <c r="BQ68" s="507" t="str">
        <f t="shared" si="41"/>
        <v/>
      </c>
      <c r="BR68" s="507" t="str">
        <f t="shared" si="42"/>
        <v/>
      </c>
      <c r="BS68" s="507" t="str">
        <f t="shared" si="43"/>
        <v/>
      </c>
      <c r="BT68" s="507" t="str">
        <f t="shared" si="44"/>
        <v/>
      </c>
      <c r="BU68" s="507" t="str">
        <f t="shared" si="45"/>
        <v/>
      </c>
      <c r="BV68" s="507" t="str">
        <f t="shared" si="46"/>
        <v/>
      </c>
      <c r="BW68" s="507" t="str">
        <f t="shared" si="47"/>
        <v/>
      </c>
      <c r="BX68" s="507" t="str">
        <f t="shared" si="48"/>
        <v/>
      </c>
      <c r="BY68" s="507" t="str">
        <f t="shared" si="49"/>
        <v/>
      </c>
    </row>
    <row r="69" spans="1:77">
      <c r="A69" s="481" t="str">
        <f>IF('NH13-14'!A69="","",'NH13-14'!A69)</f>
        <v/>
      </c>
      <c r="B69" s="482" t="str">
        <f>IF('NH13-14'!B69="","",'NH13-14'!B69)</f>
        <v/>
      </c>
      <c r="C69" s="490" t="str">
        <f t="shared" si="2"/>
        <v/>
      </c>
      <c r="D69" s="490" t="str">
        <f t="shared" si="3"/>
        <v/>
      </c>
      <c r="E69" s="483" t="str">
        <f>IF('NH13-14'!C69="","",'NH13-14'!C69)</f>
        <v/>
      </c>
      <c r="F69" s="484" t="str">
        <f>IF('NH13-14'!D69="","",'NH13-14'!D69)</f>
        <v/>
      </c>
      <c r="G69" s="485" t="str">
        <f>IF('NH13-14'!I69="",'NH13-14'!H69,IF('NH13-14'!I69&gt;='NH13-14'!H69,'NH13-14'!I69,'NH13-14'!H69))</f>
        <v/>
      </c>
      <c r="H69" s="485" t="str">
        <f>IF('NH13-14'!K69="",'NH13-14'!J69,IF('NH13-14'!K69&gt;='NH13-14'!J69,'NH13-14'!K69,'NH13-14'!J69))</f>
        <v/>
      </c>
      <c r="I69" s="485" t="str">
        <f>IF('NH13-14'!M69="",'NH13-14'!L69,IF('NH13-14'!M69&gt;='NH13-14'!L69,'NH13-14'!M69,'NH13-14'!L69))</f>
        <v/>
      </c>
      <c r="J69" s="485" t="str">
        <f>IF('NH13-14'!O69="",'NH13-14'!N69,IF('NH13-14'!O69&gt;='NH13-14'!N69,'NH13-14'!O69,'NH13-14'!N69))</f>
        <v/>
      </c>
      <c r="K69" s="485" t="str">
        <f>IF('NH13-14'!Q69="",'NH13-14'!P69,IF('NH13-14'!Q69&gt;='NH13-14'!P69,'NH13-14'!Q69,'NH13-14'!P69))</f>
        <v/>
      </c>
      <c r="L69" s="485" t="str">
        <f>IF('NH13-14'!S69="",'NH13-14'!R69,IF('NH13-14'!S69&gt;='NH13-14'!R69,'NH13-14'!S69,'NH13-14'!R69))</f>
        <v/>
      </c>
      <c r="M69" s="485" t="str">
        <f>IF('NH13-14'!U69="",'NH13-14'!T69,IF('NH13-14'!U69&gt;='NH13-14'!T69,'NH13-14'!U69,'NH13-14'!T69))</f>
        <v/>
      </c>
      <c r="N69" s="485" t="str">
        <f>IF('NH13-14'!W69="",'NH13-14'!V69,IF('NH13-14'!W69&gt;='NH13-14'!V69,'NH13-14'!W69,'NH13-14'!V69))</f>
        <v/>
      </c>
      <c r="O69" s="485" t="str">
        <f>IF('NH13-14'!Y69="",'NH13-14'!X69,IF('NH13-14'!Y69&gt;='NH13-14'!X69,'NH13-14'!Y69,'NH13-14'!X69))</f>
        <v/>
      </c>
      <c r="P69" s="485" t="str">
        <f>IF('NH13-14'!AA69="",'NH13-14'!Z69,IF('NH13-14'!AA69&gt;='NH13-14'!Z69,'NH13-14'!AA69,'NH13-14'!Z69))</f>
        <v/>
      </c>
      <c r="Q69" s="485" t="str">
        <f>IF('NH13-14'!AC69="",'NH13-14'!AB69,IF('NH13-14'!AC69&gt;='NH13-14'!AB69,'NH13-14'!AC69,'NH13-14'!AB69))</f>
        <v/>
      </c>
      <c r="R69" s="485" t="str">
        <f>IF('NH13-14'!AE69="",'NH13-14'!AD69,IF('NH13-14'!AE69&gt;='NH13-14'!AD69,'NH13-14'!AE69,'NH13-14'!AD69))</f>
        <v/>
      </c>
      <c r="S69" s="485" t="str">
        <f>IF('NH13-14'!AG69="",'NH13-14'!AF69,IF('NH13-14'!AG69&gt;='NH13-14'!AF69,'NH13-14'!AG69,'NH13-14'!AF69))</f>
        <v/>
      </c>
      <c r="T69" s="485" t="str">
        <f>IF('NH13-14'!AI69="",'NH13-14'!AH69,IF('NH13-14'!AI69&gt;='NH13-14'!AH69,'NH13-14'!AI69,'NH13-14'!AH69))</f>
        <v/>
      </c>
      <c r="U69" s="485" t="str">
        <f>IF('NH13-14'!AK69="",'NH13-14'!AJ69,IF('NH13-14'!AK69&gt;='NH13-14'!AJ69,'NH13-14'!AK69,'NH13-14'!AJ69))</f>
        <v/>
      </c>
      <c r="V69" s="485" t="str">
        <f>IF('NH13-14'!AM69="",'NH13-14'!AL69,IF('NH13-14'!AM69&gt;='NH13-14'!AL69,'NH13-14'!AM69,'NH13-14'!AL69))</f>
        <v/>
      </c>
      <c r="W69" s="485" t="str">
        <f>IF('NH13-14'!AO69="",'NH13-14'!AN69,IF('NH13-14'!AO69&gt;='NH13-14'!AN69,'NH13-14'!AO69,'NH13-14'!AN69))</f>
        <v/>
      </c>
      <c r="X69" s="485" t="str">
        <f>IF('NH13-14'!AQ69="",'NH13-14'!AP69,IF('NH13-14'!AQ69&gt;='NH13-14'!AP69,'NH13-14'!AQ69,'NH13-14'!AP69))</f>
        <v/>
      </c>
      <c r="Y69" s="485" t="str">
        <f>IF('NH13-14'!AS69="",'NH13-14'!AR69,IF('NH13-14'!AS69&gt;='NH13-14'!AR69,'NH13-14'!AS69,'NH13-14'!AR69))</f>
        <v/>
      </c>
      <c r="Z69" s="485" t="str">
        <f>IF('NH13-14'!AU69="",'NH13-14'!AT69,IF('NH13-14'!AU69&gt;='NH13-14'!AT69,'NH13-14'!AU69,'NH13-14'!AT69))</f>
        <v/>
      </c>
      <c r="AA69" s="485" t="str">
        <f>IF('NH13-14'!AW69="",'NH13-14'!AV69,IF('NH13-14'!AW69&gt;='NH13-14'!AV69,'NH13-14'!AW69,'NH13-14'!AV69))</f>
        <v/>
      </c>
      <c r="AB69" s="485" t="str">
        <f>IF('NH13-14'!AY69="",'NH13-14'!AX69,IF('NH13-14'!AY69&gt;='NH13-14'!AX69,'NH13-14'!AY69,'NH13-14'!AX69))</f>
        <v/>
      </c>
      <c r="AC69" s="485" t="str">
        <f>IF('NH13-14'!BA69="",'NH13-14'!AZ69,IF('NH13-14'!BA69&gt;='NH13-14'!AZ69,'NH13-14'!BA69,'NH13-14'!AZ69))</f>
        <v/>
      </c>
      <c r="AD69" s="486" t="str">
        <f>IF('NH13-14'!B69="","",ROUND(SUMPRODUCT(G69:AC69,$G$7:$AC$7)/SUMIF(G69:AC69,"&gt;=0",$G$7:$AC$7),2))</f>
        <v/>
      </c>
      <c r="AE69" s="487" t="str">
        <f t="shared" si="50"/>
        <v/>
      </c>
      <c r="AF69" s="488" t="str">
        <f t="shared" si="51"/>
        <v/>
      </c>
      <c r="AG69" s="488" t="str">
        <f t="shared" si="52"/>
        <v/>
      </c>
      <c r="AH69" s="488" t="str">
        <f t="shared" si="53"/>
        <v/>
      </c>
      <c r="AI69" s="488" t="str">
        <f t="shared" si="54"/>
        <v/>
      </c>
      <c r="AJ69" s="488" t="str">
        <f t="shared" si="55"/>
        <v/>
      </c>
      <c r="AK69" s="488" t="str">
        <f t="shared" si="56"/>
        <v/>
      </c>
      <c r="AL69" s="488" t="str">
        <f t="shared" si="57"/>
        <v/>
      </c>
      <c r="AM69" s="488" t="str">
        <f t="shared" si="58"/>
        <v/>
      </c>
      <c r="AN69" s="488" t="str">
        <f t="shared" si="59"/>
        <v/>
      </c>
      <c r="AO69" s="488" t="str">
        <f t="shared" si="60"/>
        <v/>
      </c>
      <c r="AP69" s="488" t="str">
        <f t="shared" si="61"/>
        <v/>
      </c>
      <c r="AQ69" s="488" t="str">
        <f t="shared" si="62"/>
        <v/>
      </c>
      <c r="AR69" s="488" t="str">
        <f t="shared" si="63"/>
        <v/>
      </c>
      <c r="AS69" s="488" t="str">
        <f t="shared" si="64"/>
        <v/>
      </c>
      <c r="AT69" s="488" t="str">
        <f t="shared" si="65"/>
        <v/>
      </c>
      <c r="AU69" s="488" t="str">
        <f t="shared" si="66"/>
        <v/>
      </c>
      <c r="AV69" s="488" t="str">
        <f t="shared" si="67"/>
        <v/>
      </c>
      <c r="AW69" s="488" t="str">
        <f t="shared" si="68"/>
        <v/>
      </c>
      <c r="AX69" s="488" t="str">
        <f t="shared" si="69"/>
        <v/>
      </c>
      <c r="AY69" s="488" t="str">
        <f t="shared" si="70"/>
        <v/>
      </c>
      <c r="AZ69" s="488" t="str">
        <f t="shared" si="71"/>
        <v/>
      </c>
      <c r="BA69" s="488" t="str">
        <f t="shared" si="26"/>
        <v/>
      </c>
      <c r="BB69" s="486" t="str">
        <f>IF('NH13-14'!B69="","",ROUND(SUMPRODUCT(AE69:BA69,$AE$7:$BA$7)/SUMIF(AE69:BA69,"&gt;=1",$AE$7:$BA$7),2))</f>
        <v/>
      </c>
      <c r="BC69" s="527" t="str">
        <f t="shared" si="27"/>
        <v/>
      </c>
      <c r="BD69" s="507" t="str">
        <f t="shared" si="28"/>
        <v/>
      </c>
      <c r="BE69" s="507" t="str">
        <f t="shared" si="29"/>
        <v/>
      </c>
      <c r="BF69" s="507" t="str">
        <f t="shared" si="30"/>
        <v/>
      </c>
      <c r="BG69" s="507" t="str">
        <f t="shared" si="31"/>
        <v/>
      </c>
      <c r="BH69" s="507" t="str">
        <f t="shared" si="32"/>
        <v/>
      </c>
      <c r="BI69" s="507" t="str">
        <f t="shared" si="33"/>
        <v/>
      </c>
      <c r="BJ69" s="507" t="str">
        <f t="shared" si="34"/>
        <v/>
      </c>
      <c r="BK69" s="507" t="str">
        <f t="shared" si="35"/>
        <v/>
      </c>
      <c r="BL69" s="507" t="str">
        <f t="shared" si="36"/>
        <v/>
      </c>
      <c r="BM69" s="507" t="str">
        <f t="shared" si="37"/>
        <v/>
      </c>
      <c r="BN69" s="507" t="str">
        <f t="shared" si="38"/>
        <v/>
      </c>
      <c r="BO69" s="507" t="str">
        <f t="shared" si="39"/>
        <v/>
      </c>
      <c r="BP69" s="507" t="str">
        <f t="shared" si="40"/>
        <v/>
      </c>
      <c r="BQ69" s="507" t="str">
        <f t="shared" si="41"/>
        <v/>
      </c>
      <c r="BR69" s="507" t="str">
        <f t="shared" si="42"/>
        <v/>
      </c>
      <c r="BS69" s="507" t="str">
        <f t="shared" si="43"/>
        <v/>
      </c>
      <c r="BT69" s="507" t="str">
        <f t="shared" si="44"/>
        <v/>
      </c>
      <c r="BU69" s="507" t="str">
        <f t="shared" si="45"/>
        <v/>
      </c>
      <c r="BV69" s="507" t="str">
        <f t="shared" si="46"/>
        <v/>
      </c>
      <c r="BW69" s="507" t="str">
        <f t="shared" si="47"/>
        <v/>
      </c>
      <c r="BX69" s="507" t="str">
        <f t="shared" si="48"/>
        <v/>
      </c>
      <c r="BY69" s="507" t="str">
        <f t="shared" si="49"/>
        <v/>
      </c>
    </row>
    <row r="70" spans="1:77">
      <c r="A70" s="481" t="str">
        <f>IF('NH13-14'!A70="","",'NH13-14'!A70)</f>
        <v/>
      </c>
      <c r="B70" s="482" t="str">
        <f>IF('NH13-14'!B70="","",'NH13-14'!B70)</f>
        <v/>
      </c>
      <c r="C70" s="490" t="str">
        <f t="shared" si="2"/>
        <v/>
      </c>
      <c r="D70" s="490" t="str">
        <f t="shared" si="3"/>
        <v/>
      </c>
      <c r="E70" s="483" t="str">
        <f>IF('NH13-14'!C70="","",'NH13-14'!C70)</f>
        <v/>
      </c>
      <c r="F70" s="484" t="str">
        <f>IF('NH13-14'!D70="","",'NH13-14'!D70)</f>
        <v/>
      </c>
      <c r="G70" s="485" t="str">
        <f>IF('NH13-14'!I70="",'NH13-14'!H70,IF('NH13-14'!I70&gt;='NH13-14'!H70,'NH13-14'!I70,'NH13-14'!H70))</f>
        <v/>
      </c>
      <c r="H70" s="485" t="str">
        <f>IF('NH13-14'!K70="",'NH13-14'!J70,IF('NH13-14'!K70&gt;='NH13-14'!J70,'NH13-14'!K70,'NH13-14'!J70))</f>
        <v/>
      </c>
      <c r="I70" s="485" t="str">
        <f>IF('NH13-14'!M70="",'NH13-14'!L70,IF('NH13-14'!M70&gt;='NH13-14'!L70,'NH13-14'!M70,'NH13-14'!L70))</f>
        <v/>
      </c>
      <c r="J70" s="485" t="str">
        <f>IF('NH13-14'!O70="",'NH13-14'!N70,IF('NH13-14'!O70&gt;='NH13-14'!N70,'NH13-14'!O70,'NH13-14'!N70))</f>
        <v/>
      </c>
      <c r="K70" s="485" t="str">
        <f>IF('NH13-14'!Q70="",'NH13-14'!P70,IF('NH13-14'!Q70&gt;='NH13-14'!P70,'NH13-14'!Q70,'NH13-14'!P70))</f>
        <v/>
      </c>
      <c r="L70" s="485" t="str">
        <f>IF('NH13-14'!S70="",'NH13-14'!R70,IF('NH13-14'!S70&gt;='NH13-14'!R70,'NH13-14'!S70,'NH13-14'!R70))</f>
        <v/>
      </c>
      <c r="M70" s="485" t="str">
        <f>IF('NH13-14'!U70="",'NH13-14'!T70,IF('NH13-14'!U70&gt;='NH13-14'!T70,'NH13-14'!U70,'NH13-14'!T70))</f>
        <v/>
      </c>
      <c r="N70" s="485" t="str">
        <f>IF('NH13-14'!W70="",'NH13-14'!V70,IF('NH13-14'!W70&gt;='NH13-14'!V70,'NH13-14'!W70,'NH13-14'!V70))</f>
        <v/>
      </c>
      <c r="O70" s="485" t="str">
        <f>IF('NH13-14'!Y70="",'NH13-14'!X70,IF('NH13-14'!Y70&gt;='NH13-14'!X70,'NH13-14'!Y70,'NH13-14'!X70))</f>
        <v/>
      </c>
      <c r="P70" s="485" t="str">
        <f>IF('NH13-14'!AA70="",'NH13-14'!Z70,IF('NH13-14'!AA70&gt;='NH13-14'!Z70,'NH13-14'!AA70,'NH13-14'!Z70))</f>
        <v/>
      </c>
      <c r="Q70" s="485" t="str">
        <f>IF('NH13-14'!AC70="",'NH13-14'!AB70,IF('NH13-14'!AC70&gt;='NH13-14'!AB70,'NH13-14'!AC70,'NH13-14'!AB70))</f>
        <v/>
      </c>
      <c r="R70" s="485" t="str">
        <f>IF('NH13-14'!AE70="",'NH13-14'!AD70,IF('NH13-14'!AE70&gt;='NH13-14'!AD70,'NH13-14'!AE70,'NH13-14'!AD70))</f>
        <v/>
      </c>
      <c r="S70" s="485" t="str">
        <f>IF('NH13-14'!AG70="",'NH13-14'!AF70,IF('NH13-14'!AG70&gt;='NH13-14'!AF70,'NH13-14'!AG70,'NH13-14'!AF70))</f>
        <v/>
      </c>
      <c r="T70" s="485" t="str">
        <f>IF('NH13-14'!AI70="",'NH13-14'!AH70,IF('NH13-14'!AI70&gt;='NH13-14'!AH70,'NH13-14'!AI70,'NH13-14'!AH70))</f>
        <v/>
      </c>
      <c r="U70" s="485" t="str">
        <f>IF('NH13-14'!AK70="",'NH13-14'!AJ70,IF('NH13-14'!AK70&gt;='NH13-14'!AJ70,'NH13-14'!AK70,'NH13-14'!AJ70))</f>
        <v/>
      </c>
      <c r="V70" s="485" t="str">
        <f>IF('NH13-14'!AM70="",'NH13-14'!AL70,IF('NH13-14'!AM70&gt;='NH13-14'!AL70,'NH13-14'!AM70,'NH13-14'!AL70))</f>
        <v/>
      </c>
      <c r="W70" s="485" t="str">
        <f>IF('NH13-14'!AO70="",'NH13-14'!AN70,IF('NH13-14'!AO70&gt;='NH13-14'!AN70,'NH13-14'!AO70,'NH13-14'!AN70))</f>
        <v/>
      </c>
      <c r="X70" s="485" t="str">
        <f>IF('NH13-14'!AQ70="",'NH13-14'!AP70,IF('NH13-14'!AQ70&gt;='NH13-14'!AP70,'NH13-14'!AQ70,'NH13-14'!AP70))</f>
        <v/>
      </c>
      <c r="Y70" s="485" t="str">
        <f>IF('NH13-14'!AS70="",'NH13-14'!AR70,IF('NH13-14'!AS70&gt;='NH13-14'!AR70,'NH13-14'!AS70,'NH13-14'!AR70))</f>
        <v/>
      </c>
      <c r="Z70" s="485" t="str">
        <f>IF('NH13-14'!AU70="",'NH13-14'!AT70,IF('NH13-14'!AU70&gt;='NH13-14'!AT70,'NH13-14'!AU70,'NH13-14'!AT70))</f>
        <v/>
      </c>
      <c r="AA70" s="485" t="str">
        <f>IF('NH13-14'!AW70="",'NH13-14'!AV70,IF('NH13-14'!AW70&gt;='NH13-14'!AV70,'NH13-14'!AW70,'NH13-14'!AV70))</f>
        <v/>
      </c>
      <c r="AB70" s="485" t="str">
        <f>IF('NH13-14'!AY70="",'NH13-14'!AX70,IF('NH13-14'!AY70&gt;='NH13-14'!AX70,'NH13-14'!AY70,'NH13-14'!AX70))</f>
        <v/>
      </c>
      <c r="AC70" s="485" t="str">
        <f>IF('NH13-14'!BA70="",'NH13-14'!AZ70,IF('NH13-14'!BA70&gt;='NH13-14'!AZ70,'NH13-14'!BA70,'NH13-14'!AZ70))</f>
        <v/>
      </c>
      <c r="AD70" s="486" t="str">
        <f>IF('NH13-14'!B70="","",ROUND(SUMPRODUCT(G70:AC70,$G$7:$AC$7)/SUMIF(G70:AC70,"&gt;=0",$G$7:$AC$7),2))</f>
        <v/>
      </c>
      <c r="AE70" s="487" t="str">
        <f t="shared" si="50"/>
        <v/>
      </c>
      <c r="AF70" s="488" t="str">
        <f t="shared" si="51"/>
        <v/>
      </c>
      <c r="AG70" s="488" t="str">
        <f t="shared" si="52"/>
        <v/>
      </c>
      <c r="AH70" s="488" t="str">
        <f t="shared" si="53"/>
        <v/>
      </c>
      <c r="AI70" s="488" t="str">
        <f t="shared" si="54"/>
        <v/>
      </c>
      <c r="AJ70" s="488" t="str">
        <f t="shared" si="55"/>
        <v/>
      </c>
      <c r="AK70" s="488" t="str">
        <f t="shared" si="56"/>
        <v/>
      </c>
      <c r="AL70" s="488" t="str">
        <f t="shared" si="57"/>
        <v/>
      </c>
      <c r="AM70" s="488" t="str">
        <f t="shared" si="58"/>
        <v/>
      </c>
      <c r="AN70" s="488" t="str">
        <f t="shared" si="59"/>
        <v/>
      </c>
      <c r="AO70" s="488" t="str">
        <f t="shared" si="60"/>
        <v/>
      </c>
      <c r="AP70" s="488" t="str">
        <f t="shared" si="61"/>
        <v/>
      </c>
      <c r="AQ70" s="488" t="str">
        <f t="shared" si="62"/>
        <v/>
      </c>
      <c r="AR70" s="488" t="str">
        <f t="shared" si="63"/>
        <v/>
      </c>
      <c r="AS70" s="488" t="str">
        <f t="shared" si="64"/>
        <v/>
      </c>
      <c r="AT70" s="488" t="str">
        <f t="shared" si="65"/>
        <v/>
      </c>
      <c r="AU70" s="488" t="str">
        <f t="shared" si="66"/>
        <v/>
      </c>
      <c r="AV70" s="488" t="str">
        <f t="shared" si="67"/>
        <v/>
      </c>
      <c r="AW70" s="488" t="str">
        <f t="shared" si="68"/>
        <v/>
      </c>
      <c r="AX70" s="488" t="str">
        <f t="shared" si="69"/>
        <v/>
      </c>
      <c r="AY70" s="488" t="str">
        <f t="shared" si="70"/>
        <v/>
      </c>
      <c r="AZ70" s="488" t="str">
        <f t="shared" si="71"/>
        <v/>
      </c>
      <c r="BA70" s="488" t="str">
        <f t="shared" si="26"/>
        <v/>
      </c>
      <c r="BB70" s="486" t="str">
        <f>IF('NH13-14'!B70="","",ROUND(SUMPRODUCT(AE70:BA70,$AE$7:$BA$7)/SUMIF(AE70:BA70,"&gt;=1",$AE$7:$BA$7),2))</f>
        <v/>
      </c>
      <c r="BC70" s="527" t="str">
        <f t="shared" si="27"/>
        <v/>
      </c>
      <c r="BD70" s="507" t="str">
        <f t="shared" si="28"/>
        <v/>
      </c>
      <c r="BE70" s="507" t="str">
        <f t="shared" si="29"/>
        <v/>
      </c>
      <c r="BF70" s="507" t="str">
        <f t="shared" si="30"/>
        <v/>
      </c>
      <c r="BG70" s="507" t="str">
        <f t="shared" si="31"/>
        <v/>
      </c>
      <c r="BH70" s="507" t="str">
        <f t="shared" si="32"/>
        <v/>
      </c>
      <c r="BI70" s="507" t="str">
        <f t="shared" si="33"/>
        <v/>
      </c>
      <c r="BJ70" s="507" t="str">
        <f t="shared" si="34"/>
        <v/>
      </c>
      <c r="BK70" s="507" t="str">
        <f t="shared" si="35"/>
        <v/>
      </c>
      <c r="BL70" s="507" t="str">
        <f t="shared" si="36"/>
        <v/>
      </c>
      <c r="BM70" s="507" t="str">
        <f t="shared" si="37"/>
        <v/>
      </c>
      <c r="BN70" s="507" t="str">
        <f t="shared" si="38"/>
        <v/>
      </c>
      <c r="BO70" s="507" t="str">
        <f t="shared" si="39"/>
        <v/>
      </c>
      <c r="BP70" s="507" t="str">
        <f t="shared" si="40"/>
        <v/>
      </c>
      <c r="BQ70" s="507" t="str">
        <f t="shared" si="41"/>
        <v/>
      </c>
      <c r="BR70" s="507" t="str">
        <f t="shared" si="42"/>
        <v/>
      </c>
      <c r="BS70" s="507" t="str">
        <f t="shared" si="43"/>
        <v/>
      </c>
      <c r="BT70" s="507" t="str">
        <f t="shared" si="44"/>
        <v/>
      </c>
      <c r="BU70" s="507" t="str">
        <f t="shared" si="45"/>
        <v/>
      </c>
      <c r="BV70" s="507" t="str">
        <f t="shared" si="46"/>
        <v/>
      </c>
      <c r="BW70" s="507" t="str">
        <f t="shared" si="47"/>
        <v/>
      </c>
      <c r="BX70" s="507" t="str">
        <f t="shared" si="48"/>
        <v/>
      </c>
      <c r="BY70" s="507" t="str">
        <f t="shared" si="49"/>
        <v/>
      </c>
    </row>
    <row r="71" spans="1:77">
      <c r="A71" s="481" t="str">
        <f>IF('NH13-14'!A71="","",'NH13-14'!A71)</f>
        <v/>
      </c>
      <c r="B71" s="482" t="str">
        <f>IF('NH13-14'!B71="","",'NH13-14'!B71)</f>
        <v/>
      </c>
      <c r="C71" s="490" t="str">
        <f t="shared" si="2"/>
        <v/>
      </c>
      <c r="D71" s="490" t="str">
        <f t="shared" si="3"/>
        <v/>
      </c>
      <c r="E71" s="483" t="str">
        <f>IF('NH13-14'!C71="","",'NH13-14'!C71)</f>
        <v/>
      </c>
      <c r="F71" s="484" t="str">
        <f>IF('NH13-14'!D71="","",'NH13-14'!D71)</f>
        <v/>
      </c>
      <c r="G71" s="485" t="str">
        <f>IF('NH13-14'!I71="",'NH13-14'!H71,IF('NH13-14'!I71&gt;='NH13-14'!H71,'NH13-14'!I71,'NH13-14'!H71))</f>
        <v/>
      </c>
      <c r="H71" s="485" t="str">
        <f>IF('NH13-14'!K71="",'NH13-14'!J71,IF('NH13-14'!K71&gt;='NH13-14'!J71,'NH13-14'!K71,'NH13-14'!J71))</f>
        <v/>
      </c>
      <c r="I71" s="485" t="str">
        <f>IF('NH13-14'!M71="",'NH13-14'!L71,IF('NH13-14'!M71&gt;='NH13-14'!L71,'NH13-14'!M71,'NH13-14'!L71))</f>
        <v/>
      </c>
      <c r="J71" s="485" t="str">
        <f>IF('NH13-14'!O71="",'NH13-14'!N71,IF('NH13-14'!O71&gt;='NH13-14'!N71,'NH13-14'!O71,'NH13-14'!N71))</f>
        <v/>
      </c>
      <c r="K71" s="485" t="str">
        <f>IF('NH13-14'!Q71="",'NH13-14'!P71,IF('NH13-14'!Q71&gt;='NH13-14'!P71,'NH13-14'!Q71,'NH13-14'!P71))</f>
        <v/>
      </c>
      <c r="L71" s="485" t="str">
        <f>IF('NH13-14'!S71="",'NH13-14'!R71,IF('NH13-14'!S71&gt;='NH13-14'!R71,'NH13-14'!S71,'NH13-14'!R71))</f>
        <v/>
      </c>
      <c r="M71" s="485" t="str">
        <f>IF('NH13-14'!U71="",'NH13-14'!T71,IF('NH13-14'!U71&gt;='NH13-14'!T71,'NH13-14'!U71,'NH13-14'!T71))</f>
        <v/>
      </c>
      <c r="N71" s="485" t="str">
        <f>IF('NH13-14'!W71="",'NH13-14'!V71,IF('NH13-14'!W71&gt;='NH13-14'!V71,'NH13-14'!W71,'NH13-14'!V71))</f>
        <v/>
      </c>
      <c r="O71" s="485" t="str">
        <f>IF('NH13-14'!Y71="",'NH13-14'!X71,IF('NH13-14'!Y71&gt;='NH13-14'!X71,'NH13-14'!Y71,'NH13-14'!X71))</f>
        <v/>
      </c>
      <c r="P71" s="485" t="str">
        <f>IF('NH13-14'!AA71="",'NH13-14'!Z71,IF('NH13-14'!AA71&gt;='NH13-14'!Z71,'NH13-14'!AA71,'NH13-14'!Z71))</f>
        <v/>
      </c>
      <c r="Q71" s="485" t="str">
        <f>IF('NH13-14'!AC71="",'NH13-14'!AB71,IF('NH13-14'!AC71&gt;='NH13-14'!AB71,'NH13-14'!AC71,'NH13-14'!AB71))</f>
        <v/>
      </c>
      <c r="R71" s="485" t="str">
        <f>IF('NH13-14'!AE71="",'NH13-14'!AD71,IF('NH13-14'!AE71&gt;='NH13-14'!AD71,'NH13-14'!AE71,'NH13-14'!AD71))</f>
        <v/>
      </c>
      <c r="S71" s="485" t="str">
        <f>IF('NH13-14'!AG71="",'NH13-14'!AF71,IF('NH13-14'!AG71&gt;='NH13-14'!AF71,'NH13-14'!AG71,'NH13-14'!AF71))</f>
        <v/>
      </c>
      <c r="T71" s="485" t="str">
        <f>IF('NH13-14'!AI71="",'NH13-14'!AH71,IF('NH13-14'!AI71&gt;='NH13-14'!AH71,'NH13-14'!AI71,'NH13-14'!AH71))</f>
        <v/>
      </c>
      <c r="U71" s="485" t="str">
        <f>IF('NH13-14'!AK71="",'NH13-14'!AJ71,IF('NH13-14'!AK71&gt;='NH13-14'!AJ71,'NH13-14'!AK71,'NH13-14'!AJ71))</f>
        <v/>
      </c>
      <c r="V71" s="485" t="str">
        <f>IF('NH13-14'!AM71="",'NH13-14'!AL71,IF('NH13-14'!AM71&gt;='NH13-14'!AL71,'NH13-14'!AM71,'NH13-14'!AL71))</f>
        <v/>
      </c>
      <c r="W71" s="485" t="str">
        <f>IF('NH13-14'!AO71="",'NH13-14'!AN71,IF('NH13-14'!AO71&gt;='NH13-14'!AN71,'NH13-14'!AO71,'NH13-14'!AN71))</f>
        <v/>
      </c>
      <c r="X71" s="485" t="str">
        <f>IF('NH13-14'!AQ71="",'NH13-14'!AP71,IF('NH13-14'!AQ71&gt;='NH13-14'!AP71,'NH13-14'!AQ71,'NH13-14'!AP71))</f>
        <v/>
      </c>
      <c r="Y71" s="485" t="str">
        <f>IF('NH13-14'!AS71="",'NH13-14'!AR71,IF('NH13-14'!AS71&gt;='NH13-14'!AR71,'NH13-14'!AS71,'NH13-14'!AR71))</f>
        <v/>
      </c>
      <c r="Z71" s="485" t="str">
        <f>IF('NH13-14'!AU71="",'NH13-14'!AT71,IF('NH13-14'!AU71&gt;='NH13-14'!AT71,'NH13-14'!AU71,'NH13-14'!AT71))</f>
        <v/>
      </c>
      <c r="AA71" s="485" t="str">
        <f>IF('NH13-14'!AW71="",'NH13-14'!AV71,IF('NH13-14'!AW71&gt;='NH13-14'!AV71,'NH13-14'!AW71,'NH13-14'!AV71))</f>
        <v/>
      </c>
      <c r="AB71" s="485" t="str">
        <f>IF('NH13-14'!AY71="",'NH13-14'!AX71,IF('NH13-14'!AY71&gt;='NH13-14'!AX71,'NH13-14'!AY71,'NH13-14'!AX71))</f>
        <v/>
      </c>
      <c r="AC71" s="485" t="str">
        <f>IF('NH13-14'!BA71="",'NH13-14'!AZ71,IF('NH13-14'!BA71&gt;='NH13-14'!AZ71,'NH13-14'!BA71,'NH13-14'!AZ71))</f>
        <v/>
      </c>
      <c r="AD71" s="486" t="str">
        <f>IF('NH13-14'!B71="","",ROUND(SUMPRODUCT(G71:AC71,$G$7:$AC$7)/SUMIF(G71:AC71,"&gt;=0",$G$7:$AC$7),2))</f>
        <v/>
      </c>
      <c r="AE71" s="487" t="str">
        <f t="shared" si="50"/>
        <v/>
      </c>
      <c r="AF71" s="488" t="str">
        <f t="shared" si="51"/>
        <v/>
      </c>
      <c r="AG71" s="488" t="str">
        <f t="shared" si="52"/>
        <v/>
      </c>
      <c r="AH71" s="488" t="str">
        <f t="shared" si="53"/>
        <v/>
      </c>
      <c r="AI71" s="488" t="str">
        <f t="shared" si="54"/>
        <v/>
      </c>
      <c r="AJ71" s="488" t="str">
        <f t="shared" si="55"/>
        <v/>
      </c>
      <c r="AK71" s="488" t="str">
        <f t="shared" si="56"/>
        <v/>
      </c>
      <c r="AL71" s="488" t="str">
        <f t="shared" si="57"/>
        <v/>
      </c>
      <c r="AM71" s="488" t="str">
        <f t="shared" si="58"/>
        <v/>
      </c>
      <c r="AN71" s="488" t="str">
        <f t="shared" si="59"/>
        <v/>
      </c>
      <c r="AO71" s="488" t="str">
        <f t="shared" si="60"/>
        <v/>
      </c>
      <c r="AP71" s="488" t="str">
        <f t="shared" si="61"/>
        <v/>
      </c>
      <c r="AQ71" s="488" t="str">
        <f t="shared" si="62"/>
        <v/>
      </c>
      <c r="AR71" s="488" t="str">
        <f t="shared" si="63"/>
        <v/>
      </c>
      <c r="AS71" s="488" t="str">
        <f t="shared" si="64"/>
        <v/>
      </c>
      <c r="AT71" s="488" t="str">
        <f t="shared" si="65"/>
        <v/>
      </c>
      <c r="AU71" s="488" t="str">
        <f t="shared" si="66"/>
        <v/>
      </c>
      <c r="AV71" s="488" t="str">
        <f t="shared" si="67"/>
        <v/>
      </c>
      <c r="AW71" s="488" t="str">
        <f t="shared" si="68"/>
        <v/>
      </c>
      <c r="AX71" s="488" t="str">
        <f t="shared" si="69"/>
        <v/>
      </c>
      <c r="AY71" s="488" t="str">
        <f t="shared" si="70"/>
        <v/>
      </c>
      <c r="AZ71" s="488" t="str">
        <f t="shared" si="71"/>
        <v/>
      </c>
      <c r="BA71" s="488" t="str">
        <f t="shared" si="26"/>
        <v/>
      </c>
      <c r="BB71" s="486" t="str">
        <f>IF('NH13-14'!B71="","",ROUND(SUMPRODUCT(AE71:BA71,$AE$7:$BA$7)/SUMIF(AE71:BA71,"&gt;=1",$AE$7:$BA$7),2))</f>
        <v/>
      </c>
      <c r="BC71" s="527" t="str">
        <f t="shared" si="27"/>
        <v/>
      </c>
      <c r="BD71" s="507" t="str">
        <f t="shared" si="28"/>
        <v/>
      </c>
      <c r="BE71" s="507" t="str">
        <f t="shared" si="29"/>
        <v/>
      </c>
      <c r="BF71" s="507" t="str">
        <f t="shared" si="30"/>
        <v/>
      </c>
      <c r="BG71" s="507" t="str">
        <f t="shared" si="31"/>
        <v/>
      </c>
      <c r="BH71" s="507" t="str">
        <f t="shared" si="32"/>
        <v/>
      </c>
      <c r="BI71" s="507" t="str">
        <f t="shared" si="33"/>
        <v/>
      </c>
      <c r="BJ71" s="507" t="str">
        <f t="shared" si="34"/>
        <v/>
      </c>
      <c r="BK71" s="507" t="str">
        <f t="shared" si="35"/>
        <v/>
      </c>
      <c r="BL71" s="507" t="str">
        <f t="shared" si="36"/>
        <v/>
      </c>
      <c r="BM71" s="507" t="str">
        <f t="shared" si="37"/>
        <v/>
      </c>
      <c r="BN71" s="507" t="str">
        <f t="shared" si="38"/>
        <v/>
      </c>
      <c r="BO71" s="507" t="str">
        <f t="shared" si="39"/>
        <v/>
      </c>
      <c r="BP71" s="507" t="str">
        <f t="shared" si="40"/>
        <v/>
      </c>
      <c r="BQ71" s="507" t="str">
        <f t="shared" si="41"/>
        <v/>
      </c>
      <c r="BR71" s="507" t="str">
        <f t="shared" si="42"/>
        <v/>
      </c>
      <c r="BS71" s="507" t="str">
        <f t="shared" si="43"/>
        <v/>
      </c>
      <c r="BT71" s="507" t="str">
        <f t="shared" si="44"/>
        <v/>
      </c>
      <c r="BU71" s="507" t="str">
        <f t="shared" si="45"/>
        <v/>
      </c>
      <c r="BV71" s="507" t="str">
        <f t="shared" si="46"/>
        <v/>
      </c>
      <c r="BW71" s="507" t="str">
        <f t="shared" si="47"/>
        <v/>
      </c>
      <c r="BX71" s="507" t="str">
        <f t="shared" si="48"/>
        <v/>
      </c>
      <c r="BY71" s="507" t="str">
        <f t="shared" si="49"/>
        <v/>
      </c>
    </row>
    <row r="72" spans="1:77">
      <c r="A72" s="481" t="str">
        <f>IF('NH13-14'!A72="","",'NH13-14'!A72)</f>
        <v/>
      </c>
      <c r="B72" s="482" t="str">
        <f>IF('NH13-14'!B72="","",'NH13-14'!B72)</f>
        <v/>
      </c>
      <c r="C72" s="490" t="str">
        <f t="shared" si="2"/>
        <v/>
      </c>
      <c r="D72" s="490" t="str">
        <f t="shared" si="3"/>
        <v/>
      </c>
      <c r="E72" s="483" t="str">
        <f>IF('NH13-14'!C72="","",'NH13-14'!C72)</f>
        <v/>
      </c>
      <c r="F72" s="484" t="str">
        <f>IF('NH13-14'!D72="","",'NH13-14'!D72)</f>
        <v/>
      </c>
      <c r="G72" s="485" t="str">
        <f>IF('NH13-14'!I72="",'NH13-14'!H72,IF('NH13-14'!I72&gt;='NH13-14'!H72,'NH13-14'!I72,'NH13-14'!H72))</f>
        <v/>
      </c>
      <c r="H72" s="485" t="str">
        <f>IF('NH13-14'!K72="",'NH13-14'!J72,IF('NH13-14'!K72&gt;='NH13-14'!J72,'NH13-14'!K72,'NH13-14'!J72))</f>
        <v/>
      </c>
      <c r="I72" s="485" t="str">
        <f>IF('NH13-14'!M72="",'NH13-14'!L72,IF('NH13-14'!M72&gt;='NH13-14'!L72,'NH13-14'!M72,'NH13-14'!L72))</f>
        <v/>
      </c>
      <c r="J72" s="485" t="str">
        <f>IF('NH13-14'!O72="",'NH13-14'!N72,IF('NH13-14'!O72&gt;='NH13-14'!N72,'NH13-14'!O72,'NH13-14'!N72))</f>
        <v/>
      </c>
      <c r="K72" s="485" t="str">
        <f>IF('NH13-14'!Q72="",'NH13-14'!P72,IF('NH13-14'!Q72&gt;='NH13-14'!P72,'NH13-14'!Q72,'NH13-14'!P72))</f>
        <v/>
      </c>
      <c r="L72" s="485" t="str">
        <f>IF('NH13-14'!S72="",'NH13-14'!R72,IF('NH13-14'!S72&gt;='NH13-14'!R72,'NH13-14'!S72,'NH13-14'!R72))</f>
        <v/>
      </c>
      <c r="M72" s="485" t="str">
        <f>IF('NH13-14'!U72="",'NH13-14'!T72,IF('NH13-14'!U72&gt;='NH13-14'!T72,'NH13-14'!U72,'NH13-14'!T72))</f>
        <v/>
      </c>
      <c r="N72" s="485" t="str">
        <f>IF('NH13-14'!W72="",'NH13-14'!V72,IF('NH13-14'!W72&gt;='NH13-14'!V72,'NH13-14'!W72,'NH13-14'!V72))</f>
        <v/>
      </c>
      <c r="O72" s="485" t="str">
        <f>IF('NH13-14'!Y72="",'NH13-14'!X72,IF('NH13-14'!Y72&gt;='NH13-14'!X72,'NH13-14'!Y72,'NH13-14'!X72))</f>
        <v/>
      </c>
      <c r="P72" s="485" t="str">
        <f>IF('NH13-14'!AA72="",'NH13-14'!Z72,IF('NH13-14'!AA72&gt;='NH13-14'!Z72,'NH13-14'!AA72,'NH13-14'!Z72))</f>
        <v/>
      </c>
      <c r="Q72" s="485" t="str">
        <f>IF('NH13-14'!AC72="",'NH13-14'!AB72,IF('NH13-14'!AC72&gt;='NH13-14'!AB72,'NH13-14'!AC72,'NH13-14'!AB72))</f>
        <v/>
      </c>
      <c r="R72" s="485" t="str">
        <f>IF('NH13-14'!AE72="",'NH13-14'!AD72,IF('NH13-14'!AE72&gt;='NH13-14'!AD72,'NH13-14'!AE72,'NH13-14'!AD72))</f>
        <v/>
      </c>
      <c r="S72" s="485" t="str">
        <f>IF('NH13-14'!AG72="",'NH13-14'!AF72,IF('NH13-14'!AG72&gt;='NH13-14'!AF72,'NH13-14'!AG72,'NH13-14'!AF72))</f>
        <v/>
      </c>
      <c r="T72" s="485" t="str">
        <f>IF('NH13-14'!AI72="",'NH13-14'!AH72,IF('NH13-14'!AI72&gt;='NH13-14'!AH72,'NH13-14'!AI72,'NH13-14'!AH72))</f>
        <v/>
      </c>
      <c r="U72" s="485" t="str">
        <f>IF('NH13-14'!AK72="",'NH13-14'!AJ72,IF('NH13-14'!AK72&gt;='NH13-14'!AJ72,'NH13-14'!AK72,'NH13-14'!AJ72))</f>
        <v/>
      </c>
      <c r="V72" s="485" t="str">
        <f>IF('NH13-14'!AM72="",'NH13-14'!AL72,IF('NH13-14'!AM72&gt;='NH13-14'!AL72,'NH13-14'!AM72,'NH13-14'!AL72))</f>
        <v/>
      </c>
      <c r="W72" s="485" t="str">
        <f>IF('NH13-14'!AO72="",'NH13-14'!AN72,IF('NH13-14'!AO72&gt;='NH13-14'!AN72,'NH13-14'!AO72,'NH13-14'!AN72))</f>
        <v/>
      </c>
      <c r="X72" s="485" t="str">
        <f>IF('NH13-14'!AQ72="",'NH13-14'!AP72,IF('NH13-14'!AQ72&gt;='NH13-14'!AP72,'NH13-14'!AQ72,'NH13-14'!AP72))</f>
        <v/>
      </c>
      <c r="Y72" s="485" t="str">
        <f>IF('NH13-14'!AS72="",'NH13-14'!AR72,IF('NH13-14'!AS72&gt;='NH13-14'!AR72,'NH13-14'!AS72,'NH13-14'!AR72))</f>
        <v/>
      </c>
      <c r="Z72" s="485" t="str">
        <f>IF('NH13-14'!AU72="",'NH13-14'!AT72,IF('NH13-14'!AU72&gt;='NH13-14'!AT72,'NH13-14'!AU72,'NH13-14'!AT72))</f>
        <v/>
      </c>
      <c r="AA72" s="485" t="str">
        <f>IF('NH13-14'!AW72="",'NH13-14'!AV72,IF('NH13-14'!AW72&gt;='NH13-14'!AV72,'NH13-14'!AW72,'NH13-14'!AV72))</f>
        <v/>
      </c>
      <c r="AB72" s="485" t="str">
        <f>IF('NH13-14'!AY72="",'NH13-14'!AX72,IF('NH13-14'!AY72&gt;='NH13-14'!AX72,'NH13-14'!AY72,'NH13-14'!AX72))</f>
        <v/>
      </c>
      <c r="AC72" s="485" t="str">
        <f>IF('NH13-14'!BA72="",'NH13-14'!AZ72,IF('NH13-14'!BA72&gt;='NH13-14'!AZ72,'NH13-14'!BA72,'NH13-14'!AZ72))</f>
        <v/>
      </c>
      <c r="AD72" s="486" t="str">
        <f>IF('NH13-14'!B72="","",ROUND(SUMPRODUCT(G72:AC72,$G$7:$AC$7)/SUMIF(G72:AC72,"&gt;=0",$G$7:$AC$7),2))</f>
        <v/>
      </c>
      <c r="AE72" s="487" t="str">
        <f t="shared" si="50"/>
        <v/>
      </c>
      <c r="AF72" s="488" t="str">
        <f t="shared" si="51"/>
        <v/>
      </c>
      <c r="AG72" s="488" t="str">
        <f t="shared" si="52"/>
        <v/>
      </c>
      <c r="AH72" s="488" t="str">
        <f t="shared" si="53"/>
        <v/>
      </c>
      <c r="AI72" s="488" t="str">
        <f t="shared" si="54"/>
        <v/>
      </c>
      <c r="AJ72" s="488" t="str">
        <f t="shared" si="55"/>
        <v/>
      </c>
      <c r="AK72" s="488" t="str">
        <f t="shared" si="56"/>
        <v/>
      </c>
      <c r="AL72" s="488" t="str">
        <f t="shared" si="57"/>
        <v/>
      </c>
      <c r="AM72" s="488" t="str">
        <f t="shared" si="58"/>
        <v/>
      </c>
      <c r="AN72" s="488" t="str">
        <f t="shared" si="59"/>
        <v/>
      </c>
      <c r="AO72" s="488" t="str">
        <f t="shared" si="60"/>
        <v/>
      </c>
      <c r="AP72" s="488" t="str">
        <f t="shared" si="61"/>
        <v/>
      </c>
      <c r="AQ72" s="488" t="str">
        <f t="shared" si="62"/>
        <v/>
      </c>
      <c r="AR72" s="488" t="str">
        <f t="shared" si="63"/>
        <v/>
      </c>
      <c r="AS72" s="488" t="str">
        <f t="shared" si="64"/>
        <v/>
      </c>
      <c r="AT72" s="488" t="str">
        <f t="shared" si="65"/>
        <v/>
      </c>
      <c r="AU72" s="488" t="str">
        <f t="shared" si="66"/>
        <v/>
      </c>
      <c r="AV72" s="488" t="str">
        <f t="shared" si="67"/>
        <v/>
      </c>
      <c r="AW72" s="488" t="str">
        <f t="shared" si="68"/>
        <v/>
      </c>
      <c r="AX72" s="488" t="str">
        <f t="shared" si="69"/>
        <v/>
      </c>
      <c r="AY72" s="488" t="str">
        <f t="shared" si="70"/>
        <v/>
      </c>
      <c r="AZ72" s="488" t="str">
        <f t="shared" si="71"/>
        <v/>
      </c>
      <c r="BA72" s="488" t="str">
        <f t="shared" si="26"/>
        <v/>
      </c>
      <c r="BB72" s="486" t="str">
        <f>IF('NH13-14'!B72="","",ROUND(SUMPRODUCT(AE72:BA72,$AE$7:$BA$7)/SUMIF(AE72:BA72,"&gt;=1",$AE$7:$BA$7),2))</f>
        <v/>
      </c>
      <c r="BC72" s="527" t="str">
        <f t="shared" si="27"/>
        <v/>
      </c>
      <c r="BD72" s="507" t="str">
        <f t="shared" si="28"/>
        <v/>
      </c>
      <c r="BE72" s="507" t="str">
        <f t="shared" si="29"/>
        <v/>
      </c>
      <c r="BF72" s="507" t="str">
        <f t="shared" si="30"/>
        <v/>
      </c>
      <c r="BG72" s="507" t="str">
        <f t="shared" si="31"/>
        <v/>
      </c>
      <c r="BH72" s="507" t="str">
        <f t="shared" si="32"/>
        <v/>
      </c>
      <c r="BI72" s="507" t="str">
        <f t="shared" si="33"/>
        <v/>
      </c>
      <c r="BJ72" s="507" t="str">
        <f t="shared" si="34"/>
        <v/>
      </c>
      <c r="BK72" s="507" t="str">
        <f t="shared" si="35"/>
        <v/>
      </c>
      <c r="BL72" s="507" t="str">
        <f t="shared" si="36"/>
        <v/>
      </c>
      <c r="BM72" s="507" t="str">
        <f t="shared" si="37"/>
        <v/>
      </c>
      <c r="BN72" s="507" t="str">
        <f t="shared" si="38"/>
        <v/>
      </c>
      <c r="BO72" s="507" t="str">
        <f t="shared" si="39"/>
        <v/>
      </c>
      <c r="BP72" s="507" t="str">
        <f t="shared" si="40"/>
        <v/>
      </c>
      <c r="BQ72" s="507" t="str">
        <f t="shared" si="41"/>
        <v/>
      </c>
      <c r="BR72" s="507" t="str">
        <f t="shared" si="42"/>
        <v/>
      </c>
      <c r="BS72" s="507" t="str">
        <f t="shared" si="43"/>
        <v/>
      </c>
      <c r="BT72" s="507" t="str">
        <f t="shared" si="44"/>
        <v/>
      </c>
      <c r="BU72" s="507" t="str">
        <f t="shared" si="45"/>
        <v/>
      </c>
      <c r="BV72" s="507" t="str">
        <f t="shared" si="46"/>
        <v/>
      </c>
      <c r="BW72" s="507" t="str">
        <f t="shared" si="47"/>
        <v/>
      </c>
      <c r="BX72" s="507" t="str">
        <f t="shared" si="48"/>
        <v/>
      </c>
      <c r="BY72" s="507" t="str">
        <f t="shared" si="49"/>
        <v/>
      </c>
    </row>
    <row r="73" spans="1:77">
      <c r="A73" s="481" t="str">
        <f>IF('NH13-14'!A73="","",'NH13-14'!A73)</f>
        <v/>
      </c>
      <c r="B73" s="482" t="str">
        <f>IF('NH13-14'!B73="","",'NH13-14'!B73)</f>
        <v/>
      </c>
      <c r="C73" s="490" t="str">
        <f t="shared" si="2"/>
        <v/>
      </c>
      <c r="D73" s="490" t="str">
        <f t="shared" si="3"/>
        <v/>
      </c>
      <c r="E73" s="483" t="str">
        <f>IF('NH13-14'!C73="","",'NH13-14'!C73)</f>
        <v/>
      </c>
      <c r="F73" s="484" t="str">
        <f>IF('NH13-14'!D73="","",'NH13-14'!D73)</f>
        <v/>
      </c>
      <c r="G73" s="485" t="str">
        <f>IF('NH13-14'!I73="",'NH13-14'!H73,IF('NH13-14'!I73&gt;='NH13-14'!H73,'NH13-14'!I73,'NH13-14'!H73))</f>
        <v/>
      </c>
      <c r="H73" s="485" t="str">
        <f>IF('NH13-14'!K73="",'NH13-14'!J73,IF('NH13-14'!K73&gt;='NH13-14'!J73,'NH13-14'!K73,'NH13-14'!J73))</f>
        <v/>
      </c>
      <c r="I73" s="485" t="str">
        <f>IF('NH13-14'!M73="",'NH13-14'!L73,IF('NH13-14'!M73&gt;='NH13-14'!L73,'NH13-14'!M73,'NH13-14'!L73))</f>
        <v/>
      </c>
      <c r="J73" s="485" t="str">
        <f>IF('NH13-14'!O73="",'NH13-14'!N73,IF('NH13-14'!O73&gt;='NH13-14'!N73,'NH13-14'!O73,'NH13-14'!N73))</f>
        <v/>
      </c>
      <c r="K73" s="485" t="str">
        <f>IF('NH13-14'!Q73="",'NH13-14'!P73,IF('NH13-14'!Q73&gt;='NH13-14'!P73,'NH13-14'!Q73,'NH13-14'!P73))</f>
        <v/>
      </c>
      <c r="L73" s="485" t="str">
        <f>IF('NH13-14'!S73="",'NH13-14'!R73,IF('NH13-14'!S73&gt;='NH13-14'!R73,'NH13-14'!S73,'NH13-14'!R73))</f>
        <v/>
      </c>
      <c r="M73" s="485" t="str">
        <f>IF('NH13-14'!U73="",'NH13-14'!T73,IF('NH13-14'!U73&gt;='NH13-14'!T73,'NH13-14'!U73,'NH13-14'!T73))</f>
        <v/>
      </c>
      <c r="N73" s="485" t="str">
        <f>IF('NH13-14'!W73="",'NH13-14'!V73,IF('NH13-14'!W73&gt;='NH13-14'!V73,'NH13-14'!W73,'NH13-14'!V73))</f>
        <v/>
      </c>
      <c r="O73" s="485" t="str">
        <f>IF('NH13-14'!Y73="",'NH13-14'!X73,IF('NH13-14'!Y73&gt;='NH13-14'!X73,'NH13-14'!Y73,'NH13-14'!X73))</f>
        <v/>
      </c>
      <c r="P73" s="485" t="str">
        <f>IF('NH13-14'!AA73="",'NH13-14'!Z73,IF('NH13-14'!AA73&gt;='NH13-14'!Z73,'NH13-14'!AA73,'NH13-14'!Z73))</f>
        <v/>
      </c>
      <c r="Q73" s="485" t="str">
        <f>IF('NH13-14'!AC73="",'NH13-14'!AB73,IF('NH13-14'!AC73&gt;='NH13-14'!AB73,'NH13-14'!AC73,'NH13-14'!AB73))</f>
        <v/>
      </c>
      <c r="R73" s="485" t="str">
        <f>IF('NH13-14'!AE73="",'NH13-14'!AD73,IF('NH13-14'!AE73&gt;='NH13-14'!AD73,'NH13-14'!AE73,'NH13-14'!AD73))</f>
        <v/>
      </c>
      <c r="S73" s="485" t="str">
        <f>IF('NH13-14'!AG73="",'NH13-14'!AF73,IF('NH13-14'!AG73&gt;='NH13-14'!AF73,'NH13-14'!AG73,'NH13-14'!AF73))</f>
        <v/>
      </c>
      <c r="T73" s="485" t="str">
        <f>IF('NH13-14'!AI73="",'NH13-14'!AH73,IF('NH13-14'!AI73&gt;='NH13-14'!AH73,'NH13-14'!AI73,'NH13-14'!AH73))</f>
        <v/>
      </c>
      <c r="U73" s="485" t="str">
        <f>IF('NH13-14'!AK73="",'NH13-14'!AJ73,IF('NH13-14'!AK73&gt;='NH13-14'!AJ73,'NH13-14'!AK73,'NH13-14'!AJ73))</f>
        <v/>
      </c>
      <c r="V73" s="485" t="str">
        <f>IF('NH13-14'!AM73="",'NH13-14'!AL73,IF('NH13-14'!AM73&gt;='NH13-14'!AL73,'NH13-14'!AM73,'NH13-14'!AL73))</f>
        <v/>
      </c>
      <c r="W73" s="485" t="str">
        <f>IF('NH13-14'!AO73="",'NH13-14'!AN73,IF('NH13-14'!AO73&gt;='NH13-14'!AN73,'NH13-14'!AO73,'NH13-14'!AN73))</f>
        <v/>
      </c>
      <c r="X73" s="485" t="str">
        <f>IF('NH13-14'!AQ73="",'NH13-14'!AP73,IF('NH13-14'!AQ73&gt;='NH13-14'!AP73,'NH13-14'!AQ73,'NH13-14'!AP73))</f>
        <v/>
      </c>
      <c r="Y73" s="485" t="str">
        <f>IF('NH13-14'!AS73="",'NH13-14'!AR73,IF('NH13-14'!AS73&gt;='NH13-14'!AR73,'NH13-14'!AS73,'NH13-14'!AR73))</f>
        <v/>
      </c>
      <c r="Z73" s="485" t="str">
        <f>IF('NH13-14'!AU73="",'NH13-14'!AT73,IF('NH13-14'!AU73&gt;='NH13-14'!AT73,'NH13-14'!AU73,'NH13-14'!AT73))</f>
        <v/>
      </c>
      <c r="AA73" s="485" t="str">
        <f>IF('NH13-14'!AW73="",'NH13-14'!AV73,IF('NH13-14'!AW73&gt;='NH13-14'!AV73,'NH13-14'!AW73,'NH13-14'!AV73))</f>
        <v/>
      </c>
      <c r="AB73" s="485" t="str">
        <f>IF('NH13-14'!AY73="",'NH13-14'!AX73,IF('NH13-14'!AY73&gt;='NH13-14'!AX73,'NH13-14'!AY73,'NH13-14'!AX73))</f>
        <v/>
      </c>
      <c r="AC73" s="485" t="str">
        <f>IF('NH13-14'!BA73="",'NH13-14'!AZ73,IF('NH13-14'!BA73&gt;='NH13-14'!AZ73,'NH13-14'!BA73,'NH13-14'!AZ73))</f>
        <v/>
      </c>
      <c r="AD73" s="486" t="str">
        <f>IF('NH13-14'!B73="","",ROUND(SUMPRODUCT(G73:AC73,$G$7:$AC$7)/SUMIF(G73:AC73,"&gt;=0",$G$7:$AC$7),2))</f>
        <v/>
      </c>
      <c r="AE73" s="487" t="str">
        <f t="shared" si="50"/>
        <v/>
      </c>
      <c r="AF73" s="488" t="str">
        <f t="shared" si="51"/>
        <v/>
      </c>
      <c r="AG73" s="488" t="str">
        <f t="shared" si="52"/>
        <v/>
      </c>
      <c r="AH73" s="488" t="str">
        <f t="shared" si="53"/>
        <v/>
      </c>
      <c r="AI73" s="488" t="str">
        <f t="shared" si="54"/>
        <v/>
      </c>
      <c r="AJ73" s="488" t="str">
        <f t="shared" si="55"/>
        <v/>
      </c>
      <c r="AK73" s="488" t="str">
        <f t="shared" si="56"/>
        <v/>
      </c>
      <c r="AL73" s="488" t="str">
        <f t="shared" si="57"/>
        <v/>
      </c>
      <c r="AM73" s="488" t="str">
        <f t="shared" si="58"/>
        <v/>
      </c>
      <c r="AN73" s="488" t="str">
        <f t="shared" si="59"/>
        <v/>
      </c>
      <c r="AO73" s="488" t="str">
        <f t="shared" si="60"/>
        <v/>
      </c>
      <c r="AP73" s="488" t="str">
        <f t="shared" si="61"/>
        <v/>
      </c>
      <c r="AQ73" s="488" t="str">
        <f t="shared" si="62"/>
        <v/>
      </c>
      <c r="AR73" s="488" t="str">
        <f t="shared" si="63"/>
        <v/>
      </c>
      <c r="AS73" s="488" t="str">
        <f t="shared" si="64"/>
        <v/>
      </c>
      <c r="AT73" s="488" t="str">
        <f t="shared" si="65"/>
        <v/>
      </c>
      <c r="AU73" s="488" t="str">
        <f t="shared" si="66"/>
        <v/>
      </c>
      <c r="AV73" s="488" t="str">
        <f t="shared" si="67"/>
        <v/>
      </c>
      <c r="AW73" s="488" t="str">
        <f t="shared" si="68"/>
        <v/>
      </c>
      <c r="AX73" s="488" t="str">
        <f t="shared" si="69"/>
        <v/>
      </c>
      <c r="AY73" s="488" t="str">
        <f t="shared" si="70"/>
        <v/>
      </c>
      <c r="AZ73" s="488" t="str">
        <f t="shared" si="71"/>
        <v/>
      </c>
      <c r="BA73" s="488" t="str">
        <f t="shared" si="26"/>
        <v/>
      </c>
      <c r="BB73" s="486" t="str">
        <f>IF('NH13-14'!B73="","",ROUND(SUMPRODUCT(AE73:BA73,$AE$7:$BA$7)/SUMIF(AE73:BA73,"&gt;=1",$AE$7:$BA$7),2))</f>
        <v/>
      </c>
      <c r="BC73" s="527" t="str">
        <f t="shared" si="27"/>
        <v/>
      </c>
      <c r="BD73" s="507" t="str">
        <f t="shared" si="28"/>
        <v/>
      </c>
      <c r="BE73" s="507" t="str">
        <f t="shared" si="29"/>
        <v/>
      </c>
      <c r="BF73" s="507" t="str">
        <f t="shared" si="30"/>
        <v/>
      </c>
      <c r="BG73" s="507" t="str">
        <f t="shared" si="31"/>
        <v/>
      </c>
      <c r="BH73" s="507" t="str">
        <f t="shared" si="32"/>
        <v/>
      </c>
      <c r="BI73" s="507" t="str">
        <f t="shared" si="33"/>
        <v/>
      </c>
      <c r="BJ73" s="507" t="str">
        <f t="shared" si="34"/>
        <v/>
      </c>
      <c r="BK73" s="507" t="str">
        <f t="shared" si="35"/>
        <v/>
      </c>
      <c r="BL73" s="507" t="str">
        <f t="shared" si="36"/>
        <v/>
      </c>
      <c r="BM73" s="507" t="str">
        <f t="shared" si="37"/>
        <v/>
      </c>
      <c r="BN73" s="507" t="str">
        <f t="shared" si="38"/>
        <v/>
      </c>
      <c r="BO73" s="507" t="str">
        <f t="shared" si="39"/>
        <v/>
      </c>
      <c r="BP73" s="507" t="str">
        <f t="shared" si="40"/>
        <v/>
      </c>
      <c r="BQ73" s="507" t="str">
        <f t="shared" si="41"/>
        <v/>
      </c>
      <c r="BR73" s="507" t="str">
        <f t="shared" si="42"/>
        <v/>
      </c>
      <c r="BS73" s="507" t="str">
        <f t="shared" si="43"/>
        <v/>
      </c>
      <c r="BT73" s="507" t="str">
        <f t="shared" si="44"/>
        <v/>
      </c>
      <c r="BU73" s="507" t="str">
        <f t="shared" si="45"/>
        <v/>
      </c>
      <c r="BV73" s="507" t="str">
        <f t="shared" si="46"/>
        <v/>
      </c>
      <c r="BW73" s="507" t="str">
        <f t="shared" si="47"/>
        <v/>
      </c>
      <c r="BX73" s="507" t="str">
        <f t="shared" si="48"/>
        <v/>
      </c>
      <c r="BY73" s="507" t="str">
        <f t="shared" si="49"/>
        <v/>
      </c>
    </row>
    <row r="74" spans="1:77">
      <c r="A74" s="481" t="str">
        <f>IF('NH13-14'!A74="","",'NH13-14'!A74)</f>
        <v/>
      </c>
      <c r="B74" s="482" t="str">
        <f>IF('NH13-14'!B74="","",'NH13-14'!B74)</f>
        <v/>
      </c>
      <c r="C74" s="490" t="str">
        <f t="shared" si="2"/>
        <v/>
      </c>
      <c r="D74" s="490" t="str">
        <f t="shared" si="3"/>
        <v/>
      </c>
      <c r="E74" s="483" t="str">
        <f>IF('NH13-14'!C74="","",'NH13-14'!C74)</f>
        <v/>
      </c>
      <c r="F74" s="484" t="str">
        <f>IF('NH13-14'!D74="","",'NH13-14'!D74)</f>
        <v/>
      </c>
      <c r="G74" s="485" t="str">
        <f>IF('NH13-14'!I74="",'NH13-14'!H74,IF('NH13-14'!I74&gt;='NH13-14'!H74,'NH13-14'!I74,'NH13-14'!H74))</f>
        <v/>
      </c>
      <c r="H74" s="485" t="str">
        <f>IF('NH13-14'!K74="",'NH13-14'!J74,IF('NH13-14'!K74&gt;='NH13-14'!J74,'NH13-14'!K74,'NH13-14'!J74))</f>
        <v/>
      </c>
      <c r="I74" s="485" t="str">
        <f>IF('NH13-14'!M74="",'NH13-14'!L74,IF('NH13-14'!M74&gt;='NH13-14'!L74,'NH13-14'!M74,'NH13-14'!L74))</f>
        <v/>
      </c>
      <c r="J74" s="485" t="str">
        <f>IF('NH13-14'!O74="",'NH13-14'!N74,IF('NH13-14'!O74&gt;='NH13-14'!N74,'NH13-14'!O74,'NH13-14'!N74))</f>
        <v/>
      </c>
      <c r="K74" s="485" t="str">
        <f>IF('NH13-14'!Q74="",'NH13-14'!P74,IF('NH13-14'!Q74&gt;='NH13-14'!P74,'NH13-14'!Q74,'NH13-14'!P74))</f>
        <v/>
      </c>
      <c r="L74" s="485" t="str">
        <f>IF('NH13-14'!S74="",'NH13-14'!R74,IF('NH13-14'!S74&gt;='NH13-14'!R74,'NH13-14'!S74,'NH13-14'!R74))</f>
        <v/>
      </c>
      <c r="M74" s="485" t="str">
        <f>IF('NH13-14'!U74="",'NH13-14'!T74,IF('NH13-14'!U74&gt;='NH13-14'!T74,'NH13-14'!U74,'NH13-14'!T74))</f>
        <v/>
      </c>
      <c r="N74" s="485" t="str">
        <f>IF('NH13-14'!W74="",'NH13-14'!V74,IF('NH13-14'!W74&gt;='NH13-14'!V74,'NH13-14'!W74,'NH13-14'!V74))</f>
        <v/>
      </c>
      <c r="O74" s="485" t="str">
        <f>IF('NH13-14'!Y74="",'NH13-14'!X74,IF('NH13-14'!Y74&gt;='NH13-14'!X74,'NH13-14'!Y74,'NH13-14'!X74))</f>
        <v/>
      </c>
      <c r="P74" s="485" t="str">
        <f>IF('NH13-14'!AA74="",'NH13-14'!Z74,IF('NH13-14'!AA74&gt;='NH13-14'!Z74,'NH13-14'!AA74,'NH13-14'!Z74))</f>
        <v/>
      </c>
      <c r="Q74" s="485" t="str">
        <f>IF('NH13-14'!AC74="",'NH13-14'!AB74,IF('NH13-14'!AC74&gt;='NH13-14'!AB74,'NH13-14'!AC74,'NH13-14'!AB74))</f>
        <v/>
      </c>
      <c r="R74" s="485" t="str">
        <f>IF('NH13-14'!AE74="",'NH13-14'!AD74,IF('NH13-14'!AE74&gt;='NH13-14'!AD74,'NH13-14'!AE74,'NH13-14'!AD74))</f>
        <v/>
      </c>
      <c r="S74" s="485" t="str">
        <f>IF('NH13-14'!AG74="",'NH13-14'!AF74,IF('NH13-14'!AG74&gt;='NH13-14'!AF74,'NH13-14'!AG74,'NH13-14'!AF74))</f>
        <v/>
      </c>
      <c r="T74" s="485" t="str">
        <f>IF('NH13-14'!AI74="",'NH13-14'!AH74,IF('NH13-14'!AI74&gt;='NH13-14'!AH74,'NH13-14'!AI74,'NH13-14'!AH74))</f>
        <v/>
      </c>
      <c r="U74" s="485" t="str">
        <f>IF('NH13-14'!AK74="",'NH13-14'!AJ74,IF('NH13-14'!AK74&gt;='NH13-14'!AJ74,'NH13-14'!AK74,'NH13-14'!AJ74))</f>
        <v/>
      </c>
      <c r="V74" s="485" t="str">
        <f>IF('NH13-14'!AM74="",'NH13-14'!AL74,IF('NH13-14'!AM74&gt;='NH13-14'!AL74,'NH13-14'!AM74,'NH13-14'!AL74))</f>
        <v/>
      </c>
      <c r="W74" s="485" t="str">
        <f>IF('NH13-14'!AO74="",'NH13-14'!AN74,IF('NH13-14'!AO74&gt;='NH13-14'!AN74,'NH13-14'!AO74,'NH13-14'!AN74))</f>
        <v/>
      </c>
      <c r="X74" s="485" t="str">
        <f>IF('NH13-14'!AQ74="",'NH13-14'!AP74,IF('NH13-14'!AQ74&gt;='NH13-14'!AP74,'NH13-14'!AQ74,'NH13-14'!AP74))</f>
        <v/>
      </c>
      <c r="Y74" s="485" t="str">
        <f>IF('NH13-14'!AS74="",'NH13-14'!AR74,IF('NH13-14'!AS74&gt;='NH13-14'!AR74,'NH13-14'!AS74,'NH13-14'!AR74))</f>
        <v/>
      </c>
      <c r="Z74" s="485" t="str">
        <f>IF('NH13-14'!AU74="",'NH13-14'!AT74,IF('NH13-14'!AU74&gt;='NH13-14'!AT74,'NH13-14'!AU74,'NH13-14'!AT74))</f>
        <v/>
      </c>
      <c r="AA74" s="485" t="str">
        <f>IF('NH13-14'!AW74="",'NH13-14'!AV74,IF('NH13-14'!AW74&gt;='NH13-14'!AV74,'NH13-14'!AW74,'NH13-14'!AV74))</f>
        <v/>
      </c>
      <c r="AB74" s="485" t="str">
        <f>IF('NH13-14'!AY74="",'NH13-14'!AX74,IF('NH13-14'!AY74&gt;='NH13-14'!AX74,'NH13-14'!AY74,'NH13-14'!AX74))</f>
        <v/>
      </c>
      <c r="AC74" s="485" t="str">
        <f>IF('NH13-14'!BA74="",'NH13-14'!AZ74,IF('NH13-14'!BA74&gt;='NH13-14'!AZ74,'NH13-14'!BA74,'NH13-14'!AZ74))</f>
        <v/>
      </c>
      <c r="AD74" s="486" t="str">
        <f>IF('NH13-14'!B74="","",ROUND(SUMPRODUCT(G74:AC74,$G$7:$AC$7)/SUMIF(G74:AC74,"&gt;=0",$G$7:$AC$7),2))</f>
        <v/>
      </c>
      <c r="AE74" s="487" t="str">
        <f t="shared" si="50"/>
        <v/>
      </c>
      <c r="AF74" s="488" t="str">
        <f t="shared" si="51"/>
        <v/>
      </c>
      <c r="AG74" s="488" t="str">
        <f t="shared" si="52"/>
        <v/>
      </c>
      <c r="AH74" s="488" t="str">
        <f t="shared" si="53"/>
        <v/>
      </c>
      <c r="AI74" s="488" t="str">
        <f t="shared" si="54"/>
        <v/>
      </c>
      <c r="AJ74" s="488" t="str">
        <f t="shared" si="55"/>
        <v/>
      </c>
      <c r="AK74" s="488" t="str">
        <f t="shared" si="56"/>
        <v/>
      </c>
      <c r="AL74" s="488" t="str">
        <f t="shared" si="57"/>
        <v/>
      </c>
      <c r="AM74" s="488" t="str">
        <f t="shared" si="58"/>
        <v/>
      </c>
      <c r="AN74" s="488" t="str">
        <f t="shared" si="59"/>
        <v/>
      </c>
      <c r="AO74" s="488" t="str">
        <f t="shared" si="60"/>
        <v/>
      </c>
      <c r="AP74" s="488" t="str">
        <f t="shared" si="61"/>
        <v/>
      </c>
      <c r="AQ74" s="488" t="str">
        <f t="shared" si="62"/>
        <v/>
      </c>
      <c r="AR74" s="488" t="str">
        <f t="shared" si="63"/>
        <v/>
      </c>
      <c r="AS74" s="488" t="str">
        <f t="shared" si="64"/>
        <v/>
      </c>
      <c r="AT74" s="488" t="str">
        <f t="shared" si="65"/>
        <v/>
      </c>
      <c r="AU74" s="488" t="str">
        <f t="shared" si="66"/>
        <v/>
      </c>
      <c r="AV74" s="488" t="str">
        <f t="shared" si="67"/>
        <v/>
      </c>
      <c r="AW74" s="488" t="str">
        <f t="shared" si="68"/>
        <v/>
      </c>
      <c r="AX74" s="488" t="str">
        <f t="shared" si="69"/>
        <v/>
      </c>
      <c r="AY74" s="488" t="str">
        <f t="shared" si="70"/>
        <v/>
      </c>
      <c r="AZ74" s="488" t="str">
        <f t="shared" si="71"/>
        <v/>
      </c>
      <c r="BA74" s="488" t="str">
        <f t="shared" si="26"/>
        <v/>
      </c>
      <c r="BB74" s="486" t="str">
        <f>IF('NH13-14'!B74="","",ROUND(SUMPRODUCT(AE74:BA74,$AE$7:$BA$7)/SUMIF(AE74:BA74,"&gt;=1",$AE$7:$BA$7),2))</f>
        <v/>
      </c>
      <c r="BC74" s="527" t="str">
        <f t="shared" si="27"/>
        <v/>
      </c>
      <c r="BD74" s="507" t="str">
        <f t="shared" si="28"/>
        <v/>
      </c>
      <c r="BE74" s="507" t="str">
        <f t="shared" si="29"/>
        <v/>
      </c>
      <c r="BF74" s="507" t="str">
        <f t="shared" si="30"/>
        <v/>
      </c>
      <c r="BG74" s="507" t="str">
        <f t="shared" si="31"/>
        <v/>
      </c>
      <c r="BH74" s="507" t="str">
        <f t="shared" si="32"/>
        <v/>
      </c>
      <c r="BI74" s="507" t="str">
        <f t="shared" si="33"/>
        <v/>
      </c>
      <c r="BJ74" s="507" t="str">
        <f t="shared" si="34"/>
        <v/>
      </c>
      <c r="BK74" s="507" t="str">
        <f t="shared" si="35"/>
        <v/>
      </c>
      <c r="BL74" s="507" t="str">
        <f t="shared" si="36"/>
        <v/>
      </c>
      <c r="BM74" s="507" t="str">
        <f t="shared" si="37"/>
        <v/>
      </c>
      <c r="BN74" s="507" t="str">
        <f t="shared" si="38"/>
        <v/>
      </c>
      <c r="BO74" s="507" t="str">
        <f t="shared" si="39"/>
        <v/>
      </c>
      <c r="BP74" s="507" t="str">
        <f t="shared" si="40"/>
        <v/>
      </c>
      <c r="BQ74" s="507" t="str">
        <f t="shared" si="41"/>
        <v/>
      </c>
      <c r="BR74" s="507" t="str">
        <f t="shared" si="42"/>
        <v/>
      </c>
      <c r="BS74" s="507" t="str">
        <f t="shared" si="43"/>
        <v/>
      </c>
      <c r="BT74" s="507" t="str">
        <f t="shared" si="44"/>
        <v/>
      </c>
      <c r="BU74" s="507" t="str">
        <f t="shared" si="45"/>
        <v/>
      </c>
      <c r="BV74" s="507" t="str">
        <f t="shared" si="46"/>
        <v/>
      </c>
      <c r="BW74" s="507" t="str">
        <f t="shared" si="47"/>
        <v/>
      </c>
      <c r="BX74" s="507" t="str">
        <f t="shared" si="48"/>
        <v/>
      </c>
      <c r="BY74" s="507" t="str">
        <f t="shared" si="49"/>
        <v/>
      </c>
    </row>
    <row r="75" spans="1:77">
      <c r="A75" s="481" t="str">
        <f>IF('NH13-14'!A75="","",'NH13-14'!A75)</f>
        <v/>
      </c>
      <c r="B75" s="482" t="str">
        <f>IF('NH13-14'!B75="","",'NH13-14'!B75)</f>
        <v/>
      </c>
      <c r="C75" s="490" t="str">
        <f t="shared" si="2"/>
        <v/>
      </c>
      <c r="D75" s="490" t="str">
        <f t="shared" si="3"/>
        <v/>
      </c>
      <c r="E75" s="483" t="str">
        <f>IF('NH13-14'!C75="","",'NH13-14'!C75)</f>
        <v/>
      </c>
      <c r="F75" s="484" t="str">
        <f>IF('NH13-14'!D75="","",'NH13-14'!D75)</f>
        <v/>
      </c>
      <c r="G75" s="485" t="str">
        <f>IF('NH13-14'!I75="",'NH13-14'!H75,IF('NH13-14'!I75&gt;='NH13-14'!H75,'NH13-14'!I75,'NH13-14'!H75))</f>
        <v/>
      </c>
      <c r="H75" s="485" t="str">
        <f>IF('NH13-14'!K75="",'NH13-14'!J75,IF('NH13-14'!K75&gt;='NH13-14'!J75,'NH13-14'!K75,'NH13-14'!J75))</f>
        <v/>
      </c>
      <c r="I75" s="485" t="str">
        <f>IF('NH13-14'!M75="",'NH13-14'!L75,IF('NH13-14'!M75&gt;='NH13-14'!L75,'NH13-14'!M75,'NH13-14'!L75))</f>
        <v/>
      </c>
      <c r="J75" s="485" t="str">
        <f>IF('NH13-14'!O75="",'NH13-14'!N75,IF('NH13-14'!O75&gt;='NH13-14'!N75,'NH13-14'!O75,'NH13-14'!N75))</f>
        <v/>
      </c>
      <c r="K75" s="485" t="str">
        <f>IF('NH13-14'!Q75="",'NH13-14'!P75,IF('NH13-14'!Q75&gt;='NH13-14'!P75,'NH13-14'!Q75,'NH13-14'!P75))</f>
        <v/>
      </c>
      <c r="L75" s="485" t="str">
        <f>IF('NH13-14'!S75="",'NH13-14'!R75,IF('NH13-14'!S75&gt;='NH13-14'!R75,'NH13-14'!S75,'NH13-14'!R75))</f>
        <v/>
      </c>
      <c r="M75" s="485" t="str">
        <f>IF('NH13-14'!U75="",'NH13-14'!T75,IF('NH13-14'!U75&gt;='NH13-14'!T75,'NH13-14'!U75,'NH13-14'!T75))</f>
        <v/>
      </c>
      <c r="N75" s="485" t="str">
        <f>IF('NH13-14'!W75="",'NH13-14'!V75,IF('NH13-14'!W75&gt;='NH13-14'!V75,'NH13-14'!W75,'NH13-14'!V75))</f>
        <v/>
      </c>
      <c r="O75" s="485" t="str">
        <f>IF('NH13-14'!Y75="",'NH13-14'!X75,IF('NH13-14'!Y75&gt;='NH13-14'!X75,'NH13-14'!Y75,'NH13-14'!X75))</f>
        <v/>
      </c>
      <c r="P75" s="485" t="str">
        <f>IF('NH13-14'!AA75="",'NH13-14'!Z75,IF('NH13-14'!AA75&gt;='NH13-14'!Z75,'NH13-14'!AA75,'NH13-14'!Z75))</f>
        <v/>
      </c>
      <c r="Q75" s="485" t="str">
        <f>IF('NH13-14'!AC75="",'NH13-14'!AB75,IF('NH13-14'!AC75&gt;='NH13-14'!AB75,'NH13-14'!AC75,'NH13-14'!AB75))</f>
        <v/>
      </c>
      <c r="R75" s="485" t="str">
        <f>IF('NH13-14'!AE75="",'NH13-14'!AD75,IF('NH13-14'!AE75&gt;='NH13-14'!AD75,'NH13-14'!AE75,'NH13-14'!AD75))</f>
        <v/>
      </c>
      <c r="S75" s="485" t="str">
        <f>IF('NH13-14'!AG75="",'NH13-14'!AF75,IF('NH13-14'!AG75&gt;='NH13-14'!AF75,'NH13-14'!AG75,'NH13-14'!AF75))</f>
        <v/>
      </c>
      <c r="T75" s="485" t="str">
        <f>IF('NH13-14'!AI75="",'NH13-14'!AH75,IF('NH13-14'!AI75&gt;='NH13-14'!AH75,'NH13-14'!AI75,'NH13-14'!AH75))</f>
        <v/>
      </c>
      <c r="U75" s="485" t="str">
        <f>IF('NH13-14'!AK75="",'NH13-14'!AJ75,IF('NH13-14'!AK75&gt;='NH13-14'!AJ75,'NH13-14'!AK75,'NH13-14'!AJ75))</f>
        <v/>
      </c>
      <c r="V75" s="485" t="str">
        <f>IF('NH13-14'!AM75="",'NH13-14'!AL75,IF('NH13-14'!AM75&gt;='NH13-14'!AL75,'NH13-14'!AM75,'NH13-14'!AL75))</f>
        <v/>
      </c>
      <c r="W75" s="485" t="str">
        <f>IF('NH13-14'!AO75="",'NH13-14'!AN75,IF('NH13-14'!AO75&gt;='NH13-14'!AN75,'NH13-14'!AO75,'NH13-14'!AN75))</f>
        <v/>
      </c>
      <c r="X75" s="485" t="str">
        <f>IF('NH13-14'!AQ75="",'NH13-14'!AP75,IF('NH13-14'!AQ75&gt;='NH13-14'!AP75,'NH13-14'!AQ75,'NH13-14'!AP75))</f>
        <v/>
      </c>
      <c r="Y75" s="485" t="str">
        <f>IF('NH13-14'!AS75="",'NH13-14'!AR75,IF('NH13-14'!AS75&gt;='NH13-14'!AR75,'NH13-14'!AS75,'NH13-14'!AR75))</f>
        <v/>
      </c>
      <c r="Z75" s="485" t="str">
        <f>IF('NH13-14'!AU75="",'NH13-14'!AT75,IF('NH13-14'!AU75&gt;='NH13-14'!AT75,'NH13-14'!AU75,'NH13-14'!AT75))</f>
        <v/>
      </c>
      <c r="AA75" s="485" t="str">
        <f>IF('NH13-14'!AW75="",'NH13-14'!AV75,IF('NH13-14'!AW75&gt;='NH13-14'!AV75,'NH13-14'!AW75,'NH13-14'!AV75))</f>
        <v/>
      </c>
      <c r="AB75" s="485" t="str">
        <f>IF('NH13-14'!AY75="",'NH13-14'!AX75,IF('NH13-14'!AY75&gt;='NH13-14'!AX75,'NH13-14'!AY75,'NH13-14'!AX75))</f>
        <v/>
      </c>
      <c r="AC75" s="485" t="str">
        <f>IF('NH13-14'!BA75="",'NH13-14'!AZ75,IF('NH13-14'!BA75&gt;='NH13-14'!AZ75,'NH13-14'!BA75,'NH13-14'!AZ75))</f>
        <v/>
      </c>
      <c r="AD75" s="486" t="str">
        <f>IF('NH13-14'!B75="","",ROUND(SUMPRODUCT(G75:AC75,$G$7:$AC$7)/SUMIF(G75:AC75,"&gt;=0",$G$7:$AC$7),2))</f>
        <v/>
      </c>
      <c r="AE75" s="487" t="str">
        <f t="shared" si="50"/>
        <v/>
      </c>
      <c r="AF75" s="488" t="str">
        <f t="shared" si="51"/>
        <v/>
      </c>
      <c r="AG75" s="488" t="str">
        <f t="shared" si="52"/>
        <v/>
      </c>
      <c r="AH75" s="488" t="str">
        <f t="shared" si="53"/>
        <v/>
      </c>
      <c r="AI75" s="488" t="str">
        <f t="shared" si="54"/>
        <v/>
      </c>
      <c r="AJ75" s="488" t="str">
        <f t="shared" si="55"/>
        <v/>
      </c>
      <c r="AK75" s="488" t="str">
        <f t="shared" si="56"/>
        <v/>
      </c>
      <c r="AL75" s="488" t="str">
        <f t="shared" si="57"/>
        <v/>
      </c>
      <c r="AM75" s="488" t="str">
        <f t="shared" si="58"/>
        <v/>
      </c>
      <c r="AN75" s="488" t="str">
        <f t="shared" si="59"/>
        <v/>
      </c>
      <c r="AO75" s="488" t="str">
        <f t="shared" si="60"/>
        <v/>
      </c>
      <c r="AP75" s="488" t="str">
        <f t="shared" si="61"/>
        <v/>
      </c>
      <c r="AQ75" s="488" t="str">
        <f t="shared" si="62"/>
        <v/>
      </c>
      <c r="AR75" s="488" t="str">
        <f t="shared" si="63"/>
        <v/>
      </c>
      <c r="AS75" s="488" t="str">
        <f t="shared" si="64"/>
        <v/>
      </c>
      <c r="AT75" s="488" t="str">
        <f t="shared" si="65"/>
        <v/>
      </c>
      <c r="AU75" s="488" t="str">
        <f t="shared" si="66"/>
        <v/>
      </c>
      <c r="AV75" s="488" t="str">
        <f t="shared" si="67"/>
        <v/>
      </c>
      <c r="AW75" s="488" t="str">
        <f t="shared" si="68"/>
        <v/>
      </c>
      <c r="AX75" s="488" t="str">
        <f t="shared" si="69"/>
        <v/>
      </c>
      <c r="AY75" s="488" t="str">
        <f t="shared" si="70"/>
        <v/>
      </c>
      <c r="AZ75" s="488" t="str">
        <f t="shared" si="71"/>
        <v/>
      </c>
      <c r="BA75" s="488" t="str">
        <f t="shared" si="26"/>
        <v/>
      </c>
      <c r="BB75" s="486" t="str">
        <f>IF('NH13-14'!B75="","",ROUND(SUMPRODUCT(AE75:BA75,$AE$7:$BA$7)/SUMIF(AE75:BA75,"&gt;=1",$AE$7:$BA$7),2))</f>
        <v/>
      </c>
      <c r="BC75" s="527" t="str">
        <f t="shared" si="27"/>
        <v/>
      </c>
      <c r="BD75" s="507" t="str">
        <f t="shared" si="28"/>
        <v/>
      </c>
      <c r="BE75" s="507" t="str">
        <f t="shared" si="29"/>
        <v/>
      </c>
      <c r="BF75" s="507" t="str">
        <f t="shared" si="30"/>
        <v/>
      </c>
      <c r="BG75" s="507" t="str">
        <f t="shared" si="31"/>
        <v/>
      </c>
      <c r="BH75" s="507" t="str">
        <f t="shared" si="32"/>
        <v/>
      </c>
      <c r="BI75" s="507" t="str">
        <f t="shared" si="33"/>
        <v/>
      </c>
      <c r="BJ75" s="507" t="str">
        <f t="shared" si="34"/>
        <v/>
      </c>
      <c r="BK75" s="507" t="str">
        <f t="shared" si="35"/>
        <v/>
      </c>
      <c r="BL75" s="507" t="str">
        <f t="shared" si="36"/>
        <v/>
      </c>
      <c r="BM75" s="507" t="str">
        <f t="shared" si="37"/>
        <v/>
      </c>
      <c r="BN75" s="507" t="str">
        <f t="shared" si="38"/>
        <v/>
      </c>
      <c r="BO75" s="507" t="str">
        <f t="shared" si="39"/>
        <v/>
      </c>
      <c r="BP75" s="507" t="str">
        <f t="shared" si="40"/>
        <v/>
      </c>
      <c r="BQ75" s="507" t="str">
        <f t="shared" si="41"/>
        <v/>
      </c>
      <c r="BR75" s="507" t="str">
        <f t="shared" si="42"/>
        <v/>
      </c>
      <c r="BS75" s="507" t="str">
        <f t="shared" si="43"/>
        <v/>
      </c>
      <c r="BT75" s="507" t="str">
        <f t="shared" si="44"/>
        <v/>
      </c>
      <c r="BU75" s="507" t="str">
        <f t="shared" si="45"/>
        <v/>
      </c>
      <c r="BV75" s="507" t="str">
        <f t="shared" si="46"/>
        <v/>
      </c>
      <c r="BW75" s="507" t="str">
        <f t="shared" si="47"/>
        <v/>
      </c>
      <c r="BX75" s="507" t="str">
        <f t="shared" si="48"/>
        <v/>
      </c>
      <c r="BY75" s="507" t="str">
        <f t="shared" si="49"/>
        <v/>
      </c>
    </row>
    <row r="76" spans="1:77">
      <c r="A76" s="481" t="str">
        <f>IF('NH13-14'!A76="","",'NH13-14'!A76)</f>
        <v/>
      </c>
      <c r="B76" s="482" t="str">
        <f>IF('NH13-14'!B76="","",'NH13-14'!B76)</f>
        <v/>
      </c>
      <c r="C76" s="490" t="str">
        <f t="shared" ref="C76:C85" si="72">IF(B76="","",SUMIF(G76:AC76,"&gt;=4",$G$7:$AC$7))</f>
        <v/>
      </c>
      <c r="D76" s="490" t="str">
        <f t="shared" ref="D76:D85" si="73">IF(B76="","",SUMIF(G76:AC76,"&lt;4",$G$7:$AC$7))</f>
        <v/>
      </c>
      <c r="E76" s="483" t="str">
        <f>IF('NH13-14'!C76="","",'NH13-14'!C76)</f>
        <v/>
      </c>
      <c r="F76" s="484" t="str">
        <f>IF('NH13-14'!D76="","",'NH13-14'!D76)</f>
        <v/>
      </c>
      <c r="G76" s="485" t="str">
        <f>IF('NH13-14'!I76="",'NH13-14'!H76,IF('NH13-14'!I76&gt;='NH13-14'!H76,'NH13-14'!I76,'NH13-14'!H76))</f>
        <v/>
      </c>
      <c r="H76" s="485" t="str">
        <f>IF('NH13-14'!K76="",'NH13-14'!J76,IF('NH13-14'!K76&gt;='NH13-14'!J76,'NH13-14'!K76,'NH13-14'!J76))</f>
        <v/>
      </c>
      <c r="I76" s="485" t="str">
        <f>IF('NH13-14'!M76="",'NH13-14'!L76,IF('NH13-14'!M76&gt;='NH13-14'!L76,'NH13-14'!M76,'NH13-14'!L76))</f>
        <v/>
      </c>
      <c r="J76" s="485" t="str">
        <f>IF('NH13-14'!O76="",'NH13-14'!N76,IF('NH13-14'!O76&gt;='NH13-14'!N76,'NH13-14'!O76,'NH13-14'!N76))</f>
        <v/>
      </c>
      <c r="K76" s="485" t="str">
        <f>IF('NH13-14'!Q76="",'NH13-14'!P76,IF('NH13-14'!Q76&gt;='NH13-14'!P76,'NH13-14'!Q76,'NH13-14'!P76))</f>
        <v/>
      </c>
      <c r="L76" s="485" t="str">
        <f>IF('NH13-14'!S76="",'NH13-14'!R76,IF('NH13-14'!S76&gt;='NH13-14'!R76,'NH13-14'!S76,'NH13-14'!R76))</f>
        <v/>
      </c>
      <c r="M76" s="485" t="str">
        <f>IF('NH13-14'!U76="",'NH13-14'!T76,IF('NH13-14'!U76&gt;='NH13-14'!T76,'NH13-14'!U76,'NH13-14'!T76))</f>
        <v/>
      </c>
      <c r="N76" s="485" t="str">
        <f>IF('NH13-14'!W76="",'NH13-14'!V76,IF('NH13-14'!W76&gt;='NH13-14'!V76,'NH13-14'!W76,'NH13-14'!V76))</f>
        <v/>
      </c>
      <c r="O76" s="485" t="str">
        <f>IF('NH13-14'!Y76="",'NH13-14'!X76,IF('NH13-14'!Y76&gt;='NH13-14'!X76,'NH13-14'!Y76,'NH13-14'!X76))</f>
        <v/>
      </c>
      <c r="P76" s="485" t="str">
        <f>IF('NH13-14'!AA76="",'NH13-14'!Z76,IF('NH13-14'!AA76&gt;='NH13-14'!Z76,'NH13-14'!AA76,'NH13-14'!Z76))</f>
        <v/>
      </c>
      <c r="Q76" s="485" t="str">
        <f>IF('NH13-14'!AC76="",'NH13-14'!AB76,IF('NH13-14'!AC76&gt;='NH13-14'!AB76,'NH13-14'!AC76,'NH13-14'!AB76))</f>
        <v/>
      </c>
      <c r="R76" s="485" t="str">
        <f>IF('NH13-14'!AE76="",'NH13-14'!AD76,IF('NH13-14'!AE76&gt;='NH13-14'!AD76,'NH13-14'!AE76,'NH13-14'!AD76))</f>
        <v/>
      </c>
      <c r="S76" s="485" t="str">
        <f>IF('NH13-14'!AG76="",'NH13-14'!AF76,IF('NH13-14'!AG76&gt;='NH13-14'!AF76,'NH13-14'!AG76,'NH13-14'!AF76))</f>
        <v/>
      </c>
      <c r="T76" s="485" t="str">
        <f>IF('NH13-14'!AI76="",'NH13-14'!AH76,IF('NH13-14'!AI76&gt;='NH13-14'!AH76,'NH13-14'!AI76,'NH13-14'!AH76))</f>
        <v/>
      </c>
      <c r="U76" s="485" t="str">
        <f>IF('NH13-14'!AK76="",'NH13-14'!AJ76,IF('NH13-14'!AK76&gt;='NH13-14'!AJ76,'NH13-14'!AK76,'NH13-14'!AJ76))</f>
        <v/>
      </c>
      <c r="V76" s="485" t="str">
        <f>IF('NH13-14'!AM76="",'NH13-14'!AL76,IF('NH13-14'!AM76&gt;='NH13-14'!AL76,'NH13-14'!AM76,'NH13-14'!AL76))</f>
        <v/>
      </c>
      <c r="W76" s="485" t="str">
        <f>IF('NH13-14'!AO76="",'NH13-14'!AN76,IF('NH13-14'!AO76&gt;='NH13-14'!AN76,'NH13-14'!AO76,'NH13-14'!AN76))</f>
        <v/>
      </c>
      <c r="X76" s="485" t="str">
        <f>IF('NH13-14'!AQ76="",'NH13-14'!AP76,IF('NH13-14'!AQ76&gt;='NH13-14'!AP76,'NH13-14'!AQ76,'NH13-14'!AP76))</f>
        <v/>
      </c>
      <c r="Y76" s="485" t="str">
        <f>IF('NH13-14'!AS76="",'NH13-14'!AR76,IF('NH13-14'!AS76&gt;='NH13-14'!AR76,'NH13-14'!AS76,'NH13-14'!AR76))</f>
        <v/>
      </c>
      <c r="Z76" s="485" t="str">
        <f>IF('NH13-14'!AU76="",'NH13-14'!AT76,IF('NH13-14'!AU76&gt;='NH13-14'!AT76,'NH13-14'!AU76,'NH13-14'!AT76))</f>
        <v/>
      </c>
      <c r="AA76" s="485" t="str">
        <f>IF('NH13-14'!AW76="",'NH13-14'!AV76,IF('NH13-14'!AW76&gt;='NH13-14'!AV76,'NH13-14'!AW76,'NH13-14'!AV76))</f>
        <v/>
      </c>
      <c r="AB76" s="485" t="str">
        <f>IF('NH13-14'!AY76="",'NH13-14'!AX76,IF('NH13-14'!AY76&gt;='NH13-14'!AX76,'NH13-14'!AY76,'NH13-14'!AX76))</f>
        <v/>
      </c>
      <c r="AC76" s="485" t="str">
        <f>IF('NH13-14'!BA76="",'NH13-14'!AZ76,IF('NH13-14'!BA76&gt;='NH13-14'!AZ76,'NH13-14'!BA76,'NH13-14'!AZ76))</f>
        <v/>
      </c>
      <c r="AD76" s="486" t="str">
        <f>IF('NH13-14'!B76="","",ROUND(SUMPRODUCT(G76:AC76,$G$7:$AC$7)/SUMIF(G76:AC76,"&gt;=0",$G$7:$AC$7),2))</f>
        <v/>
      </c>
      <c r="AE76" s="487" t="str">
        <f t="shared" ref="AE76:AE85" si="74">IF(G76="","",IF(G76&lt;4,"",IF(G76&lt;5.5,1,IF(G76&lt;7,2,IF(G76&lt;8.5,3,4)))))</f>
        <v/>
      </c>
      <c r="AF76" s="488" t="str">
        <f t="shared" ref="AF76:AF85" si="75">IF(H76="","",IF(H76&lt;4,"",IF(H76&lt;5.5,1,IF(H76&lt;7,2,IF(H76&lt;8.5,3,4)))))</f>
        <v/>
      </c>
      <c r="AG76" s="488" t="str">
        <f t="shared" ref="AG76:AG85" si="76">IF(I76="","",IF(I76&lt;4,"",IF(I76&lt;5.5,1,IF(I76&lt;7,2,IF(I76&lt;8.5,3,4)))))</f>
        <v/>
      </c>
      <c r="AH76" s="488" t="str">
        <f t="shared" ref="AH76:AH85" si="77">IF(J76="","",IF(J76&lt;4,"",IF(J76&lt;5.5,1,IF(J76&lt;7,2,IF(J76&lt;8.5,3,4)))))</f>
        <v/>
      </c>
      <c r="AI76" s="488" t="str">
        <f t="shared" ref="AI76:AI85" si="78">IF(K76="","",IF(K76&lt;4,"",IF(K76&lt;5.5,1,IF(K76&lt;7,2,IF(K76&lt;8.5,3,4)))))</f>
        <v/>
      </c>
      <c r="AJ76" s="488" t="str">
        <f t="shared" ref="AJ76:AJ85" si="79">IF(L76="","",IF(L76&lt;4,"",IF(L76&lt;5.5,1,IF(L76&lt;7,2,IF(L76&lt;8.5,3,4)))))</f>
        <v/>
      </c>
      <c r="AK76" s="488" t="str">
        <f t="shared" ref="AK76:AK85" si="80">IF(M76="","",IF(M76&lt;4,"",IF(M76&lt;5.5,1,IF(M76&lt;7,2,IF(M76&lt;8.5,3,4)))))</f>
        <v/>
      </c>
      <c r="AL76" s="488" t="str">
        <f t="shared" ref="AL76:AL85" si="81">IF(N76="","",IF(N76&lt;4,"",IF(N76&lt;5.5,1,IF(N76&lt;7,2,IF(N76&lt;8.5,3,4)))))</f>
        <v/>
      </c>
      <c r="AM76" s="488" t="str">
        <f t="shared" ref="AM76:AM85" si="82">IF(O76="","",IF(O76&lt;4,"",IF(O76&lt;5.5,1,IF(O76&lt;7,2,IF(O76&lt;8.5,3,4)))))</f>
        <v/>
      </c>
      <c r="AN76" s="488" t="str">
        <f t="shared" ref="AN76:AN85" si="83">IF(P76="","",IF(P76&lt;4,"",IF(P76&lt;5.5,1,IF(P76&lt;7,2,IF(P76&lt;8.5,3,4)))))</f>
        <v/>
      </c>
      <c r="AO76" s="488" t="str">
        <f t="shared" ref="AO76:AO85" si="84">IF(Q76="","",IF(Q76&lt;4,"",IF(Q76&lt;5.5,1,IF(Q76&lt;7,2,IF(Q76&lt;8.5,3,4)))))</f>
        <v/>
      </c>
      <c r="AP76" s="488" t="str">
        <f t="shared" ref="AP76:AP85" si="85">IF(R76="","",IF(R76&lt;4,"",IF(R76&lt;5.5,1,IF(R76&lt;7,2,IF(R76&lt;8.5,3,4)))))</f>
        <v/>
      </c>
      <c r="AQ76" s="488" t="str">
        <f t="shared" ref="AQ76:AQ85" si="86">IF(S76="","",IF(S76&lt;4,"",IF(S76&lt;5.5,1,IF(S76&lt;7,2,IF(S76&lt;8.5,3,4)))))</f>
        <v/>
      </c>
      <c r="AR76" s="488" t="str">
        <f t="shared" ref="AR76:AR85" si="87">IF(T76="","",IF(T76&lt;4,"",IF(T76&lt;5.5,1,IF(T76&lt;7,2,IF(T76&lt;8.5,3,4)))))</f>
        <v/>
      </c>
      <c r="AS76" s="488" t="str">
        <f t="shared" ref="AS76:AS85" si="88">IF(U76="","",IF(U76&lt;4,"",IF(U76&lt;5.5,1,IF(U76&lt;7,2,IF(U76&lt;8.5,3,4)))))</f>
        <v/>
      </c>
      <c r="AT76" s="488" t="str">
        <f t="shared" ref="AT76:AT85" si="89">IF(V76="","",IF(V76&lt;4,"",IF(V76&lt;5.5,1,IF(V76&lt;7,2,IF(V76&lt;8.5,3,4)))))</f>
        <v/>
      </c>
      <c r="AU76" s="488" t="str">
        <f t="shared" ref="AU76:AU85" si="90">IF(W76="","",IF(W76&lt;4,"",IF(W76&lt;5.5,1,IF(W76&lt;7,2,IF(W76&lt;8.5,3,4)))))</f>
        <v/>
      </c>
      <c r="AV76" s="488" t="str">
        <f t="shared" ref="AV76:AV85" si="91">IF(X76="","",IF(X76&lt;4,"",IF(X76&lt;5.5,1,IF(X76&lt;7,2,IF(X76&lt;8.5,3,4)))))</f>
        <v/>
      </c>
      <c r="AW76" s="488" t="str">
        <f t="shared" ref="AW76:AW85" si="92">IF(Y76="","",IF(Y76&lt;4,"",IF(Y76&lt;5.5,1,IF(Y76&lt;7,2,IF(Y76&lt;8.5,3,4)))))</f>
        <v/>
      </c>
      <c r="AX76" s="488" t="str">
        <f t="shared" ref="AX76:AX85" si="93">IF(Z76="","",IF(Z76&lt;4,"",IF(Z76&lt;5.5,1,IF(Z76&lt;7,2,IF(Z76&lt;8.5,3,4)))))</f>
        <v/>
      </c>
      <c r="AY76" s="488" t="str">
        <f t="shared" ref="AY76:AY85" si="94">IF(AA76="","",IF(AA76&lt;4,"",IF(AA76&lt;5.5,1,IF(AA76&lt;7,2,IF(AA76&lt;8.5,3,4)))))</f>
        <v/>
      </c>
      <c r="AZ76" s="488" t="str">
        <f t="shared" ref="AZ76:AZ85" si="95">IF(AB76="","",IF(AB76&lt;4,"",IF(AB76&lt;5.5,1,IF(AB76&lt;7,2,IF(AB76&lt;8.5,3,4)))))</f>
        <v/>
      </c>
      <c r="BA76" s="488" t="str">
        <f t="shared" ref="BA76:BA85" si="96">IF(AC76="","",IF(AC76&lt;4,"",IF(AC76&lt;5.5,1,IF(AC76&lt;7,2,IF(AC76&lt;8.5,3,4)))))</f>
        <v/>
      </c>
      <c r="BB76" s="486" t="str">
        <f>IF('NH13-14'!B76="","",ROUND(SUMPRODUCT(AE76:BA76,$AE$7:$BA$7)/SUMIF(AE76:BA76,"&gt;=1",$AE$7:$BA$7),2))</f>
        <v/>
      </c>
      <c r="BC76" s="527" t="str">
        <f t="shared" ref="BC76:BC85" si="97">IF(G76&lt;4,"",G76)</f>
        <v/>
      </c>
      <c r="BD76" s="507" t="str">
        <f t="shared" ref="BD76:BD85" si="98">IF(H76&lt;4,"",H76)</f>
        <v/>
      </c>
      <c r="BE76" s="507" t="str">
        <f t="shared" ref="BE76:BE85" si="99">IF(I76&lt;4,"",I76)</f>
        <v/>
      </c>
      <c r="BF76" s="507" t="str">
        <f t="shared" ref="BF76:BF85" si="100">IF(J76&lt;4,"",J76)</f>
        <v/>
      </c>
      <c r="BG76" s="507" t="str">
        <f t="shared" ref="BG76:BG85" si="101">IF(K76&lt;4,"",K76)</f>
        <v/>
      </c>
      <c r="BH76" s="507" t="str">
        <f t="shared" ref="BH76:BH85" si="102">IF(L76&lt;4,"",L76)</f>
        <v/>
      </c>
      <c r="BI76" s="507" t="str">
        <f t="shared" ref="BI76:BI85" si="103">IF(M76&lt;4,"",M76)</f>
        <v/>
      </c>
      <c r="BJ76" s="507" t="str">
        <f t="shared" ref="BJ76:BJ85" si="104">IF(N76&lt;4,"",N76)</f>
        <v/>
      </c>
      <c r="BK76" s="507" t="str">
        <f t="shared" ref="BK76:BK85" si="105">IF(O76&lt;4,"",O76)</f>
        <v/>
      </c>
      <c r="BL76" s="507" t="str">
        <f t="shared" ref="BL76:BL85" si="106">IF(P76&lt;4,"",P76)</f>
        <v/>
      </c>
      <c r="BM76" s="507" t="str">
        <f t="shared" ref="BM76:BM85" si="107">IF(Q76&lt;4,"",Q76)</f>
        <v/>
      </c>
      <c r="BN76" s="507" t="str">
        <f t="shared" ref="BN76:BN85" si="108">IF(R76&lt;4,"",R76)</f>
        <v/>
      </c>
      <c r="BO76" s="507" t="str">
        <f t="shared" ref="BO76:BO85" si="109">IF(S76&lt;4,"",S76)</f>
        <v/>
      </c>
      <c r="BP76" s="507" t="str">
        <f t="shared" ref="BP76:BP85" si="110">IF(T76&lt;4,"",T76)</f>
        <v/>
      </c>
      <c r="BQ76" s="507" t="str">
        <f t="shared" ref="BQ76:BQ85" si="111">IF(U76&lt;4,"",U76)</f>
        <v/>
      </c>
      <c r="BR76" s="507" t="str">
        <f t="shared" ref="BR76:BR85" si="112">IF(V76&lt;4,"",V76)</f>
        <v/>
      </c>
      <c r="BS76" s="507" t="str">
        <f t="shared" ref="BS76:BS85" si="113">IF(W76&lt;4,"",W76)</f>
        <v/>
      </c>
      <c r="BT76" s="507" t="str">
        <f t="shared" ref="BT76:BT85" si="114">IF(X76&lt;4,"",X76)</f>
        <v/>
      </c>
      <c r="BU76" s="507" t="str">
        <f t="shared" ref="BU76:BU85" si="115">IF(Y76&lt;4,"",Y76)</f>
        <v/>
      </c>
      <c r="BV76" s="507" t="str">
        <f t="shared" ref="BV76:BV85" si="116">IF(Z76&lt;4,"",Z76)</f>
        <v/>
      </c>
      <c r="BW76" s="507" t="str">
        <f t="shared" ref="BW76:BW85" si="117">IF(AA76&lt;4,"",AA76)</f>
        <v/>
      </c>
      <c r="BX76" s="507" t="str">
        <f t="shared" ref="BX76:BX85" si="118">IF(AB76&lt;4,"",AB76)</f>
        <v/>
      </c>
      <c r="BY76" s="507" t="str">
        <f t="shared" ref="BY76:BY85" si="119">IF(AC76&lt;4,"",AC76)</f>
        <v/>
      </c>
    </row>
    <row r="77" spans="1:77">
      <c r="A77" s="481" t="str">
        <f>IF('NH13-14'!A77="","",'NH13-14'!A77)</f>
        <v/>
      </c>
      <c r="B77" s="482" t="str">
        <f>IF('NH13-14'!B77="","",'NH13-14'!B77)</f>
        <v/>
      </c>
      <c r="C77" s="490" t="str">
        <f t="shared" si="72"/>
        <v/>
      </c>
      <c r="D77" s="490" t="str">
        <f t="shared" si="73"/>
        <v/>
      </c>
      <c r="E77" s="483" t="str">
        <f>IF('NH13-14'!C77="","",'NH13-14'!C77)</f>
        <v/>
      </c>
      <c r="F77" s="484" t="str">
        <f>IF('NH13-14'!D77="","",'NH13-14'!D77)</f>
        <v/>
      </c>
      <c r="G77" s="485" t="str">
        <f>IF('NH13-14'!I77="",'NH13-14'!H77,IF('NH13-14'!I77&gt;='NH13-14'!H77,'NH13-14'!I77,'NH13-14'!H77))</f>
        <v/>
      </c>
      <c r="H77" s="485" t="str">
        <f>IF('NH13-14'!K77="",'NH13-14'!J77,IF('NH13-14'!K77&gt;='NH13-14'!J77,'NH13-14'!K77,'NH13-14'!J77))</f>
        <v/>
      </c>
      <c r="I77" s="485" t="str">
        <f>IF('NH13-14'!M77="",'NH13-14'!L77,IF('NH13-14'!M77&gt;='NH13-14'!L77,'NH13-14'!M77,'NH13-14'!L77))</f>
        <v/>
      </c>
      <c r="J77" s="485" t="str">
        <f>IF('NH13-14'!O77="",'NH13-14'!N77,IF('NH13-14'!O77&gt;='NH13-14'!N77,'NH13-14'!O77,'NH13-14'!N77))</f>
        <v/>
      </c>
      <c r="K77" s="485" t="str">
        <f>IF('NH13-14'!Q77="",'NH13-14'!P77,IF('NH13-14'!Q77&gt;='NH13-14'!P77,'NH13-14'!Q77,'NH13-14'!P77))</f>
        <v/>
      </c>
      <c r="L77" s="485" t="str">
        <f>IF('NH13-14'!S77="",'NH13-14'!R77,IF('NH13-14'!S77&gt;='NH13-14'!R77,'NH13-14'!S77,'NH13-14'!R77))</f>
        <v/>
      </c>
      <c r="M77" s="485" t="str">
        <f>IF('NH13-14'!U77="",'NH13-14'!T77,IF('NH13-14'!U77&gt;='NH13-14'!T77,'NH13-14'!U77,'NH13-14'!T77))</f>
        <v/>
      </c>
      <c r="N77" s="485" t="str">
        <f>IF('NH13-14'!W77="",'NH13-14'!V77,IF('NH13-14'!W77&gt;='NH13-14'!V77,'NH13-14'!W77,'NH13-14'!V77))</f>
        <v/>
      </c>
      <c r="O77" s="485" t="str">
        <f>IF('NH13-14'!Y77="",'NH13-14'!X77,IF('NH13-14'!Y77&gt;='NH13-14'!X77,'NH13-14'!Y77,'NH13-14'!X77))</f>
        <v/>
      </c>
      <c r="P77" s="485" t="str">
        <f>IF('NH13-14'!AA77="",'NH13-14'!Z77,IF('NH13-14'!AA77&gt;='NH13-14'!Z77,'NH13-14'!AA77,'NH13-14'!Z77))</f>
        <v/>
      </c>
      <c r="Q77" s="485" t="str">
        <f>IF('NH13-14'!AC77="",'NH13-14'!AB77,IF('NH13-14'!AC77&gt;='NH13-14'!AB77,'NH13-14'!AC77,'NH13-14'!AB77))</f>
        <v/>
      </c>
      <c r="R77" s="485" t="str">
        <f>IF('NH13-14'!AE77="",'NH13-14'!AD77,IF('NH13-14'!AE77&gt;='NH13-14'!AD77,'NH13-14'!AE77,'NH13-14'!AD77))</f>
        <v/>
      </c>
      <c r="S77" s="485" t="str">
        <f>IF('NH13-14'!AG77="",'NH13-14'!AF77,IF('NH13-14'!AG77&gt;='NH13-14'!AF77,'NH13-14'!AG77,'NH13-14'!AF77))</f>
        <v/>
      </c>
      <c r="T77" s="485" t="str">
        <f>IF('NH13-14'!AI77="",'NH13-14'!AH77,IF('NH13-14'!AI77&gt;='NH13-14'!AH77,'NH13-14'!AI77,'NH13-14'!AH77))</f>
        <v/>
      </c>
      <c r="U77" s="485" t="str">
        <f>IF('NH13-14'!AK77="",'NH13-14'!AJ77,IF('NH13-14'!AK77&gt;='NH13-14'!AJ77,'NH13-14'!AK77,'NH13-14'!AJ77))</f>
        <v/>
      </c>
      <c r="V77" s="485" t="str">
        <f>IF('NH13-14'!AM77="",'NH13-14'!AL77,IF('NH13-14'!AM77&gt;='NH13-14'!AL77,'NH13-14'!AM77,'NH13-14'!AL77))</f>
        <v/>
      </c>
      <c r="W77" s="485" t="str">
        <f>IF('NH13-14'!AO77="",'NH13-14'!AN77,IF('NH13-14'!AO77&gt;='NH13-14'!AN77,'NH13-14'!AO77,'NH13-14'!AN77))</f>
        <v/>
      </c>
      <c r="X77" s="485" t="str">
        <f>IF('NH13-14'!AQ77="",'NH13-14'!AP77,IF('NH13-14'!AQ77&gt;='NH13-14'!AP77,'NH13-14'!AQ77,'NH13-14'!AP77))</f>
        <v/>
      </c>
      <c r="Y77" s="485" t="str">
        <f>IF('NH13-14'!AS77="",'NH13-14'!AR77,IF('NH13-14'!AS77&gt;='NH13-14'!AR77,'NH13-14'!AS77,'NH13-14'!AR77))</f>
        <v/>
      </c>
      <c r="Z77" s="485" t="str">
        <f>IF('NH13-14'!AU77="",'NH13-14'!AT77,IF('NH13-14'!AU77&gt;='NH13-14'!AT77,'NH13-14'!AU77,'NH13-14'!AT77))</f>
        <v/>
      </c>
      <c r="AA77" s="485" t="str">
        <f>IF('NH13-14'!AW77="",'NH13-14'!AV77,IF('NH13-14'!AW77&gt;='NH13-14'!AV77,'NH13-14'!AW77,'NH13-14'!AV77))</f>
        <v/>
      </c>
      <c r="AB77" s="485" t="str">
        <f>IF('NH13-14'!AY77="",'NH13-14'!AX77,IF('NH13-14'!AY77&gt;='NH13-14'!AX77,'NH13-14'!AY77,'NH13-14'!AX77))</f>
        <v/>
      </c>
      <c r="AC77" s="485" t="str">
        <f>IF('NH13-14'!BA77="",'NH13-14'!AZ77,IF('NH13-14'!BA77&gt;='NH13-14'!AZ77,'NH13-14'!BA77,'NH13-14'!AZ77))</f>
        <v/>
      </c>
      <c r="AD77" s="486" t="str">
        <f>IF('NH13-14'!B77="","",ROUND(SUMPRODUCT(G77:AC77,$G$7:$AC$7)/SUMIF(G77:AC77,"&gt;=0",$G$7:$AC$7),2))</f>
        <v/>
      </c>
      <c r="AE77" s="487" t="str">
        <f t="shared" si="74"/>
        <v/>
      </c>
      <c r="AF77" s="488" t="str">
        <f t="shared" si="75"/>
        <v/>
      </c>
      <c r="AG77" s="488" t="str">
        <f t="shared" si="76"/>
        <v/>
      </c>
      <c r="AH77" s="488" t="str">
        <f t="shared" si="77"/>
        <v/>
      </c>
      <c r="AI77" s="488" t="str">
        <f t="shared" si="78"/>
        <v/>
      </c>
      <c r="AJ77" s="488" t="str">
        <f t="shared" si="79"/>
        <v/>
      </c>
      <c r="AK77" s="488" t="str">
        <f t="shared" si="80"/>
        <v/>
      </c>
      <c r="AL77" s="488" t="str">
        <f t="shared" si="81"/>
        <v/>
      </c>
      <c r="AM77" s="488" t="str">
        <f t="shared" si="82"/>
        <v/>
      </c>
      <c r="AN77" s="488" t="str">
        <f t="shared" si="83"/>
        <v/>
      </c>
      <c r="AO77" s="488" t="str">
        <f t="shared" si="84"/>
        <v/>
      </c>
      <c r="AP77" s="488" t="str">
        <f t="shared" si="85"/>
        <v/>
      </c>
      <c r="AQ77" s="488" t="str">
        <f t="shared" si="86"/>
        <v/>
      </c>
      <c r="AR77" s="488" t="str">
        <f t="shared" si="87"/>
        <v/>
      </c>
      <c r="AS77" s="488" t="str">
        <f t="shared" si="88"/>
        <v/>
      </c>
      <c r="AT77" s="488" t="str">
        <f t="shared" si="89"/>
        <v/>
      </c>
      <c r="AU77" s="488" t="str">
        <f t="shared" si="90"/>
        <v/>
      </c>
      <c r="AV77" s="488" t="str">
        <f t="shared" si="91"/>
        <v/>
      </c>
      <c r="AW77" s="488" t="str">
        <f t="shared" si="92"/>
        <v/>
      </c>
      <c r="AX77" s="488" t="str">
        <f t="shared" si="93"/>
        <v/>
      </c>
      <c r="AY77" s="488" t="str">
        <f t="shared" si="94"/>
        <v/>
      </c>
      <c r="AZ77" s="488" t="str">
        <f t="shared" si="95"/>
        <v/>
      </c>
      <c r="BA77" s="488" t="str">
        <f t="shared" si="96"/>
        <v/>
      </c>
      <c r="BB77" s="486" t="str">
        <f>IF('NH13-14'!B77="","",ROUND(SUMPRODUCT(AE77:BA77,$AE$7:$BA$7)/SUMIF(AE77:BA77,"&gt;=1",$AE$7:$BA$7),2))</f>
        <v/>
      </c>
      <c r="BC77" s="527" t="str">
        <f t="shared" si="97"/>
        <v/>
      </c>
      <c r="BD77" s="507" t="str">
        <f t="shared" si="98"/>
        <v/>
      </c>
      <c r="BE77" s="507" t="str">
        <f t="shared" si="99"/>
        <v/>
      </c>
      <c r="BF77" s="507" t="str">
        <f t="shared" si="100"/>
        <v/>
      </c>
      <c r="BG77" s="507" t="str">
        <f t="shared" si="101"/>
        <v/>
      </c>
      <c r="BH77" s="507" t="str">
        <f t="shared" si="102"/>
        <v/>
      </c>
      <c r="BI77" s="507" t="str">
        <f t="shared" si="103"/>
        <v/>
      </c>
      <c r="BJ77" s="507" t="str">
        <f t="shared" si="104"/>
        <v/>
      </c>
      <c r="BK77" s="507" t="str">
        <f t="shared" si="105"/>
        <v/>
      </c>
      <c r="BL77" s="507" t="str">
        <f t="shared" si="106"/>
        <v/>
      </c>
      <c r="BM77" s="507" t="str">
        <f t="shared" si="107"/>
        <v/>
      </c>
      <c r="BN77" s="507" t="str">
        <f t="shared" si="108"/>
        <v/>
      </c>
      <c r="BO77" s="507" t="str">
        <f t="shared" si="109"/>
        <v/>
      </c>
      <c r="BP77" s="507" t="str">
        <f t="shared" si="110"/>
        <v/>
      </c>
      <c r="BQ77" s="507" t="str">
        <f t="shared" si="111"/>
        <v/>
      </c>
      <c r="BR77" s="507" t="str">
        <f t="shared" si="112"/>
        <v/>
      </c>
      <c r="BS77" s="507" t="str">
        <f t="shared" si="113"/>
        <v/>
      </c>
      <c r="BT77" s="507" t="str">
        <f t="shared" si="114"/>
        <v/>
      </c>
      <c r="BU77" s="507" t="str">
        <f t="shared" si="115"/>
        <v/>
      </c>
      <c r="BV77" s="507" t="str">
        <f t="shared" si="116"/>
        <v/>
      </c>
      <c r="BW77" s="507" t="str">
        <f t="shared" si="117"/>
        <v/>
      </c>
      <c r="BX77" s="507" t="str">
        <f t="shared" si="118"/>
        <v/>
      </c>
      <c r="BY77" s="507" t="str">
        <f t="shared" si="119"/>
        <v/>
      </c>
    </row>
    <row r="78" spans="1:77">
      <c r="A78" s="481" t="str">
        <f>IF('NH13-14'!A78="","",'NH13-14'!A78)</f>
        <v/>
      </c>
      <c r="B78" s="482" t="str">
        <f>IF('NH13-14'!B78="","",'NH13-14'!B78)</f>
        <v/>
      </c>
      <c r="C78" s="490" t="str">
        <f t="shared" si="72"/>
        <v/>
      </c>
      <c r="D78" s="490" t="str">
        <f t="shared" si="73"/>
        <v/>
      </c>
      <c r="E78" s="483" t="str">
        <f>IF('NH13-14'!C78="","",'NH13-14'!C78)</f>
        <v/>
      </c>
      <c r="F78" s="484" t="str">
        <f>IF('NH13-14'!D78="","",'NH13-14'!D78)</f>
        <v/>
      </c>
      <c r="G78" s="485" t="str">
        <f>IF('NH13-14'!I78="",'NH13-14'!H78,IF('NH13-14'!I78&gt;='NH13-14'!H78,'NH13-14'!I78,'NH13-14'!H78))</f>
        <v/>
      </c>
      <c r="H78" s="485" t="str">
        <f>IF('NH13-14'!K78="",'NH13-14'!J78,IF('NH13-14'!K78&gt;='NH13-14'!J78,'NH13-14'!K78,'NH13-14'!J78))</f>
        <v/>
      </c>
      <c r="I78" s="485" t="str">
        <f>IF('NH13-14'!M78="",'NH13-14'!L78,IF('NH13-14'!M78&gt;='NH13-14'!L78,'NH13-14'!M78,'NH13-14'!L78))</f>
        <v/>
      </c>
      <c r="J78" s="485" t="str">
        <f>IF('NH13-14'!O78="",'NH13-14'!N78,IF('NH13-14'!O78&gt;='NH13-14'!N78,'NH13-14'!O78,'NH13-14'!N78))</f>
        <v/>
      </c>
      <c r="K78" s="485" t="str">
        <f>IF('NH13-14'!Q78="",'NH13-14'!P78,IF('NH13-14'!Q78&gt;='NH13-14'!P78,'NH13-14'!Q78,'NH13-14'!P78))</f>
        <v/>
      </c>
      <c r="L78" s="485" t="str">
        <f>IF('NH13-14'!S78="",'NH13-14'!R78,IF('NH13-14'!S78&gt;='NH13-14'!R78,'NH13-14'!S78,'NH13-14'!R78))</f>
        <v/>
      </c>
      <c r="M78" s="485" t="str">
        <f>IF('NH13-14'!U78="",'NH13-14'!T78,IF('NH13-14'!U78&gt;='NH13-14'!T78,'NH13-14'!U78,'NH13-14'!T78))</f>
        <v/>
      </c>
      <c r="N78" s="485" t="str">
        <f>IF('NH13-14'!W78="",'NH13-14'!V78,IF('NH13-14'!W78&gt;='NH13-14'!V78,'NH13-14'!W78,'NH13-14'!V78))</f>
        <v/>
      </c>
      <c r="O78" s="485" t="str">
        <f>IF('NH13-14'!Y78="",'NH13-14'!X78,IF('NH13-14'!Y78&gt;='NH13-14'!X78,'NH13-14'!Y78,'NH13-14'!X78))</f>
        <v/>
      </c>
      <c r="P78" s="485" t="str">
        <f>IF('NH13-14'!AA78="",'NH13-14'!Z78,IF('NH13-14'!AA78&gt;='NH13-14'!Z78,'NH13-14'!AA78,'NH13-14'!Z78))</f>
        <v/>
      </c>
      <c r="Q78" s="485" t="str">
        <f>IF('NH13-14'!AC78="",'NH13-14'!AB78,IF('NH13-14'!AC78&gt;='NH13-14'!AB78,'NH13-14'!AC78,'NH13-14'!AB78))</f>
        <v/>
      </c>
      <c r="R78" s="485" t="str">
        <f>IF('NH13-14'!AE78="",'NH13-14'!AD78,IF('NH13-14'!AE78&gt;='NH13-14'!AD78,'NH13-14'!AE78,'NH13-14'!AD78))</f>
        <v/>
      </c>
      <c r="S78" s="485" t="str">
        <f>IF('NH13-14'!AG78="",'NH13-14'!AF78,IF('NH13-14'!AG78&gt;='NH13-14'!AF78,'NH13-14'!AG78,'NH13-14'!AF78))</f>
        <v/>
      </c>
      <c r="T78" s="485" t="str">
        <f>IF('NH13-14'!AI78="",'NH13-14'!AH78,IF('NH13-14'!AI78&gt;='NH13-14'!AH78,'NH13-14'!AI78,'NH13-14'!AH78))</f>
        <v/>
      </c>
      <c r="U78" s="485" t="str">
        <f>IF('NH13-14'!AK78="",'NH13-14'!AJ78,IF('NH13-14'!AK78&gt;='NH13-14'!AJ78,'NH13-14'!AK78,'NH13-14'!AJ78))</f>
        <v/>
      </c>
      <c r="V78" s="485" t="str">
        <f>IF('NH13-14'!AM78="",'NH13-14'!AL78,IF('NH13-14'!AM78&gt;='NH13-14'!AL78,'NH13-14'!AM78,'NH13-14'!AL78))</f>
        <v/>
      </c>
      <c r="W78" s="485" t="str">
        <f>IF('NH13-14'!AO78="",'NH13-14'!AN78,IF('NH13-14'!AO78&gt;='NH13-14'!AN78,'NH13-14'!AO78,'NH13-14'!AN78))</f>
        <v/>
      </c>
      <c r="X78" s="485" t="str">
        <f>IF('NH13-14'!AQ78="",'NH13-14'!AP78,IF('NH13-14'!AQ78&gt;='NH13-14'!AP78,'NH13-14'!AQ78,'NH13-14'!AP78))</f>
        <v/>
      </c>
      <c r="Y78" s="485" t="str">
        <f>IF('NH13-14'!AS78="",'NH13-14'!AR78,IF('NH13-14'!AS78&gt;='NH13-14'!AR78,'NH13-14'!AS78,'NH13-14'!AR78))</f>
        <v/>
      </c>
      <c r="Z78" s="485" t="str">
        <f>IF('NH13-14'!AU78="",'NH13-14'!AT78,IF('NH13-14'!AU78&gt;='NH13-14'!AT78,'NH13-14'!AU78,'NH13-14'!AT78))</f>
        <v/>
      </c>
      <c r="AA78" s="485" t="str">
        <f>IF('NH13-14'!AW78="",'NH13-14'!AV78,IF('NH13-14'!AW78&gt;='NH13-14'!AV78,'NH13-14'!AW78,'NH13-14'!AV78))</f>
        <v/>
      </c>
      <c r="AB78" s="485" t="str">
        <f>IF('NH13-14'!AY78="",'NH13-14'!AX78,IF('NH13-14'!AY78&gt;='NH13-14'!AX78,'NH13-14'!AY78,'NH13-14'!AX78))</f>
        <v/>
      </c>
      <c r="AC78" s="485" t="str">
        <f>IF('NH13-14'!BA78="",'NH13-14'!AZ78,IF('NH13-14'!BA78&gt;='NH13-14'!AZ78,'NH13-14'!BA78,'NH13-14'!AZ78))</f>
        <v/>
      </c>
      <c r="AD78" s="486" t="str">
        <f>IF('NH13-14'!B78="","",ROUND(SUMPRODUCT(G78:AC78,$G$7:$AC$7)/SUMIF(G78:AC78,"&gt;=0",$G$7:$AC$7),2))</f>
        <v/>
      </c>
      <c r="AE78" s="487" t="str">
        <f t="shared" si="74"/>
        <v/>
      </c>
      <c r="AF78" s="488" t="str">
        <f t="shared" si="75"/>
        <v/>
      </c>
      <c r="AG78" s="488" t="str">
        <f t="shared" si="76"/>
        <v/>
      </c>
      <c r="AH78" s="488" t="str">
        <f t="shared" si="77"/>
        <v/>
      </c>
      <c r="AI78" s="488" t="str">
        <f t="shared" si="78"/>
        <v/>
      </c>
      <c r="AJ78" s="488" t="str">
        <f t="shared" si="79"/>
        <v/>
      </c>
      <c r="AK78" s="488" t="str">
        <f t="shared" si="80"/>
        <v/>
      </c>
      <c r="AL78" s="488" t="str">
        <f t="shared" si="81"/>
        <v/>
      </c>
      <c r="AM78" s="488" t="str">
        <f t="shared" si="82"/>
        <v/>
      </c>
      <c r="AN78" s="488" t="str">
        <f t="shared" si="83"/>
        <v/>
      </c>
      <c r="AO78" s="488" t="str">
        <f t="shared" si="84"/>
        <v/>
      </c>
      <c r="AP78" s="488" t="str">
        <f t="shared" si="85"/>
        <v/>
      </c>
      <c r="AQ78" s="488" t="str">
        <f t="shared" si="86"/>
        <v/>
      </c>
      <c r="AR78" s="488" t="str">
        <f t="shared" si="87"/>
        <v/>
      </c>
      <c r="AS78" s="488" t="str">
        <f t="shared" si="88"/>
        <v/>
      </c>
      <c r="AT78" s="488" t="str">
        <f t="shared" si="89"/>
        <v/>
      </c>
      <c r="AU78" s="488" t="str">
        <f t="shared" si="90"/>
        <v/>
      </c>
      <c r="AV78" s="488" t="str">
        <f t="shared" si="91"/>
        <v/>
      </c>
      <c r="AW78" s="488" t="str">
        <f t="shared" si="92"/>
        <v/>
      </c>
      <c r="AX78" s="488" t="str">
        <f t="shared" si="93"/>
        <v/>
      </c>
      <c r="AY78" s="488" t="str">
        <f t="shared" si="94"/>
        <v/>
      </c>
      <c r="AZ78" s="488" t="str">
        <f t="shared" si="95"/>
        <v/>
      </c>
      <c r="BA78" s="488" t="str">
        <f t="shared" si="96"/>
        <v/>
      </c>
      <c r="BB78" s="486" t="str">
        <f>IF('NH13-14'!B78="","",ROUND(SUMPRODUCT(AE78:BA78,$AE$7:$BA$7)/SUMIF(AE78:BA78,"&gt;=1",$AE$7:$BA$7),2))</f>
        <v/>
      </c>
      <c r="BC78" s="527" t="str">
        <f t="shared" si="97"/>
        <v/>
      </c>
      <c r="BD78" s="507" t="str">
        <f t="shared" si="98"/>
        <v/>
      </c>
      <c r="BE78" s="507" t="str">
        <f t="shared" si="99"/>
        <v/>
      </c>
      <c r="BF78" s="507" t="str">
        <f t="shared" si="100"/>
        <v/>
      </c>
      <c r="BG78" s="507" t="str">
        <f t="shared" si="101"/>
        <v/>
      </c>
      <c r="BH78" s="507" t="str">
        <f t="shared" si="102"/>
        <v/>
      </c>
      <c r="BI78" s="507" t="str">
        <f t="shared" si="103"/>
        <v/>
      </c>
      <c r="BJ78" s="507" t="str">
        <f t="shared" si="104"/>
        <v/>
      </c>
      <c r="BK78" s="507" t="str">
        <f t="shared" si="105"/>
        <v/>
      </c>
      <c r="BL78" s="507" t="str">
        <f t="shared" si="106"/>
        <v/>
      </c>
      <c r="BM78" s="507" t="str">
        <f t="shared" si="107"/>
        <v/>
      </c>
      <c r="BN78" s="507" t="str">
        <f t="shared" si="108"/>
        <v/>
      </c>
      <c r="BO78" s="507" t="str">
        <f t="shared" si="109"/>
        <v/>
      </c>
      <c r="BP78" s="507" t="str">
        <f t="shared" si="110"/>
        <v/>
      </c>
      <c r="BQ78" s="507" t="str">
        <f t="shared" si="111"/>
        <v/>
      </c>
      <c r="BR78" s="507" t="str">
        <f t="shared" si="112"/>
        <v/>
      </c>
      <c r="BS78" s="507" t="str">
        <f t="shared" si="113"/>
        <v/>
      </c>
      <c r="BT78" s="507" t="str">
        <f t="shared" si="114"/>
        <v/>
      </c>
      <c r="BU78" s="507" t="str">
        <f t="shared" si="115"/>
        <v/>
      </c>
      <c r="BV78" s="507" t="str">
        <f t="shared" si="116"/>
        <v/>
      </c>
      <c r="BW78" s="507" t="str">
        <f t="shared" si="117"/>
        <v/>
      </c>
      <c r="BX78" s="507" t="str">
        <f t="shared" si="118"/>
        <v/>
      </c>
      <c r="BY78" s="507" t="str">
        <f t="shared" si="119"/>
        <v/>
      </c>
    </row>
    <row r="79" spans="1:77">
      <c r="A79" s="481" t="str">
        <f>IF('NH13-14'!A79="","",'NH13-14'!A79)</f>
        <v/>
      </c>
      <c r="B79" s="482" t="str">
        <f>IF('NH13-14'!B79="","",'NH13-14'!B79)</f>
        <v/>
      </c>
      <c r="C79" s="490" t="str">
        <f t="shared" si="72"/>
        <v/>
      </c>
      <c r="D79" s="490" t="str">
        <f t="shared" si="73"/>
        <v/>
      </c>
      <c r="E79" s="483" t="str">
        <f>IF('NH13-14'!C79="","",'NH13-14'!C79)</f>
        <v/>
      </c>
      <c r="F79" s="484" t="str">
        <f>IF('NH13-14'!D79="","",'NH13-14'!D79)</f>
        <v/>
      </c>
      <c r="G79" s="485" t="str">
        <f>IF('NH13-14'!I79="",'NH13-14'!H79,IF('NH13-14'!I79&gt;='NH13-14'!H79,'NH13-14'!I79,'NH13-14'!H79))</f>
        <v/>
      </c>
      <c r="H79" s="485" t="str">
        <f>IF('NH13-14'!K79="",'NH13-14'!J79,IF('NH13-14'!K79&gt;='NH13-14'!J79,'NH13-14'!K79,'NH13-14'!J79))</f>
        <v/>
      </c>
      <c r="I79" s="485" t="str">
        <f>IF('NH13-14'!M79="",'NH13-14'!L79,IF('NH13-14'!M79&gt;='NH13-14'!L79,'NH13-14'!M79,'NH13-14'!L79))</f>
        <v/>
      </c>
      <c r="J79" s="485" t="str">
        <f>IF('NH13-14'!O79="",'NH13-14'!N79,IF('NH13-14'!O79&gt;='NH13-14'!N79,'NH13-14'!O79,'NH13-14'!N79))</f>
        <v/>
      </c>
      <c r="K79" s="485" t="str">
        <f>IF('NH13-14'!Q79="",'NH13-14'!P79,IF('NH13-14'!Q79&gt;='NH13-14'!P79,'NH13-14'!Q79,'NH13-14'!P79))</f>
        <v/>
      </c>
      <c r="L79" s="485" t="str">
        <f>IF('NH13-14'!S79="",'NH13-14'!R79,IF('NH13-14'!S79&gt;='NH13-14'!R79,'NH13-14'!S79,'NH13-14'!R79))</f>
        <v/>
      </c>
      <c r="M79" s="485" t="str">
        <f>IF('NH13-14'!U79="",'NH13-14'!T79,IF('NH13-14'!U79&gt;='NH13-14'!T79,'NH13-14'!U79,'NH13-14'!T79))</f>
        <v/>
      </c>
      <c r="N79" s="485" t="str">
        <f>IF('NH13-14'!W79="",'NH13-14'!V79,IF('NH13-14'!W79&gt;='NH13-14'!V79,'NH13-14'!W79,'NH13-14'!V79))</f>
        <v/>
      </c>
      <c r="O79" s="485" t="str">
        <f>IF('NH13-14'!Y79="",'NH13-14'!X79,IF('NH13-14'!Y79&gt;='NH13-14'!X79,'NH13-14'!Y79,'NH13-14'!X79))</f>
        <v/>
      </c>
      <c r="P79" s="485" t="str">
        <f>IF('NH13-14'!AA79="",'NH13-14'!Z79,IF('NH13-14'!AA79&gt;='NH13-14'!Z79,'NH13-14'!AA79,'NH13-14'!Z79))</f>
        <v/>
      </c>
      <c r="Q79" s="485" t="str">
        <f>IF('NH13-14'!AC79="",'NH13-14'!AB79,IF('NH13-14'!AC79&gt;='NH13-14'!AB79,'NH13-14'!AC79,'NH13-14'!AB79))</f>
        <v/>
      </c>
      <c r="R79" s="485" t="str">
        <f>IF('NH13-14'!AE79="",'NH13-14'!AD79,IF('NH13-14'!AE79&gt;='NH13-14'!AD79,'NH13-14'!AE79,'NH13-14'!AD79))</f>
        <v/>
      </c>
      <c r="S79" s="485" t="str">
        <f>IF('NH13-14'!AG79="",'NH13-14'!AF79,IF('NH13-14'!AG79&gt;='NH13-14'!AF79,'NH13-14'!AG79,'NH13-14'!AF79))</f>
        <v/>
      </c>
      <c r="T79" s="485" t="str">
        <f>IF('NH13-14'!AI79="",'NH13-14'!AH79,IF('NH13-14'!AI79&gt;='NH13-14'!AH79,'NH13-14'!AI79,'NH13-14'!AH79))</f>
        <v/>
      </c>
      <c r="U79" s="485" t="str">
        <f>IF('NH13-14'!AK79="",'NH13-14'!AJ79,IF('NH13-14'!AK79&gt;='NH13-14'!AJ79,'NH13-14'!AK79,'NH13-14'!AJ79))</f>
        <v/>
      </c>
      <c r="V79" s="485" t="str">
        <f>IF('NH13-14'!AM79="",'NH13-14'!AL79,IF('NH13-14'!AM79&gt;='NH13-14'!AL79,'NH13-14'!AM79,'NH13-14'!AL79))</f>
        <v/>
      </c>
      <c r="W79" s="485" t="str">
        <f>IF('NH13-14'!AO79="",'NH13-14'!AN79,IF('NH13-14'!AO79&gt;='NH13-14'!AN79,'NH13-14'!AO79,'NH13-14'!AN79))</f>
        <v/>
      </c>
      <c r="X79" s="485" t="str">
        <f>IF('NH13-14'!AQ79="",'NH13-14'!AP79,IF('NH13-14'!AQ79&gt;='NH13-14'!AP79,'NH13-14'!AQ79,'NH13-14'!AP79))</f>
        <v/>
      </c>
      <c r="Y79" s="485" t="str">
        <f>IF('NH13-14'!AS79="",'NH13-14'!AR79,IF('NH13-14'!AS79&gt;='NH13-14'!AR79,'NH13-14'!AS79,'NH13-14'!AR79))</f>
        <v/>
      </c>
      <c r="Z79" s="485" t="str">
        <f>IF('NH13-14'!AU79="",'NH13-14'!AT79,IF('NH13-14'!AU79&gt;='NH13-14'!AT79,'NH13-14'!AU79,'NH13-14'!AT79))</f>
        <v/>
      </c>
      <c r="AA79" s="485" t="str">
        <f>IF('NH13-14'!AW79="",'NH13-14'!AV79,IF('NH13-14'!AW79&gt;='NH13-14'!AV79,'NH13-14'!AW79,'NH13-14'!AV79))</f>
        <v/>
      </c>
      <c r="AB79" s="485" t="str">
        <f>IF('NH13-14'!AY79="",'NH13-14'!AX79,IF('NH13-14'!AY79&gt;='NH13-14'!AX79,'NH13-14'!AY79,'NH13-14'!AX79))</f>
        <v/>
      </c>
      <c r="AC79" s="485" t="str">
        <f>IF('NH13-14'!BA79="",'NH13-14'!AZ79,IF('NH13-14'!BA79&gt;='NH13-14'!AZ79,'NH13-14'!BA79,'NH13-14'!AZ79))</f>
        <v/>
      </c>
      <c r="AD79" s="486" t="str">
        <f>IF('NH13-14'!B79="","",ROUND(SUMPRODUCT(G79:AC79,$G$7:$AC$7)/SUMIF(G79:AC79,"&gt;=0",$G$7:$AC$7),2))</f>
        <v/>
      </c>
      <c r="AE79" s="487" t="str">
        <f t="shared" si="74"/>
        <v/>
      </c>
      <c r="AF79" s="488" t="str">
        <f t="shared" si="75"/>
        <v/>
      </c>
      <c r="AG79" s="488" t="str">
        <f t="shared" si="76"/>
        <v/>
      </c>
      <c r="AH79" s="488" t="str">
        <f t="shared" si="77"/>
        <v/>
      </c>
      <c r="AI79" s="488" t="str">
        <f t="shared" si="78"/>
        <v/>
      </c>
      <c r="AJ79" s="488" t="str">
        <f t="shared" si="79"/>
        <v/>
      </c>
      <c r="AK79" s="488" t="str">
        <f t="shared" si="80"/>
        <v/>
      </c>
      <c r="AL79" s="488" t="str">
        <f t="shared" si="81"/>
        <v/>
      </c>
      <c r="AM79" s="488" t="str">
        <f t="shared" si="82"/>
        <v/>
      </c>
      <c r="AN79" s="488" t="str">
        <f t="shared" si="83"/>
        <v/>
      </c>
      <c r="AO79" s="488" t="str">
        <f t="shared" si="84"/>
        <v/>
      </c>
      <c r="AP79" s="488" t="str">
        <f t="shared" si="85"/>
        <v/>
      </c>
      <c r="AQ79" s="488" t="str">
        <f t="shared" si="86"/>
        <v/>
      </c>
      <c r="AR79" s="488" t="str">
        <f t="shared" si="87"/>
        <v/>
      </c>
      <c r="AS79" s="488" t="str">
        <f t="shared" si="88"/>
        <v/>
      </c>
      <c r="AT79" s="488" t="str">
        <f t="shared" si="89"/>
        <v/>
      </c>
      <c r="AU79" s="488" t="str">
        <f t="shared" si="90"/>
        <v/>
      </c>
      <c r="AV79" s="488" t="str">
        <f t="shared" si="91"/>
        <v/>
      </c>
      <c r="AW79" s="488" t="str">
        <f t="shared" si="92"/>
        <v/>
      </c>
      <c r="AX79" s="488" t="str">
        <f t="shared" si="93"/>
        <v/>
      </c>
      <c r="AY79" s="488" t="str">
        <f t="shared" si="94"/>
        <v/>
      </c>
      <c r="AZ79" s="488" t="str">
        <f t="shared" si="95"/>
        <v/>
      </c>
      <c r="BA79" s="488" t="str">
        <f t="shared" si="96"/>
        <v/>
      </c>
      <c r="BB79" s="486" t="str">
        <f>IF('NH13-14'!B79="","",ROUND(SUMPRODUCT(AE79:BA79,$AE$7:$BA$7)/SUMIF(AE79:BA79,"&gt;=1",$AE$7:$BA$7),2))</f>
        <v/>
      </c>
      <c r="BC79" s="527" t="str">
        <f t="shared" si="97"/>
        <v/>
      </c>
      <c r="BD79" s="507" t="str">
        <f t="shared" si="98"/>
        <v/>
      </c>
      <c r="BE79" s="507" t="str">
        <f t="shared" si="99"/>
        <v/>
      </c>
      <c r="BF79" s="507" t="str">
        <f t="shared" si="100"/>
        <v/>
      </c>
      <c r="BG79" s="507" t="str">
        <f t="shared" si="101"/>
        <v/>
      </c>
      <c r="BH79" s="507" t="str">
        <f t="shared" si="102"/>
        <v/>
      </c>
      <c r="BI79" s="507" t="str">
        <f t="shared" si="103"/>
        <v/>
      </c>
      <c r="BJ79" s="507" t="str">
        <f t="shared" si="104"/>
        <v/>
      </c>
      <c r="BK79" s="507" t="str">
        <f t="shared" si="105"/>
        <v/>
      </c>
      <c r="BL79" s="507" t="str">
        <f t="shared" si="106"/>
        <v/>
      </c>
      <c r="BM79" s="507" t="str">
        <f t="shared" si="107"/>
        <v/>
      </c>
      <c r="BN79" s="507" t="str">
        <f t="shared" si="108"/>
        <v/>
      </c>
      <c r="BO79" s="507" t="str">
        <f t="shared" si="109"/>
        <v/>
      </c>
      <c r="BP79" s="507" t="str">
        <f t="shared" si="110"/>
        <v/>
      </c>
      <c r="BQ79" s="507" t="str">
        <f t="shared" si="111"/>
        <v/>
      </c>
      <c r="BR79" s="507" t="str">
        <f t="shared" si="112"/>
        <v/>
      </c>
      <c r="BS79" s="507" t="str">
        <f t="shared" si="113"/>
        <v/>
      </c>
      <c r="BT79" s="507" t="str">
        <f t="shared" si="114"/>
        <v/>
      </c>
      <c r="BU79" s="507" t="str">
        <f t="shared" si="115"/>
        <v/>
      </c>
      <c r="BV79" s="507" t="str">
        <f t="shared" si="116"/>
        <v/>
      </c>
      <c r="BW79" s="507" t="str">
        <f t="shared" si="117"/>
        <v/>
      </c>
      <c r="BX79" s="507" t="str">
        <f t="shared" si="118"/>
        <v/>
      </c>
      <c r="BY79" s="507" t="str">
        <f t="shared" si="119"/>
        <v/>
      </c>
    </row>
    <row r="80" spans="1:77">
      <c r="A80" s="481" t="str">
        <f>IF('NH13-14'!A80="","",'NH13-14'!A80)</f>
        <v/>
      </c>
      <c r="B80" s="482" t="str">
        <f>IF('NH13-14'!B80="","",'NH13-14'!B80)</f>
        <v/>
      </c>
      <c r="C80" s="490" t="str">
        <f t="shared" si="72"/>
        <v/>
      </c>
      <c r="D80" s="490" t="str">
        <f t="shared" si="73"/>
        <v/>
      </c>
      <c r="E80" s="483" t="str">
        <f>IF('NH13-14'!C80="","",'NH13-14'!C80)</f>
        <v/>
      </c>
      <c r="F80" s="484" t="str">
        <f>IF('NH13-14'!D80="","",'NH13-14'!D80)</f>
        <v/>
      </c>
      <c r="G80" s="485" t="str">
        <f>IF('NH13-14'!I80="",'NH13-14'!H80,IF('NH13-14'!I80&gt;='NH13-14'!H80,'NH13-14'!I80,'NH13-14'!H80))</f>
        <v/>
      </c>
      <c r="H80" s="485" t="str">
        <f>IF('NH13-14'!K80="",'NH13-14'!J80,IF('NH13-14'!K80&gt;='NH13-14'!J80,'NH13-14'!K80,'NH13-14'!J80))</f>
        <v/>
      </c>
      <c r="I80" s="485" t="str">
        <f>IF('NH13-14'!M80="",'NH13-14'!L80,IF('NH13-14'!M80&gt;='NH13-14'!L80,'NH13-14'!M80,'NH13-14'!L80))</f>
        <v/>
      </c>
      <c r="J80" s="485" t="str">
        <f>IF('NH13-14'!O80="",'NH13-14'!N80,IF('NH13-14'!O80&gt;='NH13-14'!N80,'NH13-14'!O80,'NH13-14'!N80))</f>
        <v/>
      </c>
      <c r="K80" s="485" t="str">
        <f>IF('NH13-14'!Q80="",'NH13-14'!P80,IF('NH13-14'!Q80&gt;='NH13-14'!P80,'NH13-14'!Q80,'NH13-14'!P80))</f>
        <v/>
      </c>
      <c r="L80" s="485" t="str">
        <f>IF('NH13-14'!S80="",'NH13-14'!R80,IF('NH13-14'!S80&gt;='NH13-14'!R80,'NH13-14'!S80,'NH13-14'!R80))</f>
        <v/>
      </c>
      <c r="M80" s="485" t="str">
        <f>IF('NH13-14'!U80="",'NH13-14'!T80,IF('NH13-14'!U80&gt;='NH13-14'!T80,'NH13-14'!U80,'NH13-14'!T80))</f>
        <v/>
      </c>
      <c r="N80" s="485" t="str">
        <f>IF('NH13-14'!W80="",'NH13-14'!V80,IF('NH13-14'!W80&gt;='NH13-14'!V80,'NH13-14'!W80,'NH13-14'!V80))</f>
        <v/>
      </c>
      <c r="O80" s="485" t="str">
        <f>IF('NH13-14'!Y80="",'NH13-14'!X80,IF('NH13-14'!Y80&gt;='NH13-14'!X80,'NH13-14'!Y80,'NH13-14'!X80))</f>
        <v/>
      </c>
      <c r="P80" s="485" t="str">
        <f>IF('NH13-14'!AA80="",'NH13-14'!Z80,IF('NH13-14'!AA80&gt;='NH13-14'!Z80,'NH13-14'!AA80,'NH13-14'!Z80))</f>
        <v/>
      </c>
      <c r="Q80" s="485" t="str">
        <f>IF('NH13-14'!AC80="",'NH13-14'!AB80,IF('NH13-14'!AC80&gt;='NH13-14'!AB80,'NH13-14'!AC80,'NH13-14'!AB80))</f>
        <v/>
      </c>
      <c r="R80" s="485" t="str">
        <f>IF('NH13-14'!AE80="",'NH13-14'!AD80,IF('NH13-14'!AE80&gt;='NH13-14'!AD80,'NH13-14'!AE80,'NH13-14'!AD80))</f>
        <v/>
      </c>
      <c r="S80" s="485" t="str">
        <f>IF('NH13-14'!AG80="",'NH13-14'!AF80,IF('NH13-14'!AG80&gt;='NH13-14'!AF80,'NH13-14'!AG80,'NH13-14'!AF80))</f>
        <v/>
      </c>
      <c r="T80" s="485" t="str">
        <f>IF('NH13-14'!AI80="",'NH13-14'!AH80,IF('NH13-14'!AI80&gt;='NH13-14'!AH80,'NH13-14'!AI80,'NH13-14'!AH80))</f>
        <v/>
      </c>
      <c r="U80" s="485" t="str">
        <f>IF('NH13-14'!AK80="",'NH13-14'!AJ80,IF('NH13-14'!AK80&gt;='NH13-14'!AJ80,'NH13-14'!AK80,'NH13-14'!AJ80))</f>
        <v/>
      </c>
      <c r="V80" s="485" t="str">
        <f>IF('NH13-14'!AM80="",'NH13-14'!AL80,IF('NH13-14'!AM80&gt;='NH13-14'!AL80,'NH13-14'!AM80,'NH13-14'!AL80))</f>
        <v/>
      </c>
      <c r="W80" s="485" t="str">
        <f>IF('NH13-14'!AO80="",'NH13-14'!AN80,IF('NH13-14'!AO80&gt;='NH13-14'!AN80,'NH13-14'!AO80,'NH13-14'!AN80))</f>
        <v/>
      </c>
      <c r="X80" s="485" t="str">
        <f>IF('NH13-14'!AQ80="",'NH13-14'!AP80,IF('NH13-14'!AQ80&gt;='NH13-14'!AP80,'NH13-14'!AQ80,'NH13-14'!AP80))</f>
        <v/>
      </c>
      <c r="Y80" s="485" t="str">
        <f>IF('NH13-14'!AS80="",'NH13-14'!AR80,IF('NH13-14'!AS80&gt;='NH13-14'!AR80,'NH13-14'!AS80,'NH13-14'!AR80))</f>
        <v/>
      </c>
      <c r="Z80" s="485" t="str">
        <f>IF('NH13-14'!AU80="",'NH13-14'!AT80,IF('NH13-14'!AU80&gt;='NH13-14'!AT80,'NH13-14'!AU80,'NH13-14'!AT80))</f>
        <v/>
      </c>
      <c r="AA80" s="485" t="str">
        <f>IF('NH13-14'!AW80="",'NH13-14'!AV80,IF('NH13-14'!AW80&gt;='NH13-14'!AV80,'NH13-14'!AW80,'NH13-14'!AV80))</f>
        <v/>
      </c>
      <c r="AB80" s="485" t="str">
        <f>IF('NH13-14'!AY80="",'NH13-14'!AX80,IF('NH13-14'!AY80&gt;='NH13-14'!AX80,'NH13-14'!AY80,'NH13-14'!AX80))</f>
        <v/>
      </c>
      <c r="AC80" s="485" t="str">
        <f>IF('NH13-14'!BA80="",'NH13-14'!AZ80,IF('NH13-14'!BA80&gt;='NH13-14'!AZ80,'NH13-14'!BA80,'NH13-14'!AZ80))</f>
        <v/>
      </c>
      <c r="AD80" s="486" t="str">
        <f>IF('NH13-14'!B80="","",ROUND(SUMPRODUCT(G80:AC80,$G$7:$AC$7)/SUMIF(G80:AC80,"&gt;=0",$G$7:$AC$7),2))</f>
        <v/>
      </c>
      <c r="AE80" s="487" t="str">
        <f t="shared" si="74"/>
        <v/>
      </c>
      <c r="AF80" s="488" t="str">
        <f t="shared" si="75"/>
        <v/>
      </c>
      <c r="AG80" s="488" t="str">
        <f t="shared" si="76"/>
        <v/>
      </c>
      <c r="AH80" s="488" t="str">
        <f t="shared" si="77"/>
        <v/>
      </c>
      <c r="AI80" s="488" t="str">
        <f t="shared" si="78"/>
        <v/>
      </c>
      <c r="AJ80" s="488" t="str">
        <f t="shared" si="79"/>
        <v/>
      </c>
      <c r="AK80" s="488" t="str">
        <f t="shared" si="80"/>
        <v/>
      </c>
      <c r="AL80" s="488" t="str">
        <f t="shared" si="81"/>
        <v/>
      </c>
      <c r="AM80" s="488" t="str">
        <f t="shared" si="82"/>
        <v/>
      </c>
      <c r="AN80" s="488" t="str">
        <f t="shared" si="83"/>
        <v/>
      </c>
      <c r="AO80" s="488" t="str">
        <f t="shared" si="84"/>
        <v/>
      </c>
      <c r="AP80" s="488" t="str">
        <f t="shared" si="85"/>
        <v/>
      </c>
      <c r="AQ80" s="488" t="str">
        <f t="shared" si="86"/>
        <v/>
      </c>
      <c r="AR80" s="488" t="str">
        <f t="shared" si="87"/>
        <v/>
      </c>
      <c r="AS80" s="488" t="str">
        <f t="shared" si="88"/>
        <v/>
      </c>
      <c r="AT80" s="488" t="str">
        <f t="shared" si="89"/>
        <v/>
      </c>
      <c r="AU80" s="488" t="str">
        <f t="shared" si="90"/>
        <v/>
      </c>
      <c r="AV80" s="488" t="str">
        <f t="shared" si="91"/>
        <v/>
      </c>
      <c r="AW80" s="488" t="str">
        <f t="shared" si="92"/>
        <v/>
      </c>
      <c r="AX80" s="488" t="str">
        <f t="shared" si="93"/>
        <v/>
      </c>
      <c r="AY80" s="488" t="str">
        <f t="shared" si="94"/>
        <v/>
      </c>
      <c r="AZ80" s="488" t="str">
        <f t="shared" si="95"/>
        <v/>
      </c>
      <c r="BA80" s="488" t="str">
        <f t="shared" si="96"/>
        <v/>
      </c>
      <c r="BB80" s="486" t="str">
        <f>IF('NH13-14'!B80="","",ROUND(SUMPRODUCT(AE80:BA80,$AE$7:$BA$7)/SUMIF(AE80:BA80,"&gt;=1",$AE$7:$BA$7),2))</f>
        <v/>
      </c>
      <c r="BC80" s="527" t="str">
        <f t="shared" si="97"/>
        <v/>
      </c>
      <c r="BD80" s="507" t="str">
        <f t="shared" si="98"/>
        <v/>
      </c>
      <c r="BE80" s="507" t="str">
        <f t="shared" si="99"/>
        <v/>
      </c>
      <c r="BF80" s="507" t="str">
        <f t="shared" si="100"/>
        <v/>
      </c>
      <c r="BG80" s="507" t="str">
        <f t="shared" si="101"/>
        <v/>
      </c>
      <c r="BH80" s="507" t="str">
        <f t="shared" si="102"/>
        <v/>
      </c>
      <c r="BI80" s="507" t="str">
        <f t="shared" si="103"/>
        <v/>
      </c>
      <c r="BJ80" s="507" t="str">
        <f t="shared" si="104"/>
        <v/>
      </c>
      <c r="BK80" s="507" t="str">
        <f t="shared" si="105"/>
        <v/>
      </c>
      <c r="BL80" s="507" t="str">
        <f t="shared" si="106"/>
        <v/>
      </c>
      <c r="BM80" s="507" t="str">
        <f t="shared" si="107"/>
        <v/>
      </c>
      <c r="BN80" s="507" t="str">
        <f t="shared" si="108"/>
        <v/>
      </c>
      <c r="BO80" s="507" t="str">
        <f t="shared" si="109"/>
        <v/>
      </c>
      <c r="BP80" s="507" t="str">
        <f t="shared" si="110"/>
        <v/>
      </c>
      <c r="BQ80" s="507" t="str">
        <f t="shared" si="111"/>
        <v/>
      </c>
      <c r="BR80" s="507" t="str">
        <f t="shared" si="112"/>
        <v/>
      </c>
      <c r="BS80" s="507" t="str">
        <f t="shared" si="113"/>
        <v/>
      </c>
      <c r="BT80" s="507" t="str">
        <f t="shared" si="114"/>
        <v/>
      </c>
      <c r="BU80" s="507" t="str">
        <f t="shared" si="115"/>
        <v/>
      </c>
      <c r="BV80" s="507" t="str">
        <f t="shared" si="116"/>
        <v/>
      </c>
      <c r="BW80" s="507" t="str">
        <f t="shared" si="117"/>
        <v/>
      </c>
      <c r="BX80" s="507" t="str">
        <f t="shared" si="118"/>
        <v/>
      </c>
      <c r="BY80" s="507" t="str">
        <f t="shared" si="119"/>
        <v/>
      </c>
    </row>
    <row r="81" spans="1:77">
      <c r="A81" s="481" t="str">
        <f>IF('NH13-14'!A81="","",'NH13-14'!A81)</f>
        <v/>
      </c>
      <c r="B81" s="482" t="str">
        <f>IF('NH13-14'!B81="","",'NH13-14'!B81)</f>
        <v/>
      </c>
      <c r="C81" s="490" t="str">
        <f t="shared" si="72"/>
        <v/>
      </c>
      <c r="D81" s="490" t="str">
        <f t="shared" si="73"/>
        <v/>
      </c>
      <c r="E81" s="483" t="str">
        <f>IF('NH13-14'!C81="","",'NH13-14'!C81)</f>
        <v/>
      </c>
      <c r="F81" s="484" t="str">
        <f>IF('NH13-14'!D81="","",'NH13-14'!D81)</f>
        <v/>
      </c>
      <c r="G81" s="485" t="str">
        <f>IF('NH13-14'!I81="",'NH13-14'!H81,IF('NH13-14'!I81&gt;='NH13-14'!H81,'NH13-14'!I81,'NH13-14'!H81))</f>
        <v/>
      </c>
      <c r="H81" s="485" t="str">
        <f>IF('NH13-14'!K81="",'NH13-14'!J81,IF('NH13-14'!K81&gt;='NH13-14'!J81,'NH13-14'!K81,'NH13-14'!J81))</f>
        <v/>
      </c>
      <c r="I81" s="485" t="str">
        <f>IF('NH13-14'!M81="",'NH13-14'!L81,IF('NH13-14'!M81&gt;='NH13-14'!L81,'NH13-14'!M81,'NH13-14'!L81))</f>
        <v/>
      </c>
      <c r="J81" s="485" t="str">
        <f>IF('NH13-14'!O81="",'NH13-14'!N81,IF('NH13-14'!O81&gt;='NH13-14'!N81,'NH13-14'!O81,'NH13-14'!N81))</f>
        <v/>
      </c>
      <c r="K81" s="485" t="str">
        <f>IF('NH13-14'!Q81="",'NH13-14'!P81,IF('NH13-14'!Q81&gt;='NH13-14'!P81,'NH13-14'!Q81,'NH13-14'!P81))</f>
        <v/>
      </c>
      <c r="L81" s="485" t="str">
        <f>IF('NH13-14'!S81="",'NH13-14'!R81,IF('NH13-14'!S81&gt;='NH13-14'!R81,'NH13-14'!S81,'NH13-14'!R81))</f>
        <v/>
      </c>
      <c r="M81" s="485" t="str">
        <f>IF('NH13-14'!U81="",'NH13-14'!T81,IF('NH13-14'!U81&gt;='NH13-14'!T81,'NH13-14'!U81,'NH13-14'!T81))</f>
        <v/>
      </c>
      <c r="N81" s="485" t="str">
        <f>IF('NH13-14'!W81="",'NH13-14'!V81,IF('NH13-14'!W81&gt;='NH13-14'!V81,'NH13-14'!W81,'NH13-14'!V81))</f>
        <v/>
      </c>
      <c r="O81" s="485" t="str">
        <f>IF('NH13-14'!Y81="",'NH13-14'!X81,IF('NH13-14'!Y81&gt;='NH13-14'!X81,'NH13-14'!Y81,'NH13-14'!X81))</f>
        <v/>
      </c>
      <c r="P81" s="485" t="str">
        <f>IF('NH13-14'!AA81="",'NH13-14'!Z81,IF('NH13-14'!AA81&gt;='NH13-14'!Z81,'NH13-14'!AA81,'NH13-14'!Z81))</f>
        <v/>
      </c>
      <c r="Q81" s="485" t="str">
        <f>IF('NH13-14'!AC81="",'NH13-14'!AB81,IF('NH13-14'!AC81&gt;='NH13-14'!AB81,'NH13-14'!AC81,'NH13-14'!AB81))</f>
        <v/>
      </c>
      <c r="R81" s="485" t="str">
        <f>IF('NH13-14'!AE81="",'NH13-14'!AD81,IF('NH13-14'!AE81&gt;='NH13-14'!AD81,'NH13-14'!AE81,'NH13-14'!AD81))</f>
        <v/>
      </c>
      <c r="S81" s="485" t="str">
        <f>IF('NH13-14'!AG81="",'NH13-14'!AF81,IF('NH13-14'!AG81&gt;='NH13-14'!AF81,'NH13-14'!AG81,'NH13-14'!AF81))</f>
        <v/>
      </c>
      <c r="T81" s="485" t="str">
        <f>IF('NH13-14'!AI81="",'NH13-14'!AH81,IF('NH13-14'!AI81&gt;='NH13-14'!AH81,'NH13-14'!AI81,'NH13-14'!AH81))</f>
        <v/>
      </c>
      <c r="U81" s="485" t="str">
        <f>IF('NH13-14'!AK81="",'NH13-14'!AJ81,IF('NH13-14'!AK81&gt;='NH13-14'!AJ81,'NH13-14'!AK81,'NH13-14'!AJ81))</f>
        <v/>
      </c>
      <c r="V81" s="485" t="str">
        <f>IF('NH13-14'!AM81="",'NH13-14'!AL81,IF('NH13-14'!AM81&gt;='NH13-14'!AL81,'NH13-14'!AM81,'NH13-14'!AL81))</f>
        <v/>
      </c>
      <c r="W81" s="485" t="str">
        <f>IF('NH13-14'!AO81="",'NH13-14'!AN81,IF('NH13-14'!AO81&gt;='NH13-14'!AN81,'NH13-14'!AO81,'NH13-14'!AN81))</f>
        <v/>
      </c>
      <c r="X81" s="485" t="str">
        <f>IF('NH13-14'!AQ81="",'NH13-14'!AP81,IF('NH13-14'!AQ81&gt;='NH13-14'!AP81,'NH13-14'!AQ81,'NH13-14'!AP81))</f>
        <v/>
      </c>
      <c r="Y81" s="485" t="str">
        <f>IF('NH13-14'!AS81="",'NH13-14'!AR81,IF('NH13-14'!AS81&gt;='NH13-14'!AR81,'NH13-14'!AS81,'NH13-14'!AR81))</f>
        <v/>
      </c>
      <c r="Z81" s="485" t="str">
        <f>IF('NH13-14'!AU81="",'NH13-14'!AT81,IF('NH13-14'!AU81&gt;='NH13-14'!AT81,'NH13-14'!AU81,'NH13-14'!AT81))</f>
        <v/>
      </c>
      <c r="AA81" s="485" t="str">
        <f>IF('NH13-14'!AW81="",'NH13-14'!AV81,IF('NH13-14'!AW81&gt;='NH13-14'!AV81,'NH13-14'!AW81,'NH13-14'!AV81))</f>
        <v/>
      </c>
      <c r="AB81" s="485" t="str">
        <f>IF('NH13-14'!AY81="",'NH13-14'!AX81,IF('NH13-14'!AY81&gt;='NH13-14'!AX81,'NH13-14'!AY81,'NH13-14'!AX81))</f>
        <v/>
      </c>
      <c r="AC81" s="485" t="str">
        <f>IF('NH13-14'!BA81="",'NH13-14'!AZ81,IF('NH13-14'!BA81&gt;='NH13-14'!AZ81,'NH13-14'!BA81,'NH13-14'!AZ81))</f>
        <v/>
      </c>
      <c r="AD81" s="486" t="str">
        <f>IF('NH13-14'!B81="","",ROUND(SUMPRODUCT(G81:AC81,$G$7:$AC$7)/SUMIF(G81:AC81,"&gt;=0",$G$7:$AC$7),2))</f>
        <v/>
      </c>
      <c r="AE81" s="487" t="str">
        <f t="shared" si="74"/>
        <v/>
      </c>
      <c r="AF81" s="488" t="str">
        <f t="shared" si="75"/>
        <v/>
      </c>
      <c r="AG81" s="488" t="str">
        <f t="shared" si="76"/>
        <v/>
      </c>
      <c r="AH81" s="488" t="str">
        <f t="shared" si="77"/>
        <v/>
      </c>
      <c r="AI81" s="488" t="str">
        <f t="shared" si="78"/>
        <v/>
      </c>
      <c r="AJ81" s="488" t="str">
        <f t="shared" si="79"/>
        <v/>
      </c>
      <c r="AK81" s="488" t="str">
        <f t="shared" si="80"/>
        <v/>
      </c>
      <c r="AL81" s="488" t="str">
        <f t="shared" si="81"/>
        <v/>
      </c>
      <c r="AM81" s="488" t="str">
        <f t="shared" si="82"/>
        <v/>
      </c>
      <c r="AN81" s="488" t="str">
        <f t="shared" si="83"/>
        <v/>
      </c>
      <c r="AO81" s="488" t="str">
        <f t="shared" si="84"/>
        <v/>
      </c>
      <c r="AP81" s="488" t="str">
        <f t="shared" si="85"/>
        <v/>
      </c>
      <c r="AQ81" s="488" t="str">
        <f t="shared" si="86"/>
        <v/>
      </c>
      <c r="AR81" s="488" t="str">
        <f t="shared" si="87"/>
        <v/>
      </c>
      <c r="AS81" s="488" t="str">
        <f t="shared" si="88"/>
        <v/>
      </c>
      <c r="AT81" s="488" t="str">
        <f t="shared" si="89"/>
        <v/>
      </c>
      <c r="AU81" s="488" t="str">
        <f t="shared" si="90"/>
        <v/>
      </c>
      <c r="AV81" s="488" t="str">
        <f t="shared" si="91"/>
        <v/>
      </c>
      <c r="AW81" s="488" t="str">
        <f t="shared" si="92"/>
        <v/>
      </c>
      <c r="AX81" s="488" t="str">
        <f t="shared" si="93"/>
        <v/>
      </c>
      <c r="AY81" s="488" t="str">
        <f t="shared" si="94"/>
        <v/>
      </c>
      <c r="AZ81" s="488" t="str">
        <f t="shared" si="95"/>
        <v/>
      </c>
      <c r="BA81" s="488" t="str">
        <f t="shared" si="96"/>
        <v/>
      </c>
      <c r="BB81" s="486" t="str">
        <f>IF('NH13-14'!B81="","",ROUND(SUMPRODUCT(AE81:BA81,$AE$7:$BA$7)/SUMIF(AE81:BA81,"&gt;=1",$AE$7:$BA$7),2))</f>
        <v/>
      </c>
      <c r="BC81" s="527" t="str">
        <f t="shared" si="97"/>
        <v/>
      </c>
      <c r="BD81" s="507" t="str">
        <f t="shared" si="98"/>
        <v/>
      </c>
      <c r="BE81" s="507" t="str">
        <f t="shared" si="99"/>
        <v/>
      </c>
      <c r="BF81" s="507" t="str">
        <f t="shared" si="100"/>
        <v/>
      </c>
      <c r="BG81" s="507" t="str">
        <f t="shared" si="101"/>
        <v/>
      </c>
      <c r="BH81" s="507" t="str">
        <f t="shared" si="102"/>
        <v/>
      </c>
      <c r="BI81" s="507" t="str">
        <f t="shared" si="103"/>
        <v/>
      </c>
      <c r="BJ81" s="507" t="str">
        <f t="shared" si="104"/>
        <v/>
      </c>
      <c r="BK81" s="507" t="str">
        <f t="shared" si="105"/>
        <v/>
      </c>
      <c r="BL81" s="507" t="str">
        <f t="shared" si="106"/>
        <v/>
      </c>
      <c r="BM81" s="507" t="str">
        <f t="shared" si="107"/>
        <v/>
      </c>
      <c r="BN81" s="507" t="str">
        <f t="shared" si="108"/>
        <v/>
      </c>
      <c r="BO81" s="507" t="str">
        <f t="shared" si="109"/>
        <v/>
      </c>
      <c r="BP81" s="507" t="str">
        <f t="shared" si="110"/>
        <v/>
      </c>
      <c r="BQ81" s="507" t="str">
        <f t="shared" si="111"/>
        <v/>
      </c>
      <c r="BR81" s="507" t="str">
        <f t="shared" si="112"/>
        <v/>
      </c>
      <c r="BS81" s="507" t="str">
        <f t="shared" si="113"/>
        <v/>
      </c>
      <c r="BT81" s="507" t="str">
        <f t="shared" si="114"/>
        <v/>
      </c>
      <c r="BU81" s="507" t="str">
        <f t="shared" si="115"/>
        <v/>
      </c>
      <c r="BV81" s="507" t="str">
        <f t="shared" si="116"/>
        <v/>
      </c>
      <c r="BW81" s="507" t="str">
        <f t="shared" si="117"/>
        <v/>
      </c>
      <c r="BX81" s="507" t="str">
        <f t="shared" si="118"/>
        <v/>
      </c>
      <c r="BY81" s="507" t="str">
        <f t="shared" si="119"/>
        <v/>
      </c>
    </row>
    <row r="82" spans="1:77">
      <c r="A82" s="481" t="str">
        <f>IF('NH13-14'!A82="","",'NH13-14'!A82)</f>
        <v/>
      </c>
      <c r="B82" s="482" t="str">
        <f>IF('NH13-14'!B82="","",'NH13-14'!B82)</f>
        <v/>
      </c>
      <c r="C82" s="490" t="str">
        <f t="shared" si="72"/>
        <v/>
      </c>
      <c r="D82" s="490" t="str">
        <f t="shared" si="73"/>
        <v/>
      </c>
      <c r="E82" s="483" t="str">
        <f>IF('NH13-14'!C82="","",'NH13-14'!C82)</f>
        <v/>
      </c>
      <c r="F82" s="484" t="str">
        <f>IF('NH13-14'!D82="","",'NH13-14'!D82)</f>
        <v/>
      </c>
      <c r="G82" s="485" t="str">
        <f>IF('NH13-14'!I82="",'NH13-14'!H82,IF('NH13-14'!I82&gt;='NH13-14'!H82,'NH13-14'!I82,'NH13-14'!H82))</f>
        <v/>
      </c>
      <c r="H82" s="485" t="str">
        <f>IF('NH13-14'!K82="",'NH13-14'!J82,IF('NH13-14'!K82&gt;='NH13-14'!J82,'NH13-14'!K82,'NH13-14'!J82))</f>
        <v/>
      </c>
      <c r="I82" s="485" t="str">
        <f>IF('NH13-14'!M82="",'NH13-14'!L82,IF('NH13-14'!M82&gt;='NH13-14'!L82,'NH13-14'!M82,'NH13-14'!L82))</f>
        <v/>
      </c>
      <c r="J82" s="485" t="str">
        <f>IF('NH13-14'!O82="",'NH13-14'!N82,IF('NH13-14'!O82&gt;='NH13-14'!N82,'NH13-14'!O82,'NH13-14'!N82))</f>
        <v/>
      </c>
      <c r="K82" s="485" t="str">
        <f>IF('NH13-14'!Q82="",'NH13-14'!P82,IF('NH13-14'!Q82&gt;='NH13-14'!P82,'NH13-14'!Q82,'NH13-14'!P82))</f>
        <v/>
      </c>
      <c r="L82" s="485" t="str">
        <f>IF('NH13-14'!S82="",'NH13-14'!R82,IF('NH13-14'!S82&gt;='NH13-14'!R82,'NH13-14'!S82,'NH13-14'!R82))</f>
        <v/>
      </c>
      <c r="M82" s="485" t="str">
        <f>IF('NH13-14'!U82="",'NH13-14'!T82,IF('NH13-14'!U82&gt;='NH13-14'!T82,'NH13-14'!U82,'NH13-14'!T82))</f>
        <v/>
      </c>
      <c r="N82" s="485" t="str">
        <f>IF('NH13-14'!W82="",'NH13-14'!V82,IF('NH13-14'!W82&gt;='NH13-14'!V82,'NH13-14'!W82,'NH13-14'!V82))</f>
        <v/>
      </c>
      <c r="O82" s="485" t="str">
        <f>IF('NH13-14'!Y82="",'NH13-14'!X82,IF('NH13-14'!Y82&gt;='NH13-14'!X82,'NH13-14'!Y82,'NH13-14'!X82))</f>
        <v/>
      </c>
      <c r="P82" s="485" t="str">
        <f>IF('NH13-14'!AA82="",'NH13-14'!Z82,IF('NH13-14'!AA82&gt;='NH13-14'!Z82,'NH13-14'!AA82,'NH13-14'!Z82))</f>
        <v/>
      </c>
      <c r="Q82" s="485" t="str">
        <f>IF('NH13-14'!AC82="",'NH13-14'!AB82,IF('NH13-14'!AC82&gt;='NH13-14'!AB82,'NH13-14'!AC82,'NH13-14'!AB82))</f>
        <v/>
      </c>
      <c r="R82" s="485" t="str">
        <f>IF('NH13-14'!AE82="",'NH13-14'!AD82,IF('NH13-14'!AE82&gt;='NH13-14'!AD82,'NH13-14'!AE82,'NH13-14'!AD82))</f>
        <v/>
      </c>
      <c r="S82" s="485" t="str">
        <f>IF('NH13-14'!AG82="",'NH13-14'!AF82,IF('NH13-14'!AG82&gt;='NH13-14'!AF82,'NH13-14'!AG82,'NH13-14'!AF82))</f>
        <v/>
      </c>
      <c r="T82" s="485" t="str">
        <f>IF('NH13-14'!AI82="",'NH13-14'!AH82,IF('NH13-14'!AI82&gt;='NH13-14'!AH82,'NH13-14'!AI82,'NH13-14'!AH82))</f>
        <v/>
      </c>
      <c r="U82" s="485" t="str">
        <f>IF('NH13-14'!AK82="",'NH13-14'!AJ82,IF('NH13-14'!AK82&gt;='NH13-14'!AJ82,'NH13-14'!AK82,'NH13-14'!AJ82))</f>
        <v/>
      </c>
      <c r="V82" s="485" t="str">
        <f>IF('NH13-14'!AM82="",'NH13-14'!AL82,IF('NH13-14'!AM82&gt;='NH13-14'!AL82,'NH13-14'!AM82,'NH13-14'!AL82))</f>
        <v/>
      </c>
      <c r="W82" s="485" t="str">
        <f>IF('NH13-14'!AO82="",'NH13-14'!AN82,IF('NH13-14'!AO82&gt;='NH13-14'!AN82,'NH13-14'!AO82,'NH13-14'!AN82))</f>
        <v/>
      </c>
      <c r="X82" s="485" t="str">
        <f>IF('NH13-14'!AQ82="",'NH13-14'!AP82,IF('NH13-14'!AQ82&gt;='NH13-14'!AP82,'NH13-14'!AQ82,'NH13-14'!AP82))</f>
        <v/>
      </c>
      <c r="Y82" s="485" t="str">
        <f>IF('NH13-14'!AS82="",'NH13-14'!AR82,IF('NH13-14'!AS82&gt;='NH13-14'!AR82,'NH13-14'!AS82,'NH13-14'!AR82))</f>
        <v/>
      </c>
      <c r="Z82" s="485" t="str">
        <f>IF('NH13-14'!AU82="",'NH13-14'!AT82,IF('NH13-14'!AU82&gt;='NH13-14'!AT82,'NH13-14'!AU82,'NH13-14'!AT82))</f>
        <v/>
      </c>
      <c r="AA82" s="485" t="str">
        <f>IF('NH13-14'!AW82="",'NH13-14'!AV82,IF('NH13-14'!AW82&gt;='NH13-14'!AV82,'NH13-14'!AW82,'NH13-14'!AV82))</f>
        <v/>
      </c>
      <c r="AB82" s="485" t="str">
        <f>IF('NH13-14'!AY82="",'NH13-14'!AX82,IF('NH13-14'!AY82&gt;='NH13-14'!AX82,'NH13-14'!AY82,'NH13-14'!AX82))</f>
        <v/>
      </c>
      <c r="AC82" s="485" t="str">
        <f>IF('NH13-14'!BA82="",'NH13-14'!AZ82,IF('NH13-14'!BA82&gt;='NH13-14'!AZ82,'NH13-14'!BA82,'NH13-14'!AZ82))</f>
        <v/>
      </c>
      <c r="AD82" s="486" t="str">
        <f>IF('NH13-14'!B82="","",ROUND(SUMPRODUCT(G82:AC82,$G$7:$AC$7)/SUMIF(G82:AC82,"&gt;=0",$G$7:$AC$7),2))</f>
        <v/>
      </c>
      <c r="AE82" s="487" t="str">
        <f t="shared" si="74"/>
        <v/>
      </c>
      <c r="AF82" s="488" t="str">
        <f t="shared" si="75"/>
        <v/>
      </c>
      <c r="AG82" s="488" t="str">
        <f t="shared" si="76"/>
        <v/>
      </c>
      <c r="AH82" s="488" t="str">
        <f t="shared" si="77"/>
        <v/>
      </c>
      <c r="AI82" s="488" t="str">
        <f t="shared" si="78"/>
        <v/>
      </c>
      <c r="AJ82" s="488" t="str">
        <f t="shared" si="79"/>
        <v/>
      </c>
      <c r="AK82" s="488" t="str">
        <f t="shared" si="80"/>
        <v/>
      </c>
      <c r="AL82" s="488" t="str">
        <f t="shared" si="81"/>
        <v/>
      </c>
      <c r="AM82" s="488" t="str">
        <f t="shared" si="82"/>
        <v/>
      </c>
      <c r="AN82" s="488" t="str">
        <f t="shared" si="83"/>
        <v/>
      </c>
      <c r="AO82" s="488" t="str">
        <f t="shared" si="84"/>
        <v/>
      </c>
      <c r="AP82" s="488" t="str">
        <f t="shared" si="85"/>
        <v/>
      </c>
      <c r="AQ82" s="488" t="str">
        <f t="shared" si="86"/>
        <v/>
      </c>
      <c r="AR82" s="488" t="str">
        <f t="shared" si="87"/>
        <v/>
      </c>
      <c r="AS82" s="488" t="str">
        <f t="shared" si="88"/>
        <v/>
      </c>
      <c r="AT82" s="488" t="str">
        <f t="shared" si="89"/>
        <v/>
      </c>
      <c r="AU82" s="488" t="str">
        <f t="shared" si="90"/>
        <v/>
      </c>
      <c r="AV82" s="488" t="str">
        <f t="shared" si="91"/>
        <v/>
      </c>
      <c r="AW82" s="488" t="str">
        <f t="shared" si="92"/>
        <v/>
      </c>
      <c r="AX82" s="488" t="str">
        <f t="shared" si="93"/>
        <v/>
      </c>
      <c r="AY82" s="488" t="str">
        <f t="shared" si="94"/>
        <v/>
      </c>
      <c r="AZ82" s="488" t="str">
        <f t="shared" si="95"/>
        <v/>
      </c>
      <c r="BA82" s="488" t="str">
        <f t="shared" si="96"/>
        <v/>
      </c>
      <c r="BB82" s="486" t="str">
        <f>IF('NH13-14'!B82="","",ROUND(SUMPRODUCT(AE82:BA82,$AE$7:$BA$7)/SUMIF(AE82:BA82,"&gt;=1",$AE$7:$BA$7),2))</f>
        <v/>
      </c>
      <c r="BC82" s="527" t="str">
        <f t="shared" si="97"/>
        <v/>
      </c>
      <c r="BD82" s="507" t="str">
        <f t="shared" si="98"/>
        <v/>
      </c>
      <c r="BE82" s="507" t="str">
        <f t="shared" si="99"/>
        <v/>
      </c>
      <c r="BF82" s="507" t="str">
        <f t="shared" si="100"/>
        <v/>
      </c>
      <c r="BG82" s="507" t="str">
        <f t="shared" si="101"/>
        <v/>
      </c>
      <c r="BH82" s="507" t="str">
        <f t="shared" si="102"/>
        <v/>
      </c>
      <c r="BI82" s="507" t="str">
        <f t="shared" si="103"/>
        <v/>
      </c>
      <c r="BJ82" s="507" t="str">
        <f t="shared" si="104"/>
        <v/>
      </c>
      <c r="BK82" s="507" t="str">
        <f t="shared" si="105"/>
        <v/>
      </c>
      <c r="BL82" s="507" t="str">
        <f t="shared" si="106"/>
        <v/>
      </c>
      <c r="BM82" s="507" t="str">
        <f t="shared" si="107"/>
        <v/>
      </c>
      <c r="BN82" s="507" t="str">
        <f t="shared" si="108"/>
        <v/>
      </c>
      <c r="BO82" s="507" t="str">
        <f t="shared" si="109"/>
        <v/>
      </c>
      <c r="BP82" s="507" t="str">
        <f t="shared" si="110"/>
        <v/>
      </c>
      <c r="BQ82" s="507" t="str">
        <f t="shared" si="111"/>
        <v/>
      </c>
      <c r="BR82" s="507" t="str">
        <f t="shared" si="112"/>
        <v/>
      </c>
      <c r="BS82" s="507" t="str">
        <f t="shared" si="113"/>
        <v/>
      </c>
      <c r="BT82" s="507" t="str">
        <f t="shared" si="114"/>
        <v/>
      </c>
      <c r="BU82" s="507" t="str">
        <f t="shared" si="115"/>
        <v/>
      </c>
      <c r="BV82" s="507" t="str">
        <f t="shared" si="116"/>
        <v/>
      </c>
      <c r="BW82" s="507" t="str">
        <f t="shared" si="117"/>
        <v/>
      </c>
      <c r="BX82" s="507" t="str">
        <f t="shared" si="118"/>
        <v/>
      </c>
      <c r="BY82" s="507" t="str">
        <f t="shared" si="119"/>
        <v/>
      </c>
    </row>
    <row r="83" spans="1:77">
      <c r="A83" s="481" t="str">
        <f>IF('NH13-14'!A83="","",'NH13-14'!A83)</f>
        <v/>
      </c>
      <c r="B83" s="482" t="str">
        <f>IF('NH13-14'!B83="","",'NH13-14'!B83)</f>
        <v/>
      </c>
      <c r="C83" s="490" t="str">
        <f t="shared" si="72"/>
        <v/>
      </c>
      <c r="D83" s="490" t="str">
        <f t="shared" si="73"/>
        <v/>
      </c>
      <c r="E83" s="483" t="str">
        <f>IF('NH13-14'!C83="","",'NH13-14'!C83)</f>
        <v/>
      </c>
      <c r="F83" s="484" t="str">
        <f>IF('NH13-14'!D83="","",'NH13-14'!D83)</f>
        <v/>
      </c>
      <c r="G83" s="485" t="str">
        <f>IF('NH13-14'!I83="",'NH13-14'!H83,IF('NH13-14'!I83&gt;='NH13-14'!H83,'NH13-14'!I83,'NH13-14'!H83))</f>
        <v/>
      </c>
      <c r="H83" s="485" t="str">
        <f>IF('NH13-14'!K83="",'NH13-14'!J83,IF('NH13-14'!K83&gt;='NH13-14'!J83,'NH13-14'!K83,'NH13-14'!J83))</f>
        <v/>
      </c>
      <c r="I83" s="485" t="str">
        <f>IF('NH13-14'!M83="",'NH13-14'!L83,IF('NH13-14'!M83&gt;='NH13-14'!L83,'NH13-14'!M83,'NH13-14'!L83))</f>
        <v/>
      </c>
      <c r="J83" s="485" t="str">
        <f>IF('NH13-14'!O83="",'NH13-14'!N83,IF('NH13-14'!O83&gt;='NH13-14'!N83,'NH13-14'!O83,'NH13-14'!N83))</f>
        <v/>
      </c>
      <c r="K83" s="485" t="str">
        <f>IF('NH13-14'!Q83="",'NH13-14'!P83,IF('NH13-14'!Q83&gt;='NH13-14'!P83,'NH13-14'!Q83,'NH13-14'!P83))</f>
        <v/>
      </c>
      <c r="L83" s="485" t="str">
        <f>IF('NH13-14'!S83="",'NH13-14'!R83,IF('NH13-14'!S83&gt;='NH13-14'!R83,'NH13-14'!S83,'NH13-14'!R83))</f>
        <v/>
      </c>
      <c r="M83" s="485" t="str">
        <f>IF('NH13-14'!U83="",'NH13-14'!T83,IF('NH13-14'!U83&gt;='NH13-14'!T83,'NH13-14'!U83,'NH13-14'!T83))</f>
        <v/>
      </c>
      <c r="N83" s="485" t="str">
        <f>IF('NH13-14'!W83="",'NH13-14'!V83,IF('NH13-14'!W83&gt;='NH13-14'!V83,'NH13-14'!W83,'NH13-14'!V83))</f>
        <v/>
      </c>
      <c r="O83" s="485" t="str">
        <f>IF('NH13-14'!Y83="",'NH13-14'!X83,IF('NH13-14'!Y83&gt;='NH13-14'!X83,'NH13-14'!Y83,'NH13-14'!X83))</f>
        <v/>
      </c>
      <c r="P83" s="485" t="str">
        <f>IF('NH13-14'!AA83="",'NH13-14'!Z83,IF('NH13-14'!AA83&gt;='NH13-14'!Z83,'NH13-14'!AA83,'NH13-14'!Z83))</f>
        <v/>
      </c>
      <c r="Q83" s="485" t="str">
        <f>IF('NH13-14'!AC83="",'NH13-14'!AB83,IF('NH13-14'!AC83&gt;='NH13-14'!AB83,'NH13-14'!AC83,'NH13-14'!AB83))</f>
        <v/>
      </c>
      <c r="R83" s="485" t="str">
        <f>IF('NH13-14'!AE83="",'NH13-14'!AD83,IF('NH13-14'!AE83&gt;='NH13-14'!AD83,'NH13-14'!AE83,'NH13-14'!AD83))</f>
        <v/>
      </c>
      <c r="S83" s="485" t="str">
        <f>IF('NH13-14'!AG83="",'NH13-14'!AF83,IF('NH13-14'!AG83&gt;='NH13-14'!AF83,'NH13-14'!AG83,'NH13-14'!AF83))</f>
        <v/>
      </c>
      <c r="T83" s="485" t="str">
        <f>IF('NH13-14'!AI83="",'NH13-14'!AH83,IF('NH13-14'!AI83&gt;='NH13-14'!AH83,'NH13-14'!AI83,'NH13-14'!AH83))</f>
        <v/>
      </c>
      <c r="U83" s="485" t="str">
        <f>IF('NH13-14'!AK83="",'NH13-14'!AJ83,IF('NH13-14'!AK83&gt;='NH13-14'!AJ83,'NH13-14'!AK83,'NH13-14'!AJ83))</f>
        <v/>
      </c>
      <c r="V83" s="485" t="str">
        <f>IF('NH13-14'!AM83="",'NH13-14'!AL83,IF('NH13-14'!AM83&gt;='NH13-14'!AL83,'NH13-14'!AM83,'NH13-14'!AL83))</f>
        <v/>
      </c>
      <c r="W83" s="485" t="str">
        <f>IF('NH13-14'!AO83="",'NH13-14'!AN83,IF('NH13-14'!AO83&gt;='NH13-14'!AN83,'NH13-14'!AO83,'NH13-14'!AN83))</f>
        <v/>
      </c>
      <c r="X83" s="485" t="str">
        <f>IF('NH13-14'!AQ83="",'NH13-14'!AP83,IF('NH13-14'!AQ83&gt;='NH13-14'!AP83,'NH13-14'!AQ83,'NH13-14'!AP83))</f>
        <v/>
      </c>
      <c r="Y83" s="485" t="str">
        <f>IF('NH13-14'!AS83="",'NH13-14'!AR83,IF('NH13-14'!AS83&gt;='NH13-14'!AR83,'NH13-14'!AS83,'NH13-14'!AR83))</f>
        <v/>
      </c>
      <c r="Z83" s="485" t="str">
        <f>IF('NH13-14'!AU83="",'NH13-14'!AT83,IF('NH13-14'!AU83&gt;='NH13-14'!AT83,'NH13-14'!AU83,'NH13-14'!AT83))</f>
        <v/>
      </c>
      <c r="AA83" s="485" t="str">
        <f>IF('NH13-14'!AW83="",'NH13-14'!AV83,IF('NH13-14'!AW83&gt;='NH13-14'!AV83,'NH13-14'!AW83,'NH13-14'!AV83))</f>
        <v/>
      </c>
      <c r="AB83" s="485" t="str">
        <f>IF('NH13-14'!AY83="",'NH13-14'!AX83,IF('NH13-14'!AY83&gt;='NH13-14'!AX83,'NH13-14'!AY83,'NH13-14'!AX83))</f>
        <v/>
      </c>
      <c r="AC83" s="485" t="str">
        <f>IF('NH13-14'!BA83="",'NH13-14'!AZ83,IF('NH13-14'!BA83&gt;='NH13-14'!AZ83,'NH13-14'!BA83,'NH13-14'!AZ83))</f>
        <v/>
      </c>
      <c r="AD83" s="486" t="str">
        <f>IF('NH13-14'!B83="","",ROUND(SUMPRODUCT(G83:AC83,$G$7:$AC$7)/SUMIF(G83:AC83,"&gt;=0",$G$7:$AC$7),2))</f>
        <v/>
      </c>
      <c r="AE83" s="487" t="str">
        <f t="shared" si="74"/>
        <v/>
      </c>
      <c r="AF83" s="488" t="str">
        <f t="shared" si="75"/>
        <v/>
      </c>
      <c r="AG83" s="488" t="str">
        <f t="shared" si="76"/>
        <v/>
      </c>
      <c r="AH83" s="488" t="str">
        <f t="shared" si="77"/>
        <v/>
      </c>
      <c r="AI83" s="488" t="str">
        <f t="shared" si="78"/>
        <v/>
      </c>
      <c r="AJ83" s="488" t="str">
        <f t="shared" si="79"/>
        <v/>
      </c>
      <c r="AK83" s="488" t="str">
        <f t="shared" si="80"/>
        <v/>
      </c>
      <c r="AL83" s="488" t="str">
        <f t="shared" si="81"/>
        <v/>
      </c>
      <c r="AM83" s="488" t="str">
        <f t="shared" si="82"/>
        <v/>
      </c>
      <c r="AN83" s="488" t="str">
        <f t="shared" si="83"/>
        <v/>
      </c>
      <c r="AO83" s="488" t="str">
        <f t="shared" si="84"/>
        <v/>
      </c>
      <c r="AP83" s="488" t="str">
        <f t="shared" si="85"/>
        <v/>
      </c>
      <c r="AQ83" s="488" t="str">
        <f t="shared" si="86"/>
        <v/>
      </c>
      <c r="AR83" s="488" t="str">
        <f t="shared" si="87"/>
        <v/>
      </c>
      <c r="AS83" s="488" t="str">
        <f t="shared" si="88"/>
        <v/>
      </c>
      <c r="AT83" s="488" t="str">
        <f t="shared" si="89"/>
        <v/>
      </c>
      <c r="AU83" s="488" t="str">
        <f t="shared" si="90"/>
        <v/>
      </c>
      <c r="AV83" s="488" t="str">
        <f t="shared" si="91"/>
        <v/>
      </c>
      <c r="AW83" s="488" t="str">
        <f t="shared" si="92"/>
        <v/>
      </c>
      <c r="AX83" s="488" t="str">
        <f t="shared" si="93"/>
        <v/>
      </c>
      <c r="AY83" s="488" t="str">
        <f t="shared" si="94"/>
        <v/>
      </c>
      <c r="AZ83" s="488" t="str">
        <f t="shared" si="95"/>
        <v/>
      </c>
      <c r="BA83" s="488" t="str">
        <f t="shared" si="96"/>
        <v/>
      </c>
      <c r="BB83" s="486" t="str">
        <f>IF('NH13-14'!B83="","",ROUND(SUMPRODUCT(AE83:BA83,$AE$7:$BA$7)/SUMIF(AE83:BA83,"&gt;=1",$AE$7:$BA$7),2))</f>
        <v/>
      </c>
      <c r="BC83" s="527" t="str">
        <f t="shared" si="97"/>
        <v/>
      </c>
      <c r="BD83" s="507" t="str">
        <f t="shared" si="98"/>
        <v/>
      </c>
      <c r="BE83" s="507" t="str">
        <f t="shared" si="99"/>
        <v/>
      </c>
      <c r="BF83" s="507" t="str">
        <f t="shared" si="100"/>
        <v/>
      </c>
      <c r="BG83" s="507" t="str">
        <f t="shared" si="101"/>
        <v/>
      </c>
      <c r="BH83" s="507" t="str">
        <f t="shared" si="102"/>
        <v/>
      </c>
      <c r="BI83" s="507" t="str">
        <f t="shared" si="103"/>
        <v/>
      </c>
      <c r="BJ83" s="507" t="str">
        <f t="shared" si="104"/>
        <v/>
      </c>
      <c r="BK83" s="507" t="str">
        <f t="shared" si="105"/>
        <v/>
      </c>
      <c r="BL83" s="507" t="str">
        <f t="shared" si="106"/>
        <v/>
      </c>
      <c r="BM83" s="507" t="str">
        <f t="shared" si="107"/>
        <v/>
      </c>
      <c r="BN83" s="507" t="str">
        <f t="shared" si="108"/>
        <v/>
      </c>
      <c r="BO83" s="507" t="str">
        <f t="shared" si="109"/>
        <v/>
      </c>
      <c r="BP83" s="507" t="str">
        <f t="shared" si="110"/>
        <v/>
      </c>
      <c r="BQ83" s="507" t="str">
        <f t="shared" si="111"/>
        <v/>
      </c>
      <c r="BR83" s="507" t="str">
        <f t="shared" si="112"/>
        <v/>
      </c>
      <c r="BS83" s="507" t="str">
        <f t="shared" si="113"/>
        <v/>
      </c>
      <c r="BT83" s="507" t="str">
        <f t="shared" si="114"/>
        <v/>
      </c>
      <c r="BU83" s="507" t="str">
        <f t="shared" si="115"/>
        <v/>
      </c>
      <c r="BV83" s="507" t="str">
        <f t="shared" si="116"/>
        <v/>
      </c>
      <c r="BW83" s="507" t="str">
        <f t="shared" si="117"/>
        <v/>
      </c>
      <c r="BX83" s="507" t="str">
        <f t="shared" si="118"/>
        <v/>
      </c>
      <c r="BY83" s="507" t="str">
        <f t="shared" si="119"/>
        <v/>
      </c>
    </row>
    <row r="84" spans="1:77">
      <c r="A84" s="481" t="str">
        <f>IF('NH13-14'!A84="","",'NH13-14'!A84)</f>
        <v/>
      </c>
      <c r="B84" s="482" t="str">
        <f>IF('NH13-14'!B84="","",'NH13-14'!B84)</f>
        <v/>
      </c>
      <c r="C84" s="490" t="str">
        <f t="shared" si="72"/>
        <v/>
      </c>
      <c r="D84" s="490" t="str">
        <f t="shared" si="73"/>
        <v/>
      </c>
      <c r="E84" s="483" t="str">
        <f>IF('NH13-14'!C84="","",'NH13-14'!C84)</f>
        <v/>
      </c>
      <c r="F84" s="484" t="str">
        <f>IF('NH13-14'!D84="","",'NH13-14'!D84)</f>
        <v/>
      </c>
      <c r="G84" s="485" t="str">
        <f>IF('NH13-14'!I84="",'NH13-14'!H84,IF('NH13-14'!I84&gt;='NH13-14'!H84,'NH13-14'!I84,'NH13-14'!H84))</f>
        <v/>
      </c>
      <c r="H84" s="485" t="str">
        <f>IF('NH13-14'!K84="",'NH13-14'!J84,IF('NH13-14'!K84&gt;='NH13-14'!J84,'NH13-14'!K84,'NH13-14'!J84))</f>
        <v/>
      </c>
      <c r="I84" s="485" t="str">
        <f>IF('NH13-14'!M84="",'NH13-14'!L84,IF('NH13-14'!M84&gt;='NH13-14'!L84,'NH13-14'!M84,'NH13-14'!L84))</f>
        <v/>
      </c>
      <c r="J84" s="485" t="str">
        <f>IF('NH13-14'!O84="",'NH13-14'!N84,IF('NH13-14'!O84&gt;='NH13-14'!N84,'NH13-14'!O84,'NH13-14'!N84))</f>
        <v/>
      </c>
      <c r="K84" s="485" t="str">
        <f>IF('NH13-14'!Q84="",'NH13-14'!P84,IF('NH13-14'!Q84&gt;='NH13-14'!P84,'NH13-14'!Q84,'NH13-14'!P84))</f>
        <v/>
      </c>
      <c r="L84" s="485" t="str">
        <f>IF('NH13-14'!S84="",'NH13-14'!R84,IF('NH13-14'!S84&gt;='NH13-14'!R84,'NH13-14'!S84,'NH13-14'!R84))</f>
        <v/>
      </c>
      <c r="M84" s="485" t="str">
        <f>IF('NH13-14'!U84="",'NH13-14'!T84,IF('NH13-14'!U84&gt;='NH13-14'!T84,'NH13-14'!U84,'NH13-14'!T84))</f>
        <v/>
      </c>
      <c r="N84" s="485" t="str">
        <f>IF('NH13-14'!W84="",'NH13-14'!V84,IF('NH13-14'!W84&gt;='NH13-14'!V84,'NH13-14'!W84,'NH13-14'!V84))</f>
        <v/>
      </c>
      <c r="O84" s="485" t="str">
        <f>IF('NH13-14'!Y84="",'NH13-14'!X84,IF('NH13-14'!Y84&gt;='NH13-14'!X84,'NH13-14'!Y84,'NH13-14'!X84))</f>
        <v/>
      </c>
      <c r="P84" s="485" t="str">
        <f>IF('NH13-14'!AA84="",'NH13-14'!Z84,IF('NH13-14'!AA84&gt;='NH13-14'!Z84,'NH13-14'!AA84,'NH13-14'!Z84))</f>
        <v/>
      </c>
      <c r="Q84" s="485" t="str">
        <f>IF('NH13-14'!AC84="",'NH13-14'!AB84,IF('NH13-14'!AC84&gt;='NH13-14'!AB84,'NH13-14'!AC84,'NH13-14'!AB84))</f>
        <v/>
      </c>
      <c r="R84" s="485" t="str">
        <f>IF('NH13-14'!AE84="",'NH13-14'!AD84,IF('NH13-14'!AE84&gt;='NH13-14'!AD84,'NH13-14'!AE84,'NH13-14'!AD84))</f>
        <v/>
      </c>
      <c r="S84" s="485" t="str">
        <f>IF('NH13-14'!AG84="",'NH13-14'!AF84,IF('NH13-14'!AG84&gt;='NH13-14'!AF84,'NH13-14'!AG84,'NH13-14'!AF84))</f>
        <v/>
      </c>
      <c r="T84" s="485" t="str">
        <f>IF('NH13-14'!AI84="",'NH13-14'!AH84,IF('NH13-14'!AI84&gt;='NH13-14'!AH84,'NH13-14'!AI84,'NH13-14'!AH84))</f>
        <v/>
      </c>
      <c r="U84" s="485" t="str">
        <f>IF('NH13-14'!AK84="",'NH13-14'!AJ84,IF('NH13-14'!AK84&gt;='NH13-14'!AJ84,'NH13-14'!AK84,'NH13-14'!AJ84))</f>
        <v/>
      </c>
      <c r="V84" s="485" t="str">
        <f>IF('NH13-14'!AM84="",'NH13-14'!AL84,IF('NH13-14'!AM84&gt;='NH13-14'!AL84,'NH13-14'!AM84,'NH13-14'!AL84))</f>
        <v/>
      </c>
      <c r="W84" s="485" t="str">
        <f>IF('NH13-14'!AO84="",'NH13-14'!AN84,IF('NH13-14'!AO84&gt;='NH13-14'!AN84,'NH13-14'!AO84,'NH13-14'!AN84))</f>
        <v/>
      </c>
      <c r="X84" s="485" t="str">
        <f>IF('NH13-14'!AQ84="",'NH13-14'!AP84,IF('NH13-14'!AQ84&gt;='NH13-14'!AP84,'NH13-14'!AQ84,'NH13-14'!AP84))</f>
        <v/>
      </c>
      <c r="Y84" s="485" t="str">
        <f>IF('NH13-14'!AS84="",'NH13-14'!AR84,IF('NH13-14'!AS84&gt;='NH13-14'!AR84,'NH13-14'!AS84,'NH13-14'!AR84))</f>
        <v/>
      </c>
      <c r="Z84" s="485" t="str">
        <f>IF('NH13-14'!AU84="",'NH13-14'!AT84,IF('NH13-14'!AU84&gt;='NH13-14'!AT84,'NH13-14'!AU84,'NH13-14'!AT84))</f>
        <v/>
      </c>
      <c r="AA84" s="485" t="str">
        <f>IF('NH13-14'!AW84="",'NH13-14'!AV84,IF('NH13-14'!AW84&gt;='NH13-14'!AV84,'NH13-14'!AW84,'NH13-14'!AV84))</f>
        <v/>
      </c>
      <c r="AB84" s="485" t="str">
        <f>IF('NH13-14'!AY84="",'NH13-14'!AX84,IF('NH13-14'!AY84&gt;='NH13-14'!AX84,'NH13-14'!AY84,'NH13-14'!AX84))</f>
        <v/>
      </c>
      <c r="AC84" s="485" t="str">
        <f>IF('NH13-14'!BA84="",'NH13-14'!AZ84,IF('NH13-14'!BA84&gt;='NH13-14'!AZ84,'NH13-14'!BA84,'NH13-14'!AZ84))</f>
        <v/>
      </c>
      <c r="AD84" s="486" t="str">
        <f>IF('NH13-14'!B84="","",ROUND(SUMPRODUCT(G84:AC84,$G$7:$AC$7)/SUMIF(G84:AC84,"&gt;=0",$G$7:$AC$7),2))</f>
        <v/>
      </c>
      <c r="AE84" s="487" t="str">
        <f t="shared" si="74"/>
        <v/>
      </c>
      <c r="AF84" s="488" t="str">
        <f t="shared" si="75"/>
        <v/>
      </c>
      <c r="AG84" s="488" t="str">
        <f t="shared" si="76"/>
        <v/>
      </c>
      <c r="AH84" s="488" t="str">
        <f t="shared" si="77"/>
        <v/>
      </c>
      <c r="AI84" s="488" t="str">
        <f t="shared" si="78"/>
        <v/>
      </c>
      <c r="AJ84" s="488" t="str">
        <f t="shared" si="79"/>
        <v/>
      </c>
      <c r="AK84" s="488" t="str">
        <f t="shared" si="80"/>
        <v/>
      </c>
      <c r="AL84" s="488" t="str">
        <f t="shared" si="81"/>
        <v/>
      </c>
      <c r="AM84" s="488" t="str">
        <f t="shared" si="82"/>
        <v/>
      </c>
      <c r="AN84" s="488" t="str">
        <f t="shared" si="83"/>
        <v/>
      </c>
      <c r="AO84" s="488" t="str">
        <f t="shared" si="84"/>
        <v/>
      </c>
      <c r="AP84" s="488" t="str">
        <f t="shared" si="85"/>
        <v/>
      </c>
      <c r="AQ84" s="488" t="str">
        <f t="shared" si="86"/>
        <v/>
      </c>
      <c r="AR84" s="488" t="str">
        <f t="shared" si="87"/>
        <v/>
      </c>
      <c r="AS84" s="488" t="str">
        <f t="shared" si="88"/>
        <v/>
      </c>
      <c r="AT84" s="488" t="str">
        <f t="shared" si="89"/>
        <v/>
      </c>
      <c r="AU84" s="488" t="str">
        <f t="shared" si="90"/>
        <v/>
      </c>
      <c r="AV84" s="488" t="str">
        <f t="shared" si="91"/>
        <v/>
      </c>
      <c r="AW84" s="488" t="str">
        <f t="shared" si="92"/>
        <v/>
      </c>
      <c r="AX84" s="488" t="str">
        <f t="shared" si="93"/>
        <v/>
      </c>
      <c r="AY84" s="488" t="str">
        <f t="shared" si="94"/>
        <v/>
      </c>
      <c r="AZ84" s="488" t="str">
        <f t="shared" si="95"/>
        <v/>
      </c>
      <c r="BA84" s="488" t="str">
        <f t="shared" si="96"/>
        <v/>
      </c>
      <c r="BB84" s="486" t="str">
        <f>IF('NH13-14'!B84="","",ROUND(SUMPRODUCT(AE84:BA84,$AE$7:$BA$7)/SUMIF(AE84:BA84,"&gt;=1",$AE$7:$BA$7),2))</f>
        <v/>
      </c>
      <c r="BC84" s="527" t="str">
        <f t="shared" si="97"/>
        <v/>
      </c>
      <c r="BD84" s="507" t="str">
        <f t="shared" si="98"/>
        <v/>
      </c>
      <c r="BE84" s="507" t="str">
        <f t="shared" si="99"/>
        <v/>
      </c>
      <c r="BF84" s="507" t="str">
        <f t="shared" si="100"/>
        <v/>
      </c>
      <c r="BG84" s="507" t="str">
        <f t="shared" si="101"/>
        <v/>
      </c>
      <c r="BH84" s="507" t="str">
        <f t="shared" si="102"/>
        <v/>
      </c>
      <c r="BI84" s="507" t="str">
        <f t="shared" si="103"/>
        <v/>
      </c>
      <c r="BJ84" s="507" t="str">
        <f t="shared" si="104"/>
        <v/>
      </c>
      <c r="BK84" s="507" t="str">
        <f t="shared" si="105"/>
        <v/>
      </c>
      <c r="BL84" s="507" t="str">
        <f t="shared" si="106"/>
        <v/>
      </c>
      <c r="BM84" s="507" t="str">
        <f t="shared" si="107"/>
        <v/>
      </c>
      <c r="BN84" s="507" t="str">
        <f t="shared" si="108"/>
        <v/>
      </c>
      <c r="BO84" s="507" t="str">
        <f t="shared" si="109"/>
        <v/>
      </c>
      <c r="BP84" s="507" t="str">
        <f t="shared" si="110"/>
        <v/>
      </c>
      <c r="BQ84" s="507" t="str">
        <f t="shared" si="111"/>
        <v/>
      </c>
      <c r="BR84" s="507" t="str">
        <f t="shared" si="112"/>
        <v/>
      </c>
      <c r="BS84" s="507" t="str">
        <f t="shared" si="113"/>
        <v/>
      </c>
      <c r="BT84" s="507" t="str">
        <f t="shared" si="114"/>
        <v/>
      </c>
      <c r="BU84" s="507" t="str">
        <f t="shared" si="115"/>
        <v/>
      </c>
      <c r="BV84" s="507" t="str">
        <f t="shared" si="116"/>
        <v/>
      </c>
      <c r="BW84" s="507" t="str">
        <f t="shared" si="117"/>
        <v/>
      </c>
      <c r="BX84" s="507" t="str">
        <f t="shared" si="118"/>
        <v/>
      </c>
      <c r="BY84" s="507" t="str">
        <f t="shared" si="119"/>
        <v/>
      </c>
    </row>
    <row r="85" spans="1:77">
      <c r="A85" s="481" t="str">
        <f>IF('NH13-14'!A85="","",'NH13-14'!A85)</f>
        <v/>
      </c>
      <c r="B85" s="482" t="str">
        <f>IF('NH13-14'!B85="","",'NH13-14'!B85)</f>
        <v/>
      </c>
      <c r="C85" s="490" t="str">
        <f t="shared" si="72"/>
        <v/>
      </c>
      <c r="D85" s="490" t="str">
        <f t="shared" si="73"/>
        <v/>
      </c>
      <c r="E85" s="483" t="str">
        <f>IF('NH13-14'!C85="","",'NH13-14'!C85)</f>
        <v/>
      </c>
      <c r="F85" s="484" t="str">
        <f>IF('NH13-14'!D85="","",'NH13-14'!D85)</f>
        <v/>
      </c>
      <c r="G85" s="485" t="str">
        <f>IF('NH13-14'!I85="",'NH13-14'!H85,IF('NH13-14'!I85&gt;='NH13-14'!H85,'NH13-14'!I85,'NH13-14'!H85))</f>
        <v/>
      </c>
      <c r="H85" s="485" t="str">
        <f>IF('NH13-14'!K85="",'NH13-14'!J85,IF('NH13-14'!K85&gt;='NH13-14'!J85,'NH13-14'!K85,'NH13-14'!J85))</f>
        <v/>
      </c>
      <c r="I85" s="485" t="str">
        <f>IF('NH13-14'!M85="",'NH13-14'!L85,IF('NH13-14'!M85&gt;='NH13-14'!L85,'NH13-14'!M85,'NH13-14'!L85))</f>
        <v/>
      </c>
      <c r="J85" s="485" t="str">
        <f>IF('NH13-14'!O85="",'NH13-14'!N85,IF('NH13-14'!O85&gt;='NH13-14'!N85,'NH13-14'!O85,'NH13-14'!N85))</f>
        <v/>
      </c>
      <c r="K85" s="485" t="str">
        <f>IF('NH13-14'!Q85="",'NH13-14'!P85,IF('NH13-14'!Q85&gt;='NH13-14'!P85,'NH13-14'!Q85,'NH13-14'!P85))</f>
        <v/>
      </c>
      <c r="L85" s="485" t="str">
        <f>IF('NH13-14'!S85="",'NH13-14'!R85,IF('NH13-14'!S85&gt;='NH13-14'!R85,'NH13-14'!S85,'NH13-14'!R85))</f>
        <v/>
      </c>
      <c r="M85" s="485" t="str">
        <f>IF('NH13-14'!U85="",'NH13-14'!T85,IF('NH13-14'!U85&gt;='NH13-14'!T85,'NH13-14'!U85,'NH13-14'!T85))</f>
        <v/>
      </c>
      <c r="N85" s="485" t="str">
        <f>IF('NH13-14'!W85="",'NH13-14'!V85,IF('NH13-14'!W85&gt;='NH13-14'!V85,'NH13-14'!W85,'NH13-14'!V85))</f>
        <v/>
      </c>
      <c r="O85" s="485" t="str">
        <f>IF('NH13-14'!Y85="",'NH13-14'!X85,IF('NH13-14'!Y85&gt;='NH13-14'!X85,'NH13-14'!Y85,'NH13-14'!X85))</f>
        <v/>
      </c>
      <c r="P85" s="485" t="str">
        <f>IF('NH13-14'!AA85="",'NH13-14'!Z85,IF('NH13-14'!AA85&gt;='NH13-14'!Z85,'NH13-14'!AA85,'NH13-14'!Z85))</f>
        <v/>
      </c>
      <c r="Q85" s="485" t="str">
        <f>IF('NH13-14'!AC85="",'NH13-14'!AB85,IF('NH13-14'!AC85&gt;='NH13-14'!AB85,'NH13-14'!AC85,'NH13-14'!AB85))</f>
        <v/>
      </c>
      <c r="R85" s="485" t="str">
        <f>IF('NH13-14'!AE85="",'NH13-14'!AD85,IF('NH13-14'!AE85&gt;='NH13-14'!AD85,'NH13-14'!AE85,'NH13-14'!AD85))</f>
        <v/>
      </c>
      <c r="S85" s="485" t="str">
        <f>IF('NH13-14'!AG85="",'NH13-14'!AF85,IF('NH13-14'!AG85&gt;='NH13-14'!AF85,'NH13-14'!AG85,'NH13-14'!AF85))</f>
        <v/>
      </c>
      <c r="T85" s="485" t="str">
        <f>IF('NH13-14'!AI85="",'NH13-14'!AH85,IF('NH13-14'!AI85&gt;='NH13-14'!AH85,'NH13-14'!AI85,'NH13-14'!AH85))</f>
        <v/>
      </c>
      <c r="U85" s="485" t="str">
        <f>IF('NH13-14'!AK85="",'NH13-14'!AJ85,IF('NH13-14'!AK85&gt;='NH13-14'!AJ85,'NH13-14'!AK85,'NH13-14'!AJ85))</f>
        <v/>
      </c>
      <c r="V85" s="485" t="str">
        <f>IF('NH13-14'!AM85="",'NH13-14'!AL85,IF('NH13-14'!AM85&gt;='NH13-14'!AL85,'NH13-14'!AM85,'NH13-14'!AL85))</f>
        <v/>
      </c>
      <c r="W85" s="485" t="str">
        <f>IF('NH13-14'!AO85="",'NH13-14'!AN85,IF('NH13-14'!AO85&gt;='NH13-14'!AN85,'NH13-14'!AO85,'NH13-14'!AN85))</f>
        <v/>
      </c>
      <c r="X85" s="485" t="str">
        <f>IF('NH13-14'!AQ85="",'NH13-14'!AP85,IF('NH13-14'!AQ85&gt;='NH13-14'!AP85,'NH13-14'!AQ85,'NH13-14'!AP85))</f>
        <v/>
      </c>
      <c r="Y85" s="485" t="str">
        <f>IF('NH13-14'!AS85="",'NH13-14'!AR85,IF('NH13-14'!AS85&gt;='NH13-14'!AR85,'NH13-14'!AS85,'NH13-14'!AR85))</f>
        <v/>
      </c>
      <c r="Z85" s="485" t="str">
        <f>IF('NH13-14'!AU85="",'NH13-14'!AT85,IF('NH13-14'!AU85&gt;='NH13-14'!AT85,'NH13-14'!AU85,'NH13-14'!AT85))</f>
        <v/>
      </c>
      <c r="AA85" s="485" t="str">
        <f>IF('NH13-14'!AW85="",'NH13-14'!AV85,IF('NH13-14'!AW85&gt;='NH13-14'!AV85,'NH13-14'!AW85,'NH13-14'!AV85))</f>
        <v/>
      </c>
      <c r="AB85" s="485" t="str">
        <f>IF('NH13-14'!AY85="",'NH13-14'!AX85,IF('NH13-14'!AY85&gt;='NH13-14'!AX85,'NH13-14'!AY85,'NH13-14'!AX85))</f>
        <v/>
      </c>
      <c r="AC85" s="485" t="str">
        <f>IF('NH13-14'!BA85="",'NH13-14'!AZ85,IF('NH13-14'!BA85&gt;='NH13-14'!AZ85,'NH13-14'!BA85,'NH13-14'!AZ85))</f>
        <v/>
      </c>
      <c r="AD85" s="486" t="str">
        <f>IF('NH13-14'!B85="","",ROUND(SUMPRODUCT(G85:AC85,$G$7:$AC$7)/SUMIF(G85:AC85,"&gt;=0",$G$7:$AC$7),2))</f>
        <v/>
      </c>
      <c r="AE85" s="487" t="str">
        <f t="shared" si="74"/>
        <v/>
      </c>
      <c r="AF85" s="488" t="str">
        <f t="shared" si="75"/>
        <v/>
      </c>
      <c r="AG85" s="488" t="str">
        <f t="shared" si="76"/>
        <v/>
      </c>
      <c r="AH85" s="488" t="str">
        <f t="shared" si="77"/>
        <v/>
      </c>
      <c r="AI85" s="488" t="str">
        <f t="shared" si="78"/>
        <v/>
      </c>
      <c r="AJ85" s="488" t="str">
        <f t="shared" si="79"/>
        <v/>
      </c>
      <c r="AK85" s="488" t="str">
        <f t="shared" si="80"/>
        <v/>
      </c>
      <c r="AL85" s="488" t="str">
        <f t="shared" si="81"/>
        <v/>
      </c>
      <c r="AM85" s="488" t="str">
        <f t="shared" si="82"/>
        <v/>
      </c>
      <c r="AN85" s="488" t="str">
        <f t="shared" si="83"/>
        <v/>
      </c>
      <c r="AO85" s="488" t="str">
        <f t="shared" si="84"/>
        <v/>
      </c>
      <c r="AP85" s="488" t="str">
        <f t="shared" si="85"/>
        <v/>
      </c>
      <c r="AQ85" s="488" t="str">
        <f t="shared" si="86"/>
        <v/>
      </c>
      <c r="AR85" s="488" t="str">
        <f t="shared" si="87"/>
        <v/>
      </c>
      <c r="AS85" s="488" t="str">
        <f t="shared" si="88"/>
        <v/>
      </c>
      <c r="AT85" s="488" t="str">
        <f t="shared" si="89"/>
        <v/>
      </c>
      <c r="AU85" s="488" t="str">
        <f t="shared" si="90"/>
        <v/>
      </c>
      <c r="AV85" s="488" t="str">
        <f t="shared" si="91"/>
        <v/>
      </c>
      <c r="AW85" s="488" t="str">
        <f t="shared" si="92"/>
        <v/>
      </c>
      <c r="AX85" s="488" t="str">
        <f t="shared" si="93"/>
        <v/>
      </c>
      <c r="AY85" s="488" t="str">
        <f t="shared" si="94"/>
        <v/>
      </c>
      <c r="AZ85" s="488" t="str">
        <f t="shared" si="95"/>
        <v/>
      </c>
      <c r="BA85" s="488" t="str">
        <f t="shared" si="96"/>
        <v/>
      </c>
      <c r="BB85" s="486" t="str">
        <f>IF('NH13-14'!B85="","",ROUND(SUMPRODUCT(AE85:BA85,$AE$7:$BA$7)/SUMIF(AE85:BA85,"&gt;=1",$AE$7:$BA$7),2))</f>
        <v/>
      </c>
      <c r="BC85" s="527" t="str">
        <f t="shared" si="97"/>
        <v/>
      </c>
      <c r="BD85" s="507" t="str">
        <f t="shared" si="98"/>
        <v/>
      </c>
      <c r="BE85" s="507" t="str">
        <f t="shared" si="99"/>
        <v/>
      </c>
      <c r="BF85" s="507" t="str">
        <f t="shared" si="100"/>
        <v/>
      </c>
      <c r="BG85" s="507" t="str">
        <f t="shared" si="101"/>
        <v/>
      </c>
      <c r="BH85" s="507" t="str">
        <f t="shared" si="102"/>
        <v/>
      </c>
      <c r="BI85" s="507" t="str">
        <f t="shared" si="103"/>
        <v/>
      </c>
      <c r="BJ85" s="507" t="str">
        <f t="shared" si="104"/>
        <v/>
      </c>
      <c r="BK85" s="507" t="str">
        <f t="shared" si="105"/>
        <v/>
      </c>
      <c r="BL85" s="507" t="str">
        <f t="shared" si="106"/>
        <v/>
      </c>
      <c r="BM85" s="507" t="str">
        <f t="shared" si="107"/>
        <v/>
      </c>
      <c r="BN85" s="507" t="str">
        <f t="shared" si="108"/>
        <v/>
      </c>
      <c r="BO85" s="507" t="str">
        <f t="shared" si="109"/>
        <v/>
      </c>
      <c r="BP85" s="507" t="str">
        <f t="shared" si="110"/>
        <v/>
      </c>
      <c r="BQ85" s="507" t="str">
        <f t="shared" si="111"/>
        <v/>
      </c>
      <c r="BR85" s="507" t="str">
        <f t="shared" si="112"/>
        <v/>
      </c>
      <c r="BS85" s="507" t="str">
        <f t="shared" si="113"/>
        <v/>
      </c>
      <c r="BT85" s="507" t="str">
        <f t="shared" si="114"/>
        <v/>
      </c>
      <c r="BU85" s="507" t="str">
        <f t="shared" si="115"/>
        <v/>
      </c>
      <c r="BV85" s="507" t="str">
        <f t="shared" si="116"/>
        <v/>
      </c>
      <c r="BW85" s="507" t="str">
        <f t="shared" si="117"/>
        <v/>
      </c>
      <c r="BX85" s="507" t="str">
        <f t="shared" si="118"/>
        <v/>
      </c>
      <c r="BY85" s="507" t="str">
        <f t="shared" si="119"/>
        <v/>
      </c>
    </row>
    <row r="86" spans="1:77">
      <c r="B86" s="448"/>
      <c r="C86" s="448"/>
      <c r="D86" s="448"/>
      <c r="E86" s="448"/>
      <c r="F86" s="448"/>
    </row>
  </sheetData>
  <sheetProtection password="E4CC" sheet="1" objects="1" scenarios="1"/>
  <mergeCells count="9">
    <mergeCell ref="BC5:BY5"/>
    <mergeCell ref="E10:F10"/>
    <mergeCell ref="G8:AD8"/>
    <mergeCell ref="AE8:BB8"/>
    <mergeCell ref="A6:A9"/>
    <mergeCell ref="B8:B9"/>
    <mergeCell ref="E8:F9"/>
    <mergeCell ref="C8:C9"/>
    <mergeCell ref="D8:D9"/>
  </mergeCells>
  <phoneticPr fontId="9" type="noConversion"/>
  <conditionalFormatting sqref="G11:AC85">
    <cfRule type="cellIs" dxfId="19" priority="1" stopIfTrue="1" operator="lessThan">
      <formula>4</formula>
    </cfRule>
  </conditionalFormatting>
  <pageMargins left="0.75" right="0.75" top="1" bottom="1" header="0.5" footer="0.5"/>
  <headerFooter alignWithMargins="0"/>
</worksheet>
</file>

<file path=xl/worksheets/sheet8.xml><?xml version="1.0" encoding="utf-8"?>
<worksheet xmlns="http://schemas.openxmlformats.org/spreadsheetml/2006/main" xmlns:r="http://schemas.openxmlformats.org/officeDocument/2006/relationships">
  <sheetPr codeName="Sheet1">
    <tabColor rgb="FFFF0000"/>
    <pageSetUpPr fitToPage="1"/>
  </sheetPr>
  <dimension ref="A1:GT85"/>
  <sheetViews>
    <sheetView tabSelected="1" topLeftCell="AC25" zoomScale="75" workbookViewId="0">
      <selection activeCell="BB43" sqref="BB43"/>
    </sheetView>
  </sheetViews>
  <sheetFormatPr defaultRowHeight="15"/>
  <cols>
    <col min="1" max="1" width="5.85546875" style="3" bestFit="1" customWidth="1"/>
    <col min="2" max="2" width="14" style="3" bestFit="1" customWidth="1"/>
    <col min="3" max="3" width="23.140625" style="3" customWidth="1"/>
    <col min="4" max="4" width="8.28515625" style="3" bestFit="1" customWidth="1"/>
    <col min="5" max="9" width="5.7109375" style="3" customWidth="1"/>
    <col min="10" max="19" width="5.7109375" style="78" customWidth="1"/>
    <col min="20" max="51" width="5.7109375" style="3" customWidth="1"/>
    <col min="52" max="53" width="6.7109375" style="3" customWidth="1"/>
    <col min="54" max="54" width="6.5703125" style="3" customWidth="1"/>
    <col min="55" max="55" width="7.28515625" style="3" customWidth="1"/>
    <col min="56" max="56" width="6.7109375" style="3" customWidth="1"/>
    <col min="57" max="57" width="19.140625" style="3" bestFit="1" customWidth="1"/>
    <col min="58" max="58" width="16.140625" style="3" bestFit="1" customWidth="1"/>
    <col min="59" max="63" width="6.7109375" style="3" customWidth="1"/>
    <col min="64" max="64" width="8.140625" style="3" customWidth="1"/>
    <col min="65" max="65" width="7.140625" style="3" customWidth="1"/>
    <col min="66" max="66" width="7.42578125" style="3" customWidth="1"/>
    <col min="67" max="67" width="20" style="3" customWidth="1"/>
    <col min="68" max="69" width="6.7109375" style="3" customWidth="1"/>
    <col min="70" max="70" width="7" style="3" hidden="1" customWidth="1"/>
    <col min="71" max="72" width="4.28515625" style="38" hidden="1" customWidth="1"/>
    <col min="73" max="81" width="4.28515625" style="3" hidden="1" customWidth="1"/>
    <col min="82" max="82" width="7" style="3" hidden="1" customWidth="1"/>
    <col min="83" max="93" width="4.28515625" style="3" hidden="1" customWidth="1"/>
    <col min="94" max="94" width="5.85546875" style="3" hidden="1" customWidth="1"/>
    <col min="95" max="95" width="5.140625" style="530" hidden="1" customWidth="1"/>
    <col min="96" max="117" width="5.140625" style="531" hidden="1" customWidth="1"/>
    <col min="118" max="128" width="5.140625" style="38" hidden="1" customWidth="1"/>
    <col min="129" max="129" width="8.85546875" style="38" hidden="1" customWidth="1"/>
    <col min="130" max="149" width="4.28515625" style="3" hidden="1" customWidth="1"/>
    <col min="150" max="150" width="5.140625" style="3" hidden="1" customWidth="1"/>
    <col min="151" max="151" width="5.140625" style="530" hidden="1" customWidth="1"/>
    <col min="152" max="173" width="5.140625" style="531" hidden="1" customWidth="1"/>
    <col min="174" max="182" width="5.140625" style="38" hidden="1" customWidth="1"/>
    <col min="183" max="184" width="5.140625" style="67" hidden="1" customWidth="1"/>
    <col min="185" max="185" width="8.85546875" style="38" hidden="1" customWidth="1"/>
    <col min="186" max="191" width="4.28515625" style="3" customWidth="1"/>
    <col min="192" max="192" width="5.140625" style="3" bestFit="1" customWidth="1"/>
    <col min="193" max="194" width="4.28515625" style="3" customWidth="1"/>
    <col min="195" max="202" width="4.28515625" style="38" customWidth="1"/>
    <col min="203" max="212" width="4.28515625" style="3" customWidth="1"/>
    <col min="213" max="213" width="5.140625" style="3" bestFit="1" customWidth="1"/>
    <col min="214" max="215" width="4.28515625" style="3" customWidth="1"/>
    <col min="216" max="16384" width="9.140625" style="3"/>
  </cols>
  <sheetData>
    <row r="1" spans="1:202" s="221" customFormat="1" ht="15.75">
      <c r="A1" s="701" t="s">
        <v>1488</v>
      </c>
      <c r="B1" s="701"/>
      <c r="C1" s="701"/>
      <c r="D1" s="701"/>
      <c r="E1" s="701"/>
      <c r="F1" s="701"/>
      <c r="G1" s="701"/>
      <c r="H1" s="701"/>
      <c r="I1" s="701"/>
      <c r="J1" s="701"/>
      <c r="K1" s="701"/>
      <c r="L1" s="701"/>
      <c r="M1" s="701"/>
      <c r="N1" s="701"/>
      <c r="O1" s="701"/>
      <c r="P1" s="701"/>
      <c r="Q1" s="51"/>
      <c r="R1" s="51"/>
      <c r="S1" s="51"/>
      <c r="T1" s="51"/>
      <c r="AQ1" s="701" t="s">
        <v>2640</v>
      </c>
      <c r="AR1" s="701"/>
      <c r="AS1" s="701"/>
      <c r="AT1" s="701"/>
      <c r="AU1" s="701"/>
      <c r="AV1" s="701"/>
      <c r="AW1" s="701"/>
      <c r="AX1" s="701"/>
      <c r="AY1" s="701"/>
      <c r="AZ1" s="701"/>
      <c r="BA1" s="701"/>
      <c r="BB1" s="701"/>
      <c r="BC1" s="701"/>
      <c r="BD1" s="701"/>
      <c r="BE1" s="701"/>
      <c r="BF1" s="701"/>
      <c r="BG1" s="701"/>
      <c r="BH1" s="701"/>
      <c r="BI1" s="701"/>
      <c r="BJ1" s="701"/>
      <c r="BS1" s="222"/>
      <c r="BT1" s="222"/>
      <c r="CQ1" s="530"/>
      <c r="CR1" s="531"/>
      <c r="CS1" s="531"/>
      <c r="CT1" s="531"/>
      <c r="CU1" s="531"/>
      <c r="CV1" s="531"/>
      <c r="CW1" s="531"/>
      <c r="CX1" s="531"/>
      <c r="CY1" s="531"/>
      <c r="CZ1" s="531"/>
      <c r="DA1" s="531"/>
      <c r="DB1" s="531"/>
      <c r="DC1" s="531"/>
      <c r="DD1" s="531"/>
      <c r="DE1" s="531"/>
      <c r="DF1" s="531"/>
      <c r="DG1" s="531"/>
      <c r="DH1" s="531"/>
      <c r="DI1" s="531"/>
      <c r="DJ1" s="531"/>
      <c r="DK1" s="531"/>
      <c r="DL1" s="531"/>
      <c r="DM1" s="531"/>
      <c r="DN1" s="222"/>
      <c r="DO1" s="222"/>
      <c r="DP1" s="222"/>
      <c r="DQ1" s="222"/>
      <c r="DR1" s="222"/>
      <c r="DS1" s="222"/>
      <c r="DT1" s="222"/>
      <c r="DU1" s="222"/>
      <c r="DV1" s="222"/>
      <c r="DW1" s="222"/>
      <c r="DX1" s="222"/>
      <c r="DY1" s="222"/>
      <c r="EU1" s="530"/>
      <c r="EV1" s="531"/>
      <c r="EW1" s="531"/>
      <c r="EX1" s="531"/>
      <c r="EY1" s="531"/>
      <c r="EZ1" s="531"/>
      <c r="FA1" s="531"/>
      <c r="FB1" s="531"/>
      <c r="FC1" s="531"/>
      <c r="FD1" s="531"/>
      <c r="FE1" s="531"/>
      <c r="FF1" s="531"/>
      <c r="FG1" s="531"/>
      <c r="FH1" s="531"/>
      <c r="FI1" s="531"/>
      <c r="FJ1" s="531"/>
      <c r="FK1" s="531"/>
      <c r="FL1" s="531"/>
      <c r="FM1" s="531"/>
      <c r="FN1" s="531"/>
      <c r="FO1" s="531"/>
      <c r="FP1" s="531"/>
      <c r="FQ1" s="531"/>
      <c r="FR1" s="222"/>
      <c r="FS1" s="222"/>
      <c r="FT1" s="222"/>
      <c r="FU1" s="222"/>
      <c r="FV1" s="222"/>
      <c r="FW1" s="222"/>
      <c r="FX1" s="222"/>
      <c r="FY1" s="222"/>
      <c r="FZ1" s="222"/>
      <c r="GA1" s="260"/>
      <c r="GB1" s="260"/>
      <c r="GC1" s="222"/>
      <c r="GM1" s="222"/>
      <c r="GN1" s="222"/>
      <c r="GO1" s="222"/>
      <c r="GP1" s="222"/>
      <c r="GQ1" s="222"/>
      <c r="GR1" s="222"/>
      <c r="GS1" s="222"/>
      <c r="GT1" s="222"/>
    </row>
    <row r="2" spans="1:202" s="221" customFormat="1" ht="15.75">
      <c r="A2" s="702" t="s">
        <v>1487</v>
      </c>
      <c r="B2" s="702"/>
      <c r="C2" s="702"/>
      <c r="D2" s="702"/>
      <c r="E2" s="702"/>
      <c r="F2" s="702"/>
      <c r="G2" s="702"/>
      <c r="H2" s="702"/>
      <c r="I2" s="702"/>
      <c r="J2" s="702"/>
      <c r="K2" s="702"/>
      <c r="L2" s="702"/>
      <c r="M2" s="702"/>
      <c r="N2" s="702"/>
      <c r="O2" s="702"/>
      <c r="P2" s="702"/>
      <c r="Q2" s="51"/>
      <c r="R2" s="51"/>
      <c r="S2" s="51"/>
      <c r="T2" s="51"/>
      <c r="AQ2" s="702" t="s">
        <v>2641</v>
      </c>
      <c r="AR2" s="702"/>
      <c r="AS2" s="702"/>
      <c r="AT2" s="702"/>
      <c r="AU2" s="702"/>
      <c r="AV2" s="702"/>
      <c r="AW2" s="702"/>
      <c r="AX2" s="702"/>
      <c r="AY2" s="702"/>
      <c r="AZ2" s="702"/>
      <c r="BA2" s="702"/>
      <c r="BB2" s="702"/>
      <c r="BC2" s="702"/>
      <c r="BD2" s="702"/>
      <c r="BE2" s="702"/>
      <c r="BF2" s="702"/>
      <c r="BG2" s="702"/>
      <c r="BH2" s="702"/>
      <c r="BI2" s="702"/>
      <c r="BJ2" s="702"/>
      <c r="BS2" s="222"/>
      <c r="BT2" s="222"/>
      <c r="CQ2" s="530"/>
      <c r="CR2" s="531"/>
      <c r="CS2" s="531"/>
      <c r="CT2" s="531"/>
      <c r="CU2" s="531"/>
      <c r="CV2" s="531"/>
      <c r="CW2" s="531"/>
      <c r="CX2" s="531"/>
      <c r="CY2" s="531"/>
      <c r="CZ2" s="531"/>
      <c r="DA2" s="531"/>
      <c r="DB2" s="531"/>
      <c r="DC2" s="531"/>
      <c r="DD2" s="531"/>
      <c r="DE2" s="531"/>
      <c r="DF2" s="531"/>
      <c r="DG2" s="531"/>
      <c r="DH2" s="531"/>
      <c r="DI2" s="531"/>
      <c r="DJ2" s="531"/>
      <c r="DK2" s="531"/>
      <c r="DL2" s="531"/>
      <c r="DM2" s="531"/>
      <c r="DN2" s="222"/>
      <c r="DO2" s="222"/>
      <c r="DP2" s="222"/>
      <c r="DQ2" s="222"/>
      <c r="DR2" s="222"/>
      <c r="DS2" s="222"/>
      <c r="DT2" s="222"/>
      <c r="DU2" s="222"/>
      <c r="DV2" s="222"/>
      <c r="DW2" s="222"/>
      <c r="DX2" s="222"/>
      <c r="DY2" s="222"/>
      <c r="EU2" s="530"/>
      <c r="EV2" s="531"/>
      <c r="EW2" s="531"/>
      <c r="EX2" s="531"/>
      <c r="EY2" s="531"/>
      <c r="EZ2" s="531"/>
      <c r="FA2" s="531"/>
      <c r="FB2" s="531"/>
      <c r="FC2" s="531"/>
      <c r="FD2" s="531"/>
      <c r="FE2" s="531"/>
      <c r="FF2" s="531"/>
      <c r="FG2" s="531"/>
      <c r="FH2" s="531"/>
      <c r="FI2" s="531"/>
      <c r="FJ2" s="531"/>
      <c r="FK2" s="531"/>
      <c r="FL2" s="531"/>
      <c r="FM2" s="531"/>
      <c r="FN2" s="531"/>
      <c r="FO2" s="531"/>
      <c r="FP2" s="531"/>
      <c r="FQ2" s="531"/>
      <c r="FR2" s="222"/>
      <c r="FS2" s="222"/>
      <c r="FT2" s="222"/>
      <c r="FU2" s="222"/>
      <c r="FV2" s="222"/>
      <c r="FW2" s="222"/>
      <c r="FX2" s="222"/>
      <c r="FY2" s="222"/>
      <c r="FZ2" s="222"/>
      <c r="GA2" s="260"/>
      <c r="GB2" s="260"/>
      <c r="GC2" s="222"/>
      <c r="GM2" s="222"/>
      <c r="GN2" s="222"/>
      <c r="GO2" s="222"/>
      <c r="GP2" s="222"/>
      <c r="GQ2" s="222"/>
      <c r="GR2" s="222"/>
      <c r="GS2" s="222"/>
      <c r="GT2" s="222"/>
    </row>
    <row r="3" spans="1:202" s="221" customFormat="1" ht="15.75">
      <c r="C3" s="15" t="s">
        <v>1424</v>
      </c>
      <c r="D3" s="741" t="str">
        <f>IF($B11="","",IF(ISNA(VLOOKUP($B11,'DS LOP HKI'!$B$2:$F$1873,5,FALSE))=TRUE,"",VLOOKUP($B11,'DS LOP HKI'!$B$2:$F$1873,5,FALSE)))</f>
        <v>13CĐ-Đ1</v>
      </c>
      <c r="E3" s="741"/>
      <c r="F3" s="741"/>
      <c r="G3" s="742" t="s">
        <v>1489</v>
      </c>
      <c r="H3" s="742"/>
      <c r="I3" s="16">
        <f>IF(B11="",0,MAX($A$11:$A$84))</f>
        <v>35</v>
      </c>
      <c r="J3" s="50"/>
      <c r="K3" s="50"/>
      <c r="L3" s="50"/>
      <c r="M3" s="50"/>
      <c r="N3" s="50"/>
      <c r="O3" s="50"/>
      <c r="P3" s="50"/>
      <c r="Q3" s="50"/>
      <c r="R3" s="50"/>
      <c r="S3" s="50"/>
      <c r="T3" s="50"/>
      <c r="BS3" s="112"/>
      <c r="BT3" s="112"/>
      <c r="CQ3" s="530"/>
      <c r="CR3" s="531"/>
      <c r="CS3" s="531"/>
      <c r="CT3" s="531"/>
      <c r="CU3" s="531"/>
      <c r="CV3" s="531"/>
      <c r="CW3" s="531"/>
      <c r="CX3" s="531"/>
      <c r="CY3" s="531"/>
      <c r="CZ3" s="531"/>
      <c r="DA3" s="531"/>
      <c r="DB3" s="531"/>
      <c r="DC3" s="531"/>
      <c r="DD3" s="531"/>
      <c r="DE3" s="531"/>
      <c r="DF3" s="531"/>
      <c r="DG3" s="531"/>
      <c r="DH3" s="531"/>
      <c r="DI3" s="531"/>
      <c r="DJ3" s="531"/>
      <c r="DK3" s="531"/>
      <c r="DL3" s="531"/>
      <c r="DM3" s="531"/>
      <c r="DN3" s="222"/>
      <c r="DO3" s="222"/>
      <c r="DP3" s="222"/>
      <c r="DQ3" s="222"/>
      <c r="DR3" s="222"/>
      <c r="DS3" s="222"/>
      <c r="DT3" s="222"/>
      <c r="DU3" s="222"/>
      <c r="DV3" s="222"/>
      <c r="DW3" s="222"/>
      <c r="DX3" s="222"/>
      <c r="DY3" s="222"/>
      <c r="EU3" s="530"/>
      <c r="EV3" s="531"/>
      <c r="EW3" s="531"/>
      <c r="EX3" s="531"/>
      <c r="EY3" s="531"/>
      <c r="EZ3" s="531"/>
      <c r="FA3" s="531"/>
      <c r="FB3" s="531"/>
      <c r="FC3" s="531"/>
      <c r="FD3" s="531"/>
      <c r="FE3" s="531"/>
      <c r="FF3" s="531"/>
      <c r="FG3" s="531"/>
      <c r="FH3" s="531"/>
      <c r="FI3" s="531"/>
      <c r="FJ3" s="531"/>
      <c r="FK3" s="531"/>
      <c r="FL3" s="531"/>
      <c r="FM3" s="531"/>
      <c r="FN3" s="531"/>
      <c r="FO3" s="531"/>
      <c r="FP3" s="531"/>
      <c r="FQ3" s="531"/>
      <c r="FR3" s="222"/>
      <c r="FS3" s="222"/>
      <c r="FT3" s="222"/>
      <c r="FU3" s="222"/>
      <c r="FV3" s="222"/>
      <c r="FW3" s="222"/>
      <c r="FX3" s="222"/>
      <c r="FY3" s="222"/>
      <c r="FZ3" s="222"/>
      <c r="GA3" s="260"/>
      <c r="GB3" s="260"/>
      <c r="GC3" s="222"/>
      <c r="GM3" s="222"/>
      <c r="GN3" s="222"/>
      <c r="GO3" s="222"/>
      <c r="GP3" s="222"/>
      <c r="GQ3" s="222"/>
      <c r="GR3" s="222"/>
      <c r="GS3" s="222"/>
      <c r="GT3" s="222"/>
    </row>
    <row r="4" spans="1:202" ht="22.5">
      <c r="A4" s="728" t="s">
        <v>105</v>
      </c>
      <c r="B4" s="728"/>
      <c r="C4" s="728"/>
      <c r="D4" s="728"/>
      <c r="E4" s="728"/>
      <c r="F4" s="728"/>
      <c r="G4" s="728"/>
      <c r="H4" s="728"/>
      <c r="I4" s="728"/>
      <c r="J4" s="728"/>
      <c r="K4" s="728"/>
      <c r="L4" s="728"/>
      <c r="M4" s="728"/>
      <c r="N4" s="728"/>
      <c r="O4" s="728"/>
      <c r="P4" s="728"/>
      <c r="Q4" s="728"/>
      <c r="R4" s="728"/>
      <c r="S4" s="728"/>
      <c r="T4" s="728"/>
      <c r="U4" s="728"/>
      <c r="V4" s="728"/>
      <c r="W4" s="728"/>
      <c r="X4" s="728"/>
      <c r="Y4" s="728"/>
      <c r="Z4" s="728"/>
      <c r="AA4" s="728"/>
      <c r="AB4" s="728"/>
      <c r="AC4" s="728"/>
      <c r="AD4" s="728"/>
      <c r="AE4" s="728"/>
      <c r="AF4" s="728"/>
      <c r="AG4" s="728"/>
      <c r="AH4" s="728"/>
      <c r="AI4" s="728"/>
      <c r="AJ4" s="728"/>
      <c r="AK4" s="728"/>
      <c r="AL4" s="728"/>
      <c r="AM4" s="728"/>
      <c r="AN4" s="728"/>
      <c r="AO4" s="728"/>
      <c r="AP4" s="728"/>
      <c r="AQ4" s="728"/>
      <c r="AR4" s="728"/>
      <c r="AS4" s="728"/>
      <c r="AT4" s="728"/>
      <c r="AU4" s="728"/>
      <c r="AV4" s="728"/>
      <c r="AW4" s="728"/>
      <c r="AX4" s="728"/>
      <c r="AY4" s="728"/>
      <c r="AZ4" s="728"/>
      <c r="BA4" s="728"/>
      <c r="BB4" s="728"/>
      <c r="BC4" s="728"/>
      <c r="BD4" s="728"/>
      <c r="BE4" s="728"/>
      <c r="BF4" s="728"/>
      <c r="BG4" s="728"/>
      <c r="BH4" s="728"/>
      <c r="BI4" s="728"/>
      <c r="BJ4" s="728"/>
      <c r="BK4" s="728"/>
      <c r="BL4" s="728"/>
      <c r="BM4" s="728"/>
      <c r="BN4" s="728"/>
      <c r="BO4" s="728"/>
      <c r="BP4" s="226"/>
      <c r="BQ4" s="226"/>
      <c r="BR4" s="199"/>
      <c r="BS4" s="199"/>
      <c r="BT4" s="199"/>
      <c r="BU4" s="199"/>
      <c r="BV4" s="199"/>
      <c r="BW4" s="199"/>
      <c r="BX4" s="199"/>
      <c r="BY4" s="199"/>
      <c r="BZ4" s="199"/>
      <c r="CA4" s="199"/>
      <c r="CB4" s="199"/>
      <c r="CC4" s="199"/>
      <c r="CD4" s="199"/>
      <c r="CF4" s="199"/>
      <c r="CG4" s="199"/>
      <c r="CH4" s="199"/>
      <c r="CI4" s="199"/>
      <c r="CJ4" s="199"/>
      <c r="CK4" s="199"/>
      <c r="CL4" s="199"/>
      <c r="CM4" s="199"/>
      <c r="CN4" s="199"/>
      <c r="CO4" s="199"/>
      <c r="CP4" s="199"/>
      <c r="DN4" s="204"/>
      <c r="DO4" s="204"/>
      <c r="DP4" s="204"/>
      <c r="DQ4" s="204"/>
      <c r="DR4" s="204"/>
      <c r="DS4" s="204"/>
      <c r="DT4" s="204"/>
      <c r="DU4" s="204"/>
      <c r="DV4" s="204"/>
      <c r="DW4" s="204"/>
      <c r="DX4" s="204"/>
      <c r="DY4" s="204"/>
      <c r="DZ4" s="199"/>
      <c r="EA4" s="199"/>
      <c r="EB4" s="199"/>
      <c r="EC4" s="199"/>
      <c r="ED4" s="199"/>
      <c r="EE4" s="199"/>
      <c r="EF4" s="199"/>
      <c r="EG4" s="199"/>
      <c r="EH4" s="199"/>
      <c r="EI4" s="199"/>
      <c r="EJ4" s="199"/>
      <c r="EK4" s="199"/>
      <c r="EL4" s="199"/>
      <c r="EM4" s="199"/>
      <c r="FR4" s="204"/>
      <c r="FS4" s="204"/>
      <c r="FT4" s="204"/>
      <c r="FU4" s="204"/>
      <c r="FV4" s="204"/>
      <c r="FW4" s="204"/>
      <c r="FX4" s="204"/>
      <c r="FY4" s="204"/>
      <c r="FZ4" s="204"/>
      <c r="GA4" s="204"/>
      <c r="GB4" s="204"/>
      <c r="GC4" s="204"/>
    </row>
    <row r="5" spans="1:202" ht="17.25" thickBot="1">
      <c r="B5" s="56"/>
      <c r="C5" s="57"/>
      <c r="D5" s="743"/>
      <c r="E5" s="743"/>
      <c r="F5" s="743"/>
      <c r="G5" s="743"/>
      <c r="H5" s="743"/>
      <c r="I5" s="743"/>
      <c r="J5" s="743"/>
      <c r="K5" s="743"/>
      <c r="L5" s="743"/>
      <c r="M5" s="743"/>
      <c r="N5" s="743"/>
      <c r="O5" s="743"/>
      <c r="P5" s="58"/>
      <c r="Q5" s="58"/>
      <c r="R5" s="58"/>
      <c r="S5" s="58"/>
      <c r="T5" s="59"/>
      <c r="CQ5" s="774" t="s">
        <v>2077</v>
      </c>
      <c r="CR5" s="775"/>
      <c r="CS5" s="775"/>
      <c r="CT5" s="775"/>
      <c r="CU5" s="775"/>
      <c r="CV5" s="775"/>
      <c r="CW5" s="775"/>
      <c r="CX5" s="775"/>
      <c r="CY5" s="775"/>
      <c r="CZ5" s="775"/>
      <c r="DA5" s="775"/>
      <c r="DB5" s="775"/>
      <c r="DC5" s="775"/>
      <c r="DD5" s="775"/>
      <c r="DE5" s="775"/>
      <c r="DF5" s="775"/>
      <c r="DG5" s="775"/>
      <c r="DH5" s="775"/>
      <c r="DI5" s="775"/>
      <c r="DJ5" s="775"/>
      <c r="DK5" s="775"/>
      <c r="DL5" s="775"/>
      <c r="DM5" s="775"/>
      <c r="EU5" s="774" t="s">
        <v>2077</v>
      </c>
      <c r="EV5" s="775"/>
      <c r="EW5" s="775"/>
      <c r="EX5" s="775"/>
      <c r="EY5" s="775"/>
      <c r="EZ5" s="775"/>
      <c r="FA5" s="775"/>
      <c r="FB5" s="775"/>
      <c r="FC5" s="775"/>
      <c r="FD5" s="775"/>
      <c r="FE5" s="775"/>
      <c r="FF5" s="775"/>
      <c r="FG5" s="775"/>
      <c r="FH5" s="775"/>
      <c r="FI5" s="775"/>
      <c r="FJ5" s="775"/>
      <c r="FK5" s="775"/>
      <c r="FL5" s="775"/>
      <c r="FM5" s="775"/>
      <c r="FN5" s="775"/>
      <c r="FO5" s="775"/>
      <c r="FP5" s="775"/>
      <c r="FQ5" s="775"/>
    </row>
    <row r="6" spans="1:202" ht="51" customHeight="1" thickBot="1">
      <c r="A6" s="747" t="s">
        <v>1494</v>
      </c>
      <c r="B6" s="753" t="s">
        <v>1495</v>
      </c>
      <c r="C6" s="754"/>
      <c r="D6" s="754"/>
      <c r="E6" s="754"/>
      <c r="F6" s="754"/>
      <c r="G6" s="755"/>
      <c r="H6" s="744" t="str">
        <f>IF('LT01'!$C$6="","",'LT01'!$C$6)</f>
        <v>Anh văn 2</v>
      </c>
      <c r="I6" s="745"/>
      <c r="J6" s="745"/>
      <c r="K6" s="746"/>
      <c r="L6" s="708" t="str">
        <f>IF('LT02'!$C$6="","",'LT02'!$C$6)</f>
        <v>Những NLCB của CNMLN 2</v>
      </c>
      <c r="M6" s="709"/>
      <c r="N6" s="709"/>
      <c r="O6" s="710"/>
      <c r="P6" s="708" t="str">
        <f>'LT03'!$C$6</f>
        <v xml:space="preserve">Khí cụ điện và máy điện </v>
      </c>
      <c r="Q6" s="709"/>
      <c r="R6" s="709"/>
      <c r="S6" s="710"/>
      <c r="T6" s="708" t="str">
        <f>'LT04'!$C$6</f>
        <v xml:space="preserve">Kỹ thuật số </v>
      </c>
      <c r="U6" s="709"/>
      <c r="V6" s="709"/>
      <c r="W6" s="710"/>
      <c r="X6" s="708" t="str">
        <f>'LT05'!$C$6</f>
        <v xml:space="preserve">Điện tử công suất </v>
      </c>
      <c r="Y6" s="709"/>
      <c r="Z6" s="709"/>
      <c r="AA6" s="710"/>
      <c r="AB6" s="708" t="str">
        <f>'LT06'!$C$6</f>
        <v xml:space="preserve">Kỹ thuật truyền số liệu </v>
      </c>
      <c r="AC6" s="709"/>
      <c r="AD6" s="709"/>
      <c r="AE6" s="710"/>
      <c r="AF6" s="708" t="str">
        <f>'LT07'!$C$6</f>
        <v/>
      </c>
      <c r="AG6" s="709"/>
      <c r="AH6" s="709"/>
      <c r="AI6" s="710"/>
      <c r="AJ6" s="708" t="str">
        <f>'LT08'!$C$6</f>
        <v/>
      </c>
      <c r="AK6" s="709"/>
      <c r="AL6" s="709"/>
      <c r="AM6" s="710"/>
      <c r="AN6" s="708" t="str">
        <f>'LT09'!$C$6</f>
        <v/>
      </c>
      <c r="AO6" s="709"/>
      <c r="AP6" s="709"/>
      <c r="AQ6" s="710"/>
      <c r="AR6" s="708" t="str">
        <f>'TH01'!$C$6</f>
        <v xml:space="preserve">Thực tập Điện tử cơ bản </v>
      </c>
      <c r="AS6" s="709"/>
      <c r="AT6" s="709"/>
      <c r="AU6" s="710"/>
      <c r="AV6" s="708" t="str">
        <f>'TH02'!$C$6</f>
        <v xml:space="preserve">Thực tập Đo lường và mạch điện </v>
      </c>
      <c r="AW6" s="709"/>
      <c r="AX6" s="709"/>
      <c r="AY6" s="710"/>
      <c r="AZ6" s="731" t="s">
        <v>1497</v>
      </c>
      <c r="BA6" s="732"/>
      <c r="BB6" s="714" t="s">
        <v>2639</v>
      </c>
      <c r="BC6" s="717" t="s">
        <v>2085</v>
      </c>
      <c r="BD6" s="718"/>
      <c r="BE6" s="711" t="s">
        <v>1498</v>
      </c>
      <c r="BF6" s="623" t="s">
        <v>403</v>
      </c>
      <c r="BG6" s="623" t="s">
        <v>99</v>
      </c>
      <c r="BH6" s="623" t="s">
        <v>100</v>
      </c>
      <c r="BI6" s="623" t="s">
        <v>101</v>
      </c>
      <c r="BJ6" s="623" t="s">
        <v>2549</v>
      </c>
      <c r="BK6" s="623" t="s">
        <v>733</v>
      </c>
      <c r="BL6" s="623" t="s">
        <v>743</v>
      </c>
      <c r="BM6" s="623" t="s">
        <v>2638</v>
      </c>
      <c r="BN6" s="623" t="s">
        <v>742</v>
      </c>
      <c r="BO6" s="711" t="s">
        <v>1499</v>
      </c>
      <c r="BP6" s="623" t="s">
        <v>102</v>
      </c>
      <c r="BQ6" s="623" t="s">
        <v>103</v>
      </c>
      <c r="BS6" s="39"/>
      <c r="BT6" s="39"/>
      <c r="CD6" s="203"/>
      <c r="CQ6" s="439" t="str">
        <f>'NH13-14'!$H6</f>
        <v>Toán cao cấp 1</v>
      </c>
      <c r="CR6" s="440" t="str">
        <f>'NH13-14'!$J6</f>
        <v>Vật lý đại cương 1</v>
      </c>
      <c r="CS6" s="440" t="str">
        <f>'NH13-14'!$L6</f>
        <v>Hóa học đại cương 1</v>
      </c>
      <c r="CT6" s="440" t="str">
        <f>'NH13-14'!$N6</f>
        <v xml:space="preserve">Pháp luật đại cương </v>
      </c>
      <c r="CU6" s="440" t="str">
        <f>'NH13-14'!$P6</f>
        <v xml:space="preserve">Nhập môn Tin học </v>
      </c>
      <c r="CV6" s="440" t="str">
        <f>'NH13-14'!$R6</f>
        <v xml:space="preserve">Đo lường và mạch điện </v>
      </c>
      <c r="CW6" s="440" t="str">
        <f>'NH13-14'!$T6</f>
        <v xml:space="preserve">Mạng cung cấp điện </v>
      </c>
      <c r="CX6" s="440" t="str">
        <f>'NH13-14'!$V6</f>
        <v/>
      </c>
      <c r="CY6" s="440" t="str">
        <f>'NH13-14'!$X6</f>
        <v/>
      </c>
      <c r="CZ6" s="440" t="str">
        <f>'NH13-14'!$Z6</f>
        <v>Toán cao cấp 2</v>
      </c>
      <c r="DA6" s="440" t="str">
        <f>'NH13-14'!$AB6</f>
        <v>Anh văn 1</v>
      </c>
      <c r="DB6" s="440" t="str">
        <f>'NH13-14'!$AD6</f>
        <v>Xác suất thống kê</v>
      </c>
      <c r="DC6" s="440" t="str">
        <f>'NH13-14'!$AF6</f>
        <v>Vật lý đại cương 2</v>
      </c>
      <c r="DD6" s="440" t="str">
        <f>'NH13-14'!$AH6</f>
        <v>Hoá học đại cương 2</v>
      </c>
      <c r="DE6" s="440" t="str">
        <f>'NH13-14'!$AJ6</f>
        <v xml:space="preserve">Kỹ năng giao tiếp </v>
      </c>
      <c r="DF6" s="440" t="str">
        <f>'NH13-14'!$AL6</f>
        <v>Những NLCB của CNMLN 1</v>
      </c>
      <c r="DG6" s="440" t="str">
        <f>'NH13-14'!$AN6</f>
        <v xml:space="preserve">Điện tử cơ bản </v>
      </c>
      <c r="DH6" s="441" t="str">
        <f>'NH13-14'!$AP6</f>
        <v>An toàn điện</v>
      </c>
      <c r="DI6" s="441" t="str">
        <f>'NH13-14'!$AR6</f>
        <v/>
      </c>
      <c r="DJ6" s="441" t="str">
        <f>'NH13-14'!$AT6</f>
        <v/>
      </c>
      <c r="DK6" s="441" t="str">
        <f>'NH13-14'!$AV6</f>
        <v/>
      </c>
      <c r="DL6" s="441" t="str">
        <f>'NH13-14'!$AX6</f>
        <v xml:space="preserve">Thực tập Điện cơ bản </v>
      </c>
      <c r="DM6" s="441" t="str">
        <f>'NH13-14'!$AZ6</f>
        <v/>
      </c>
      <c r="DY6" s="113">
        <f>SUM(CQ7:DX7)</f>
        <v>59</v>
      </c>
      <c r="ED6" s="38"/>
      <c r="EE6" s="38"/>
      <c r="EF6" s="38"/>
      <c r="EG6" s="38"/>
      <c r="EH6" s="38"/>
      <c r="EI6" s="38"/>
      <c r="EJ6" s="38"/>
      <c r="EK6" s="38"/>
      <c r="EL6" s="38"/>
      <c r="EU6" s="439" t="str">
        <f>'NH13-14'!$H6</f>
        <v>Toán cao cấp 1</v>
      </c>
      <c r="EV6" s="440" t="str">
        <f>'NH13-14'!$J6</f>
        <v>Vật lý đại cương 1</v>
      </c>
      <c r="EW6" s="440" t="str">
        <f>'NH13-14'!$L6</f>
        <v>Hóa học đại cương 1</v>
      </c>
      <c r="EX6" s="440" t="str">
        <f>'NH13-14'!$N6</f>
        <v xml:space="preserve">Pháp luật đại cương </v>
      </c>
      <c r="EY6" s="440" t="str">
        <f>'NH13-14'!$P6</f>
        <v xml:space="preserve">Nhập môn Tin học </v>
      </c>
      <c r="EZ6" s="440" t="str">
        <f>'NH13-14'!$R6</f>
        <v xml:space="preserve">Đo lường và mạch điện </v>
      </c>
      <c r="FA6" s="440" t="str">
        <f>'NH13-14'!$T6</f>
        <v xml:space="preserve">Mạng cung cấp điện </v>
      </c>
      <c r="FB6" s="440" t="str">
        <f>'NH13-14'!$V6</f>
        <v/>
      </c>
      <c r="FC6" s="440" t="str">
        <f>'NH13-14'!$X6</f>
        <v/>
      </c>
      <c r="FD6" s="440" t="str">
        <f>'NH13-14'!$Z6</f>
        <v>Toán cao cấp 2</v>
      </c>
      <c r="FE6" s="440" t="str">
        <f>'NH13-14'!$AB6</f>
        <v>Anh văn 1</v>
      </c>
      <c r="FF6" s="440" t="str">
        <f>'NH13-14'!$AD6</f>
        <v>Xác suất thống kê</v>
      </c>
      <c r="FG6" s="440" t="str">
        <f>'NH13-14'!$AF6</f>
        <v>Vật lý đại cương 2</v>
      </c>
      <c r="FH6" s="440" t="str">
        <f>'NH13-14'!$AH6</f>
        <v>Hoá học đại cương 2</v>
      </c>
      <c r="FI6" s="440" t="str">
        <f>'NH13-14'!$AJ6</f>
        <v xml:space="preserve">Kỹ năng giao tiếp </v>
      </c>
      <c r="FJ6" s="440" t="str">
        <f>'NH13-14'!$AL6</f>
        <v>Những NLCB của CNMLN 1</v>
      </c>
      <c r="FK6" s="440" t="str">
        <f>'NH13-14'!$AN6</f>
        <v xml:space="preserve">Điện tử cơ bản </v>
      </c>
      <c r="FL6" s="441" t="str">
        <f>'NH13-14'!$AP6</f>
        <v>An toàn điện</v>
      </c>
      <c r="FM6" s="441" t="str">
        <f>'NH13-14'!$AR6</f>
        <v/>
      </c>
      <c r="FN6" s="441" t="str">
        <f>'NH13-14'!$AT6</f>
        <v/>
      </c>
      <c r="FO6" s="441" t="str">
        <f>'NH13-14'!$AV6</f>
        <v/>
      </c>
      <c r="FP6" s="441" t="str">
        <f>'NH13-14'!$AX6</f>
        <v xml:space="preserve">Thực tập Điện cơ bản </v>
      </c>
      <c r="FQ6" s="441" t="str">
        <f>'NH13-14'!$AZ6</f>
        <v/>
      </c>
      <c r="GC6" s="113">
        <f>SUM(EU7:GB7)</f>
        <v>59</v>
      </c>
      <c r="GM6" s="3"/>
      <c r="GN6" s="3"/>
      <c r="GO6" s="3"/>
      <c r="GP6" s="3"/>
      <c r="GQ6" s="3"/>
      <c r="GR6" s="3"/>
      <c r="GS6" s="3"/>
      <c r="GT6" s="3"/>
    </row>
    <row r="7" spans="1:202" ht="16.5" thickBot="1">
      <c r="A7" s="748"/>
      <c r="B7" s="756" t="s">
        <v>1496</v>
      </c>
      <c r="C7" s="757"/>
      <c r="D7" s="757"/>
      <c r="E7" s="757"/>
      <c r="F7" s="757"/>
      <c r="G7" s="758"/>
      <c r="H7" s="708">
        <f>IF('LT01'!$J$6="","",'LT01'!$J$6)</f>
        <v>2</v>
      </c>
      <c r="I7" s="709"/>
      <c r="J7" s="709"/>
      <c r="K7" s="710"/>
      <c r="L7" s="708">
        <f>IF('LT02'!$J$6="","",'LT02'!$J$6)</f>
        <v>3</v>
      </c>
      <c r="M7" s="709"/>
      <c r="N7" s="709"/>
      <c r="O7" s="710"/>
      <c r="P7" s="708">
        <f>'LT03'!$J$6</f>
        <v>3</v>
      </c>
      <c r="Q7" s="709"/>
      <c r="R7" s="709"/>
      <c r="S7" s="710"/>
      <c r="T7" s="708">
        <f>'LT04'!$J$6</f>
        <v>2</v>
      </c>
      <c r="U7" s="709"/>
      <c r="V7" s="709"/>
      <c r="W7" s="710"/>
      <c r="X7" s="708">
        <f>'LT05'!$J$6</f>
        <v>2</v>
      </c>
      <c r="Y7" s="709"/>
      <c r="Z7" s="709"/>
      <c r="AA7" s="710"/>
      <c r="AB7" s="708">
        <f>'LT06'!$J$6</f>
        <v>2</v>
      </c>
      <c r="AC7" s="709"/>
      <c r="AD7" s="709"/>
      <c r="AE7" s="710"/>
      <c r="AF7" s="708" t="str">
        <f>'LT07'!$J$6</f>
        <v/>
      </c>
      <c r="AG7" s="709"/>
      <c r="AH7" s="709"/>
      <c r="AI7" s="710"/>
      <c r="AJ7" s="708" t="str">
        <f>'LT08'!$J$6</f>
        <v/>
      </c>
      <c r="AK7" s="709"/>
      <c r="AL7" s="709"/>
      <c r="AM7" s="710"/>
      <c r="AN7" s="708" t="str">
        <f>'LT09'!$J$6</f>
        <v/>
      </c>
      <c r="AO7" s="709"/>
      <c r="AP7" s="709"/>
      <c r="AQ7" s="710"/>
      <c r="AR7" s="708">
        <f>'TH01'!$J$6</f>
        <v>2</v>
      </c>
      <c r="AS7" s="709"/>
      <c r="AT7" s="709"/>
      <c r="AU7" s="710"/>
      <c r="AV7" s="708">
        <f>'TH02'!$J$6</f>
        <v>2</v>
      </c>
      <c r="AW7" s="709"/>
      <c r="AX7" s="709"/>
      <c r="AY7" s="710"/>
      <c r="AZ7" s="776">
        <f>SUM(H7:AY7)</f>
        <v>18</v>
      </c>
      <c r="BA7" s="777"/>
      <c r="BB7" s="715"/>
      <c r="BC7" s="719"/>
      <c r="BD7" s="720"/>
      <c r="BE7" s="712"/>
      <c r="BF7" s="624"/>
      <c r="BG7" s="624"/>
      <c r="BH7" s="624"/>
      <c r="BI7" s="624"/>
      <c r="BJ7" s="624"/>
      <c r="BK7" s="624"/>
      <c r="BL7" s="624"/>
      <c r="BM7" s="624"/>
      <c r="BN7" s="624"/>
      <c r="BO7" s="712"/>
      <c r="BP7" s="624"/>
      <c r="BQ7" s="624"/>
      <c r="BR7" s="768" t="s">
        <v>1246</v>
      </c>
      <c r="BS7" s="42"/>
      <c r="BT7" s="60"/>
      <c r="BU7" s="60"/>
      <c r="BV7" s="60"/>
      <c r="BW7" s="60"/>
      <c r="BX7" s="60"/>
      <c r="BY7" s="60"/>
      <c r="BZ7" s="60"/>
      <c r="CA7" s="60"/>
      <c r="CB7" s="60"/>
      <c r="CC7" s="60"/>
      <c r="CD7" s="768" t="s">
        <v>2075</v>
      </c>
      <c r="CE7" s="205">
        <f>$H$7</f>
        <v>2</v>
      </c>
      <c r="CF7" s="8">
        <f>$L$7</f>
        <v>3</v>
      </c>
      <c r="CG7" s="8">
        <f>$P$7</f>
        <v>3</v>
      </c>
      <c r="CH7" s="8">
        <f>$T$7</f>
        <v>2</v>
      </c>
      <c r="CI7" s="8">
        <f>$X$7</f>
        <v>2</v>
      </c>
      <c r="CJ7" s="8">
        <f>$AB$7</f>
        <v>2</v>
      </c>
      <c r="CK7" s="8" t="str">
        <f>$AF$7</f>
        <v/>
      </c>
      <c r="CL7" s="8" t="str">
        <f>$AJ$7</f>
        <v/>
      </c>
      <c r="CM7" s="8" t="str">
        <f>$AN$7</f>
        <v/>
      </c>
      <c r="CN7" s="8">
        <f>$AR$7</f>
        <v>2</v>
      </c>
      <c r="CO7" s="8">
        <f>$AV$7</f>
        <v>2</v>
      </c>
      <c r="CP7" s="218"/>
      <c r="CQ7" s="443">
        <f>'NH13-14'!$H7</f>
        <v>3</v>
      </c>
      <c r="CR7" s="444">
        <f>'NH13-14'!$J7</f>
        <v>3</v>
      </c>
      <c r="CS7" s="444">
        <f>'NH13-14'!$L7</f>
        <v>2</v>
      </c>
      <c r="CT7" s="444">
        <f>'NH13-14'!$N7</f>
        <v>2</v>
      </c>
      <c r="CU7" s="444">
        <f>'NH13-14'!$P7</f>
        <v>3</v>
      </c>
      <c r="CV7" s="444">
        <f>'NH13-14'!$R7</f>
        <v>5</v>
      </c>
      <c r="CW7" s="444">
        <f>'NH13-14'!$T7</f>
        <v>2</v>
      </c>
      <c r="CX7" s="444" t="str">
        <f>'NH13-14'!$V7</f>
        <v/>
      </c>
      <c r="CY7" s="444" t="str">
        <f>'NH13-14'!$X7</f>
        <v/>
      </c>
      <c r="CZ7" s="444">
        <f>'NH13-14'!$Z7</f>
        <v>2</v>
      </c>
      <c r="DA7" s="444">
        <f>'NH13-14'!$AB7</f>
        <v>3</v>
      </c>
      <c r="DB7" s="444">
        <f>'NH13-14'!$AD7</f>
        <v>2</v>
      </c>
      <c r="DC7" s="444">
        <f>'NH13-14'!$AF7</f>
        <v>2</v>
      </c>
      <c r="DD7" s="444">
        <f>'NH13-14'!$AH7</f>
        <v>2</v>
      </c>
      <c r="DE7" s="444">
        <f>'NH13-14'!$AJ7</f>
        <v>2</v>
      </c>
      <c r="DF7" s="444">
        <f>'NH13-14'!$AL7</f>
        <v>2</v>
      </c>
      <c r="DG7" s="444">
        <f>'NH13-14'!$AN7</f>
        <v>2</v>
      </c>
      <c r="DH7" s="445">
        <f>'NH13-14'!$AP7</f>
        <v>2</v>
      </c>
      <c r="DI7" s="445" t="str">
        <f>'NH13-14'!$AR7</f>
        <v/>
      </c>
      <c r="DJ7" s="445" t="str">
        <f>'NH13-14'!$AT7</f>
        <v/>
      </c>
      <c r="DK7" s="445" t="str">
        <f>'NH13-14'!$AV7</f>
        <v/>
      </c>
      <c r="DL7" s="445">
        <f>'NH13-14'!$AX7</f>
        <v>2</v>
      </c>
      <c r="DM7" s="445" t="str">
        <f>'NH13-14'!$AZ7</f>
        <v/>
      </c>
      <c r="DN7" s="205">
        <f>$H$7</f>
        <v>2</v>
      </c>
      <c r="DO7" s="8">
        <f>$L$7</f>
        <v>3</v>
      </c>
      <c r="DP7" s="8">
        <f>$P$7</f>
        <v>3</v>
      </c>
      <c r="DQ7" s="8">
        <f>$T$7</f>
        <v>2</v>
      </c>
      <c r="DR7" s="8">
        <f>$X$7</f>
        <v>2</v>
      </c>
      <c r="DS7" s="8">
        <f>$AB$7</f>
        <v>2</v>
      </c>
      <c r="DT7" s="8" t="str">
        <f>$AF$7</f>
        <v/>
      </c>
      <c r="DU7" s="8" t="str">
        <f>$AJ$7</f>
        <v/>
      </c>
      <c r="DV7" s="8" t="str">
        <f>$AN$7</f>
        <v/>
      </c>
      <c r="DW7" s="209">
        <f>$AR$7</f>
        <v>2</v>
      </c>
      <c r="DX7" s="209">
        <f>$AV$7</f>
        <v>2</v>
      </c>
      <c r="DY7" s="223"/>
      <c r="DZ7" s="61"/>
      <c r="EA7" s="62"/>
      <c r="EB7" s="62"/>
      <c r="EC7" s="62"/>
      <c r="ED7" s="62"/>
      <c r="EE7" s="62"/>
      <c r="EF7" s="62"/>
      <c r="EG7" s="62"/>
      <c r="EH7" s="62"/>
      <c r="EI7" s="8">
        <f>$H$7</f>
        <v>2</v>
      </c>
      <c r="EJ7" s="8">
        <f>$L$7</f>
        <v>3</v>
      </c>
      <c r="EK7" s="8">
        <f>$P$7</f>
        <v>3</v>
      </c>
      <c r="EL7" s="8">
        <f>$T$7</f>
        <v>2</v>
      </c>
      <c r="EM7" s="8">
        <f>$X$7</f>
        <v>2</v>
      </c>
      <c r="EN7" s="8">
        <f>$AB$7</f>
        <v>2</v>
      </c>
      <c r="EO7" s="8" t="str">
        <f>$AF$7</f>
        <v/>
      </c>
      <c r="EP7" s="8" t="str">
        <f>$AJ$7</f>
        <v/>
      </c>
      <c r="EQ7" s="8" t="str">
        <f>$AN$7</f>
        <v/>
      </c>
      <c r="ER7" s="8">
        <f>$AR$7</f>
        <v>2</v>
      </c>
      <c r="ES7" s="8">
        <f>$AV$7</f>
        <v>2</v>
      </c>
      <c r="ET7" s="63"/>
      <c r="EU7" s="443">
        <f>'NH13-14'!$H7</f>
        <v>3</v>
      </c>
      <c r="EV7" s="444">
        <f>'NH13-14'!$J7</f>
        <v>3</v>
      </c>
      <c r="EW7" s="444">
        <f>'NH13-14'!$L7</f>
        <v>2</v>
      </c>
      <c r="EX7" s="444">
        <f>'NH13-14'!$N7</f>
        <v>2</v>
      </c>
      <c r="EY7" s="444">
        <f>'NH13-14'!$P7</f>
        <v>3</v>
      </c>
      <c r="EZ7" s="444">
        <f>'NH13-14'!$R7</f>
        <v>5</v>
      </c>
      <c r="FA7" s="444">
        <f>'NH13-14'!$T7</f>
        <v>2</v>
      </c>
      <c r="FB7" s="444" t="str">
        <f>'NH13-14'!$V7</f>
        <v/>
      </c>
      <c r="FC7" s="444" t="str">
        <f>'NH13-14'!$X7</f>
        <v/>
      </c>
      <c r="FD7" s="444">
        <f>'NH13-14'!$Z7</f>
        <v>2</v>
      </c>
      <c r="FE7" s="444">
        <f>'NH13-14'!$AB7</f>
        <v>3</v>
      </c>
      <c r="FF7" s="444">
        <f>'NH13-14'!$AD7</f>
        <v>2</v>
      </c>
      <c r="FG7" s="444">
        <f>'NH13-14'!$AF7</f>
        <v>2</v>
      </c>
      <c r="FH7" s="444">
        <f>'NH13-14'!$AH7</f>
        <v>2</v>
      </c>
      <c r="FI7" s="444">
        <f>'NH13-14'!$AJ7</f>
        <v>2</v>
      </c>
      <c r="FJ7" s="444">
        <f>'NH13-14'!$AL7</f>
        <v>2</v>
      </c>
      <c r="FK7" s="444">
        <f>'NH13-14'!$AN7</f>
        <v>2</v>
      </c>
      <c r="FL7" s="445">
        <f>'NH13-14'!$AP7</f>
        <v>2</v>
      </c>
      <c r="FM7" s="445" t="str">
        <f>'NH13-14'!$AR7</f>
        <v/>
      </c>
      <c r="FN7" s="445" t="str">
        <f>'NH13-14'!$AT7</f>
        <v/>
      </c>
      <c r="FO7" s="445" t="str">
        <f>'NH13-14'!$AV7</f>
        <v/>
      </c>
      <c r="FP7" s="445">
        <f>'NH13-14'!$AX7</f>
        <v>2</v>
      </c>
      <c r="FQ7" s="445" t="str">
        <f>'NH13-14'!$AZ7</f>
        <v/>
      </c>
      <c r="FR7" s="205">
        <f>$H$7</f>
        <v>2</v>
      </c>
      <c r="FS7" s="8">
        <f>$L$7</f>
        <v>3</v>
      </c>
      <c r="FT7" s="8">
        <f>$P$7</f>
        <v>3</v>
      </c>
      <c r="FU7" s="8">
        <f>$T$7</f>
        <v>2</v>
      </c>
      <c r="FV7" s="8">
        <f>$X$7</f>
        <v>2</v>
      </c>
      <c r="FW7" s="8">
        <f>$AB$7</f>
        <v>2</v>
      </c>
      <c r="FX7" s="8" t="str">
        <f>$AF$7</f>
        <v/>
      </c>
      <c r="FY7" s="8" t="str">
        <f>$AJ$7</f>
        <v/>
      </c>
      <c r="FZ7" s="8" t="str">
        <f>$AN$7</f>
        <v/>
      </c>
      <c r="GA7" s="8">
        <f>$AR$7</f>
        <v>2</v>
      </c>
      <c r="GB7" s="209">
        <f>$AV$7</f>
        <v>2</v>
      </c>
      <c r="GC7" s="224"/>
      <c r="GM7" s="3"/>
      <c r="GN7" s="3"/>
      <c r="GO7" s="3"/>
      <c r="GP7" s="3"/>
      <c r="GQ7" s="3"/>
      <c r="GR7" s="3"/>
      <c r="GS7" s="3"/>
      <c r="GT7" s="3"/>
    </row>
    <row r="8" spans="1:202" ht="69.75" customHeight="1" thickBot="1">
      <c r="A8" s="748"/>
      <c r="B8" s="759" t="s">
        <v>1425</v>
      </c>
      <c r="C8" s="717" t="s">
        <v>1426</v>
      </c>
      <c r="D8" s="718"/>
      <c r="E8" s="763" t="s">
        <v>1490</v>
      </c>
      <c r="F8" s="761" t="s">
        <v>1491</v>
      </c>
      <c r="G8" s="762"/>
      <c r="H8" s="724" t="s">
        <v>1418</v>
      </c>
      <c r="I8" s="726" t="s">
        <v>1423</v>
      </c>
      <c r="J8" s="726" t="s">
        <v>1420</v>
      </c>
      <c r="K8" s="722" t="s">
        <v>1422</v>
      </c>
      <c r="L8" s="724" t="s">
        <v>1418</v>
      </c>
      <c r="M8" s="726" t="s">
        <v>1423</v>
      </c>
      <c r="N8" s="726" t="s">
        <v>1420</v>
      </c>
      <c r="O8" s="722" t="s">
        <v>1422</v>
      </c>
      <c r="P8" s="724" t="s">
        <v>1418</v>
      </c>
      <c r="Q8" s="726" t="s">
        <v>1423</v>
      </c>
      <c r="R8" s="726" t="s">
        <v>1420</v>
      </c>
      <c r="S8" s="722" t="s">
        <v>1422</v>
      </c>
      <c r="T8" s="724" t="s">
        <v>1418</v>
      </c>
      <c r="U8" s="726" t="s">
        <v>1423</v>
      </c>
      <c r="V8" s="726" t="s">
        <v>1420</v>
      </c>
      <c r="W8" s="722" t="s">
        <v>1422</v>
      </c>
      <c r="X8" s="724" t="s">
        <v>1418</v>
      </c>
      <c r="Y8" s="726" t="s">
        <v>1423</v>
      </c>
      <c r="Z8" s="726" t="s">
        <v>1420</v>
      </c>
      <c r="AA8" s="722" t="s">
        <v>1422</v>
      </c>
      <c r="AB8" s="724" t="s">
        <v>1418</v>
      </c>
      <c r="AC8" s="726" t="s">
        <v>1423</v>
      </c>
      <c r="AD8" s="726" t="s">
        <v>1420</v>
      </c>
      <c r="AE8" s="722" t="s">
        <v>1422</v>
      </c>
      <c r="AF8" s="724" t="s">
        <v>1418</v>
      </c>
      <c r="AG8" s="726" t="s">
        <v>1423</v>
      </c>
      <c r="AH8" s="726" t="s">
        <v>1420</v>
      </c>
      <c r="AI8" s="722" t="s">
        <v>1422</v>
      </c>
      <c r="AJ8" s="724" t="s">
        <v>1418</v>
      </c>
      <c r="AK8" s="726" t="s">
        <v>1423</v>
      </c>
      <c r="AL8" s="726" t="s">
        <v>1420</v>
      </c>
      <c r="AM8" s="722" t="s">
        <v>1422</v>
      </c>
      <c r="AN8" s="724" t="s">
        <v>1418</v>
      </c>
      <c r="AO8" s="726" t="s">
        <v>1423</v>
      </c>
      <c r="AP8" s="726" t="s">
        <v>1420</v>
      </c>
      <c r="AQ8" s="722" t="s">
        <v>1422</v>
      </c>
      <c r="AR8" s="724" t="s">
        <v>1418</v>
      </c>
      <c r="AS8" s="726" t="s">
        <v>1423</v>
      </c>
      <c r="AT8" s="726" t="s">
        <v>1420</v>
      </c>
      <c r="AU8" s="722" t="s">
        <v>1422</v>
      </c>
      <c r="AV8" s="724" t="s">
        <v>1418</v>
      </c>
      <c r="AW8" s="726" t="s">
        <v>1423</v>
      </c>
      <c r="AX8" s="726" t="s">
        <v>1420</v>
      </c>
      <c r="AY8" s="722" t="s">
        <v>1422</v>
      </c>
      <c r="AZ8" s="751" t="s">
        <v>1419</v>
      </c>
      <c r="BA8" s="751" t="s">
        <v>1421</v>
      </c>
      <c r="BB8" s="715"/>
      <c r="BC8" s="729" t="s">
        <v>1419</v>
      </c>
      <c r="BD8" s="729" t="s">
        <v>1421</v>
      </c>
      <c r="BE8" s="712"/>
      <c r="BF8" s="624"/>
      <c r="BG8" s="624"/>
      <c r="BH8" s="624"/>
      <c r="BI8" s="624"/>
      <c r="BJ8" s="624"/>
      <c r="BK8" s="624"/>
      <c r="BL8" s="624"/>
      <c r="BM8" s="624"/>
      <c r="BN8" s="624"/>
      <c r="BO8" s="712"/>
      <c r="BP8" s="624"/>
      <c r="BQ8" s="624"/>
      <c r="BR8" s="769"/>
      <c r="BS8" s="703" t="s">
        <v>450</v>
      </c>
      <c r="BT8" s="704"/>
      <c r="BU8" s="704"/>
      <c r="BV8" s="704"/>
      <c r="BW8" s="704"/>
      <c r="BX8" s="704"/>
      <c r="BY8" s="704"/>
      <c r="BZ8" s="704"/>
      <c r="CA8" s="704"/>
      <c r="CB8" s="704"/>
      <c r="CC8" s="705"/>
      <c r="CD8" s="769"/>
      <c r="CE8" s="706" t="s">
        <v>451</v>
      </c>
      <c r="CF8" s="707"/>
      <c r="CG8" s="707"/>
      <c r="CH8" s="707"/>
      <c r="CI8" s="707"/>
      <c r="CJ8" s="707"/>
      <c r="CK8" s="707"/>
      <c r="CL8" s="707"/>
      <c r="CM8" s="707"/>
      <c r="CN8" s="707"/>
      <c r="CO8" s="707"/>
      <c r="CP8" s="219"/>
      <c r="DN8" s="765" t="s">
        <v>738</v>
      </c>
      <c r="DO8" s="766"/>
      <c r="DP8" s="766"/>
      <c r="DQ8" s="766"/>
      <c r="DR8" s="766"/>
      <c r="DS8" s="766"/>
      <c r="DT8" s="766"/>
      <c r="DU8" s="766"/>
      <c r="DV8" s="766"/>
      <c r="DW8" s="766"/>
      <c r="DX8" s="767"/>
      <c r="DY8" s="220"/>
      <c r="DZ8" s="771" t="s">
        <v>452</v>
      </c>
      <c r="EA8" s="772"/>
      <c r="EB8" s="772"/>
      <c r="EC8" s="772"/>
      <c r="ED8" s="772"/>
      <c r="EE8" s="772"/>
      <c r="EF8" s="772"/>
      <c r="EG8" s="772"/>
      <c r="EH8" s="773"/>
      <c r="EI8" s="706" t="s">
        <v>453</v>
      </c>
      <c r="EJ8" s="707"/>
      <c r="EK8" s="707"/>
      <c r="EL8" s="707"/>
      <c r="EM8" s="707"/>
      <c r="EN8" s="707"/>
      <c r="EO8" s="707"/>
      <c r="EP8" s="707"/>
      <c r="EQ8" s="707"/>
      <c r="ER8" s="707"/>
      <c r="ES8" s="707"/>
      <c r="ET8" s="63"/>
      <c r="FR8" s="765" t="s">
        <v>739</v>
      </c>
      <c r="FS8" s="766"/>
      <c r="FT8" s="766"/>
      <c r="FU8" s="766"/>
      <c r="FV8" s="766"/>
      <c r="FW8" s="766"/>
      <c r="FX8" s="766"/>
      <c r="FY8" s="766"/>
      <c r="FZ8" s="766"/>
      <c r="GA8" s="766"/>
      <c r="GB8" s="767"/>
      <c r="GC8" s="207"/>
      <c r="GM8" s="3"/>
      <c r="GN8" s="3"/>
      <c r="GO8" s="3"/>
      <c r="GP8" s="3"/>
      <c r="GQ8" s="3"/>
      <c r="GR8" s="3"/>
      <c r="GS8" s="3"/>
      <c r="GT8" s="3"/>
    </row>
    <row r="9" spans="1:202" ht="14.25" customHeight="1" thickBot="1">
      <c r="A9" s="749"/>
      <c r="B9" s="760"/>
      <c r="C9" s="719"/>
      <c r="D9" s="720"/>
      <c r="E9" s="764"/>
      <c r="F9" s="158" t="s">
        <v>1492</v>
      </c>
      <c r="G9" s="159" t="s">
        <v>1493</v>
      </c>
      <c r="H9" s="725"/>
      <c r="I9" s="727"/>
      <c r="J9" s="727"/>
      <c r="K9" s="723"/>
      <c r="L9" s="725"/>
      <c r="M9" s="727"/>
      <c r="N9" s="727"/>
      <c r="O9" s="723"/>
      <c r="P9" s="725"/>
      <c r="Q9" s="727"/>
      <c r="R9" s="727"/>
      <c r="S9" s="723"/>
      <c r="T9" s="725"/>
      <c r="U9" s="727"/>
      <c r="V9" s="727"/>
      <c r="W9" s="723"/>
      <c r="X9" s="725"/>
      <c r="Y9" s="727"/>
      <c r="Z9" s="727"/>
      <c r="AA9" s="723"/>
      <c r="AB9" s="725"/>
      <c r="AC9" s="727"/>
      <c r="AD9" s="727"/>
      <c r="AE9" s="723"/>
      <c r="AF9" s="725"/>
      <c r="AG9" s="727"/>
      <c r="AH9" s="727"/>
      <c r="AI9" s="723"/>
      <c r="AJ9" s="725"/>
      <c r="AK9" s="727"/>
      <c r="AL9" s="727"/>
      <c r="AM9" s="723"/>
      <c r="AN9" s="725"/>
      <c r="AO9" s="727"/>
      <c r="AP9" s="727"/>
      <c r="AQ9" s="723"/>
      <c r="AR9" s="725"/>
      <c r="AS9" s="727"/>
      <c r="AT9" s="727"/>
      <c r="AU9" s="723"/>
      <c r="AV9" s="725"/>
      <c r="AW9" s="727"/>
      <c r="AX9" s="727"/>
      <c r="AY9" s="723"/>
      <c r="AZ9" s="752"/>
      <c r="BA9" s="752"/>
      <c r="BB9" s="716"/>
      <c r="BC9" s="730"/>
      <c r="BD9" s="730"/>
      <c r="BE9" s="713"/>
      <c r="BF9" s="721"/>
      <c r="BG9" s="721"/>
      <c r="BH9" s="721"/>
      <c r="BI9" s="721"/>
      <c r="BJ9" s="721"/>
      <c r="BK9" s="721"/>
      <c r="BL9" s="721"/>
      <c r="BM9" s="721"/>
      <c r="BN9" s="721"/>
      <c r="BO9" s="713"/>
      <c r="BP9" s="721"/>
      <c r="BQ9" s="721"/>
      <c r="BR9" s="770"/>
      <c r="BS9" s="43"/>
      <c r="BT9" s="69"/>
      <c r="BU9" s="69"/>
      <c r="BV9" s="69"/>
      <c r="BW9" s="69"/>
      <c r="BX9" s="69"/>
      <c r="BY9" s="69"/>
      <c r="BZ9" s="69"/>
      <c r="CA9" s="69"/>
      <c r="CB9" s="69"/>
      <c r="CC9" s="69"/>
      <c r="CD9" s="770"/>
      <c r="CE9" s="206"/>
      <c r="CF9" s="69"/>
      <c r="CG9" s="69"/>
      <c r="CH9" s="69"/>
      <c r="CI9" s="69"/>
      <c r="CJ9" s="69"/>
      <c r="CK9" s="69"/>
      <c r="CL9" s="69"/>
      <c r="CM9" s="69"/>
      <c r="CN9" s="69"/>
      <c r="CO9" s="69"/>
      <c r="CP9" s="217"/>
      <c r="DN9" s="66"/>
      <c r="DO9" s="67"/>
      <c r="DP9" s="67"/>
      <c r="DQ9" s="67"/>
      <c r="DR9" s="67"/>
      <c r="DS9" s="67"/>
      <c r="DT9" s="67"/>
      <c r="DU9" s="67"/>
      <c r="DV9" s="67"/>
      <c r="DW9" s="67"/>
      <c r="DX9" s="67"/>
      <c r="DY9" s="65"/>
      <c r="DZ9" s="66"/>
      <c r="EA9" s="67"/>
      <c r="EB9" s="67"/>
      <c r="EC9" s="67"/>
      <c r="ED9" s="67"/>
      <c r="EE9" s="67"/>
      <c r="EF9" s="67"/>
      <c r="EG9" s="67"/>
      <c r="EH9" s="67"/>
      <c r="EI9" s="68"/>
      <c r="EJ9" s="64"/>
      <c r="EK9" s="64"/>
      <c r="EL9" s="64"/>
      <c r="EM9" s="64"/>
      <c r="EN9" s="64"/>
      <c r="EO9" s="64"/>
      <c r="EP9" s="64"/>
      <c r="EQ9" s="64"/>
      <c r="ER9" s="64"/>
      <c r="ES9" s="64"/>
      <c r="ET9" s="63"/>
      <c r="FR9" s="66"/>
      <c r="FS9" s="67"/>
      <c r="FT9" s="67"/>
      <c r="FU9" s="67"/>
      <c r="FV9" s="67"/>
      <c r="FW9" s="67"/>
      <c r="FX9" s="67"/>
      <c r="FY9" s="67"/>
      <c r="FZ9" s="67"/>
      <c r="GB9" s="210"/>
      <c r="GC9" s="208"/>
      <c r="GM9" s="3"/>
      <c r="GN9" s="3"/>
      <c r="GO9" s="3"/>
      <c r="GP9" s="3"/>
      <c r="GQ9" s="3"/>
      <c r="GR9" s="3"/>
      <c r="GS9" s="3"/>
      <c r="GT9" s="3"/>
    </row>
    <row r="10" spans="1:202" s="179" customFormat="1" ht="15.75">
      <c r="A10" s="173" t="s">
        <v>1594</v>
      </c>
      <c r="B10" s="173" t="s">
        <v>1595</v>
      </c>
      <c r="C10" s="734" t="s">
        <v>1596</v>
      </c>
      <c r="D10" s="736"/>
      <c r="E10" s="174" t="s">
        <v>1597</v>
      </c>
      <c r="F10" s="175" t="s">
        <v>1598</v>
      </c>
      <c r="G10" s="176" t="s">
        <v>1599</v>
      </c>
      <c r="H10" s="734" t="s">
        <v>1600</v>
      </c>
      <c r="I10" s="735"/>
      <c r="J10" s="735"/>
      <c r="K10" s="736"/>
      <c r="L10" s="734" t="s">
        <v>1601</v>
      </c>
      <c r="M10" s="735"/>
      <c r="N10" s="735"/>
      <c r="O10" s="736"/>
      <c r="P10" s="734" t="s">
        <v>1602</v>
      </c>
      <c r="Q10" s="735"/>
      <c r="R10" s="735"/>
      <c r="S10" s="736"/>
      <c r="T10" s="734" t="s">
        <v>1603</v>
      </c>
      <c r="U10" s="735"/>
      <c r="V10" s="735"/>
      <c r="W10" s="736"/>
      <c r="X10" s="734" t="s">
        <v>1604</v>
      </c>
      <c r="Y10" s="735"/>
      <c r="Z10" s="735"/>
      <c r="AA10" s="736"/>
      <c r="AB10" s="734" t="s">
        <v>1605</v>
      </c>
      <c r="AC10" s="735"/>
      <c r="AD10" s="735"/>
      <c r="AE10" s="736"/>
      <c r="AF10" s="734" t="s">
        <v>1606</v>
      </c>
      <c r="AG10" s="735"/>
      <c r="AH10" s="735"/>
      <c r="AI10" s="736"/>
      <c r="AJ10" s="734" t="s">
        <v>1607</v>
      </c>
      <c r="AK10" s="735"/>
      <c r="AL10" s="735"/>
      <c r="AM10" s="736"/>
      <c r="AN10" s="734" t="s">
        <v>1608</v>
      </c>
      <c r="AO10" s="735"/>
      <c r="AP10" s="735"/>
      <c r="AQ10" s="736"/>
      <c r="AR10" s="734" t="s">
        <v>1609</v>
      </c>
      <c r="AS10" s="735"/>
      <c r="AT10" s="735"/>
      <c r="AU10" s="736"/>
      <c r="AV10" s="734" t="s">
        <v>1610</v>
      </c>
      <c r="AW10" s="735"/>
      <c r="AX10" s="735"/>
      <c r="AY10" s="736"/>
      <c r="AZ10" s="177" t="s">
        <v>1611</v>
      </c>
      <c r="BA10" s="177" t="s">
        <v>1612</v>
      </c>
      <c r="BB10" s="178" t="s">
        <v>1613</v>
      </c>
      <c r="BC10" s="178" t="s">
        <v>1614</v>
      </c>
      <c r="BD10" s="178" t="s">
        <v>1615</v>
      </c>
      <c r="BE10" s="178" t="s">
        <v>1312</v>
      </c>
      <c r="BF10" s="177" t="s">
        <v>404</v>
      </c>
      <c r="BG10" s="178" t="s">
        <v>405</v>
      </c>
      <c r="BH10" s="178" t="s">
        <v>734</v>
      </c>
      <c r="BI10" s="178" t="s">
        <v>735</v>
      </c>
      <c r="BJ10" s="178" t="s">
        <v>736</v>
      </c>
      <c r="BK10" s="178" t="s">
        <v>737</v>
      </c>
      <c r="BL10" s="178" t="s">
        <v>740</v>
      </c>
      <c r="BM10" s="178" t="s">
        <v>741</v>
      </c>
      <c r="BN10" s="178" t="s">
        <v>92</v>
      </c>
      <c r="BO10" s="178" t="s">
        <v>93</v>
      </c>
      <c r="BP10" s="178" t="s">
        <v>94</v>
      </c>
      <c r="BQ10" s="178" t="s">
        <v>95</v>
      </c>
      <c r="BR10" s="195"/>
      <c r="BS10" s="196"/>
      <c r="BT10" s="197"/>
      <c r="BU10" s="197"/>
      <c r="BV10" s="197"/>
      <c r="BW10" s="197"/>
      <c r="BX10" s="197"/>
      <c r="BY10" s="197"/>
      <c r="BZ10" s="197"/>
      <c r="CA10" s="197"/>
      <c r="CB10" s="197"/>
      <c r="CC10" s="197"/>
      <c r="CD10" s="214"/>
      <c r="CE10" s="211"/>
      <c r="CF10" s="212"/>
      <c r="CG10" s="212"/>
      <c r="CH10" s="212"/>
      <c r="CI10" s="212"/>
      <c r="CJ10" s="212"/>
      <c r="CK10" s="212"/>
      <c r="CL10" s="212"/>
      <c r="CM10" s="212"/>
      <c r="CN10" s="212"/>
      <c r="CO10" s="212"/>
      <c r="CP10" s="211"/>
      <c r="CQ10" s="530"/>
      <c r="CR10" s="531"/>
      <c r="CS10" s="531"/>
      <c r="CT10" s="531"/>
      <c r="CU10" s="531"/>
      <c r="CV10" s="531"/>
      <c r="CW10" s="531"/>
      <c r="CX10" s="531"/>
      <c r="CY10" s="531"/>
      <c r="CZ10" s="531"/>
      <c r="DA10" s="531"/>
      <c r="DB10" s="531"/>
      <c r="DC10" s="531"/>
      <c r="DD10" s="531"/>
      <c r="DE10" s="531"/>
      <c r="DF10" s="531"/>
      <c r="DG10" s="531"/>
      <c r="DH10" s="531"/>
      <c r="DI10" s="531"/>
      <c r="DJ10" s="531"/>
      <c r="DK10" s="531"/>
      <c r="DL10" s="531"/>
      <c r="DM10" s="531"/>
      <c r="DN10" s="211"/>
      <c r="DO10" s="212"/>
      <c r="DP10" s="212"/>
      <c r="DQ10" s="212"/>
      <c r="DR10" s="212"/>
      <c r="DS10" s="212"/>
      <c r="DT10" s="212"/>
      <c r="DU10" s="212"/>
      <c r="DV10" s="212"/>
      <c r="DW10" s="212"/>
      <c r="DX10" s="212"/>
      <c r="DY10" s="213"/>
      <c r="DZ10" s="211"/>
      <c r="EA10" s="212"/>
      <c r="EB10" s="212"/>
      <c r="EC10" s="212"/>
      <c r="ED10" s="212"/>
      <c r="EE10" s="212"/>
      <c r="EF10" s="212"/>
      <c r="EG10" s="212"/>
      <c r="EH10" s="212"/>
      <c r="EI10" s="211"/>
      <c r="EJ10" s="212"/>
      <c r="EK10" s="212"/>
      <c r="EL10" s="212"/>
      <c r="EM10" s="212"/>
      <c r="EN10" s="212"/>
      <c r="EO10" s="212"/>
      <c r="EP10" s="212"/>
      <c r="EQ10" s="212"/>
      <c r="ER10" s="212"/>
      <c r="ES10" s="212"/>
      <c r="ET10" s="216"/>
      <c r="EU10" s="530"/>
      <c r="EV10" s="531"/>
      <c r="EW10" s="531"/>
      <c r="EX10" s="531"/>
      <c r="EY10" s="531"/>
      <c r="EZ10" s="531"/>
      <c r="FA10" s="531"/>
      <c r="FB10" s="531"/>
      <c r="FC10" s="531"/>
      <c r="FD10" s="531"/>
      <c r="FE10" s="531"/>
      <c r="FF10" s="531"/>
      <c r="FG10" s="531"/>
      <c r="FH10" s="531"/>
      <c r="FI10" s="531"/>
      <c r="FJ10" s="531"/>
      <c r="FK10" s="531"/>
      <c r="FL10" s="531"/>
      <c r="FM10" s="531"/>
      <c r="FN10" s="531"/>
      <c r="FO10" s="531"/>
      <c r="FP10" s="531"/>
      <c r="FQ10" s="531"/>
      <c r="FR10" s="211"/>
      <c r="FS10" s="212"/>
      <c r="FT10" s="212"/>
      <c r="FU10" s="212"/>
      <c r="FV10" s="212"/>
      <c r="FW10" s="212"/>
      <c r="FX10" s="212"/>
      <c r="FY10" s="212"/>
      <c r="FZ10" s="212"/>
      <c r="GA10" s="212"/>
      <c r="GB10" s="213"/>
      <c r="GC10" s="215"/>
    </row>
    <row r="11" spans="1:202" s="221" customFormat="1" ht="15.75">
      <c r="A11" s="449">
        <f>IF(B11="","",SUBTOTAL(3,$B$11:B11))</f>
        <v>1</v>
      </c>
      <c r="B11" s="198" t="s">
        <v>2013</v>
      </c>
      <c r="C11" s="450" t="str">
        <f>IF($B11="","",VLOOKUP($B11,'DS LOP HKI'!$B$2:$F$2642,2,0))</f>
        <v>Lương Hoàng Thuận</v>
      </c>
      <c r="D11" s="451" t="str">
        <f>IF($B11="","",VLOOKUP($B11,'DS LOP HKI'!$B$2:$F$2642,3,0))</f>
        <v>An</v>
      </c>
      <c r="E11" s="154"/>
      <c r="F11" s="152"/>
      <c r="G11" s="156">
        <v>2</v>
      </c>
      <c r="H11" s="181">
        <f>IF(OR($H$6="",$H$7=""),"",IF($B11="","",IF(ISNA(VLOOKUP($B11,'LT01'!$B$11:$R$75,13,FALSE)),"",IF(VLOOKUP($B11,'LT01'!$B$11:$R$75,13,FALSE)="","",VLOOKUP($B11,'LT01'!$B$11:$R$75,13,FALSE)))))</f>
        <v>3.4</v>
      </c>
      <c r="I11" s="182">
        <f>IF(OR($H$6="",$H$7=""),"",IF($B11="","",IF(ISNA(VLOOKUP($B11,'LT01'!$B$11:$R$75,14,FALSE)),"",VLOOKUP($B11,'LT01'!$B$11:$R$75,14,FALSE))))</f>
        <v>4.5999999999999996</v>
      </c>
      <c r="J11" s="183"/>
      <c r="K11" s="182" t="str">
        <f>IF(OR($H$6="",$H$7=""),"",IF($B11="","",IF(ISNA(VLOOKUP($B11,'LT01'!$B$11:$R$75,17,FALSE)),"",VLOOKUP($B11,'LT01'!$B$11:$R$75,17,FALSE))))</f>
        <v/>
      </c>
      <c r="L11" s="185">
        <f>IF(OR($H$6="",$H$7=""),"",IF($B11="","",IF(ISNA(VLOOKUP($B11,'LT02'!$B$11:$R$75,13,FALSE)),"",IF(VLOOKUP($B11,'LT02'!$B$11:$R$75,13,FALSE)="","",VLOOKUP($B11,'LT02'!$B$11:$R$75,13,FALSE)))))</f>
        <v>7</v>
      </c>
      <c r="M11" s="182">
        <f>IF(OR($H$6="",$H$7=""),"",IF($B11="","",IF(ISNA(VLOOKUP($B11,'LT02'!$B$11:$R$75,14,FALSE)),"",VLOOKUP($B11,'LT02'!$B$11:$R$75,14,FALSE))))</f>
        <v>7.3</v>
      </c>
      <c r="N11" s="183"/>
      <c r="O11" s="182" t="str">
        <f>IF(OR($H$6="",$H$7=""),"",IF($B11="","",IF(ISNA(VLOOKUP($B11,'LT02'!$B$11:$R$75,17,FALSE)),"",VLOOKUP($B11,'LT02'!$B$11:$R$75,17,FALSE))))</f>
        <v/>
      </c>
      <c r="P11" s="185">
        <f>IF(OR($H$6="",$H$7=""),"",IF($B11="","",IF(ISNA(VLOOKUP($B11,'LT03'!$B$11:$R$75,13,FALSE)),"",IF(VLOOKUP($B11,'LT03'!$B$11:$R$75,13,FALSE)="","",VLOOKUP($B11,'LT03'!$B$11:$R$75,13,FALSE)))))</f>
        <v>6</v>
      </c>
      <c r="Q11" s="182">
        <f>IF(OR($H$6="",$H$7=""),"",IF($B11="","",IF(ISNA(VLOOKUP($B11,'LT03'!$B$11:$R$75,14,FALSE)),"",VLOOKUP($B11,'LT03'!$B$11:$R$75,14,FALSE))))</f>
        <v>6.9</v>
      </c>
      <c r="R11" s="183"/>
      <c r="S11" s="182" t="str">
        <f>IF(OR($H$6="",$H$7=""),"",IF($B11="","",IF(ISNA(VLOOKUP($B11,'LT03'!$B$11:$R$75,17,FALSE)),"",VLOOKUP($B11,'LT03'!$B$11:$R$75,17,FALSE))))</f>
        <v/>
      </c>
      <c r="T11" s="185">
        <f>IF(OR($H$6="",$H$7=""),"",IF($B11="","",IF(ISNA(VLOOKUP($B11,'LT04'!$B$11:$R$75,13,FALSE)),"",IF(VLOOKUP($B11,'LT04'!$B$11:$R$75,13,FALSE)="","",VLOOKUP($B11,'LT04'!$B$11:$R$75,13,FALSE)))))</f>
        <v>7</v>
      </c>
      <c r="U11" s="182">
        <f>IF(OR($H$6="",$H$7=""),"",IF($B11="","",IF(ISNA(VLOOKUP($B11,'LT04'!$B$11:$R$75,14,FALSE)),"",VLOOKUP($B11,'LT04'!$B$11:$R$75,14,FALSE))))</f>
        <v>7.3</v>
      </c>
      <c r="V11" s="183"/>
      <c r="W11" s="184" t="str">
        <f>IF(OR($H$6="",$H$7=""),"",IF($B11="","",IF(ISNA(VLOOKUP($B11,'LT04'!$B$11:$R$75,17,FALSE)),"",VLOOKUP($B11,'LT04'!$B$11:$R$75,17,FALSE))))</f>
        <v/>
      </c>
      <c r="X11" s="185">
        <f>IF(OR($H$6="",$H$7=""),"",IF($B11="","",IF(ISNA(VLOOKUP($B11,'LT05'!$B$11:$R$75,13,FALSE)),"",IF(VLOOKUP($B11,'LT05'!$B$11:$R$75,13,FALSE)="","",VLOOKUP($B11,'LT05'!$B$11:$R$75,13,FALSE)))))</f>
        <v>7</v>
      </c>
      <c r="Y11" s="182">
        <f>IF(OR($H$6="",$H$7=""),"",IF($B11="","",IF(ISNA(VLOOKUP($B11,'LT05'!$B$11:$R$75,14,FALSE)),"",VLOOKUP($B11,'LT05'!$B$11:$R$75,14,FALSE))))</f>
        <v>6.8</v>
      </c>
      <c r="Z11" s="183"/>
      <c r="AA11" s="182" t="str">
        <f>IF(OR($H$6="",$H$7=""),"",IF($B11="","",IF(ISNA(VLOOKUP($B11,'LT05'!$B$11:$R$75,17,FALSE)),"",VLOOKUP($B11,'LT05'!$B$11:$R$75,17,FALSE))))</f>
        <v/>
      </c>
      <c r="AB11" s="185">
        <f>IF(OR($H$6="",$H$7=""),"",IF($B11="","",IF(ISNA(VLOOKUP($B11,'LT06'!$B$11:$R$75,13,FALSE)),"",IF(VLOOKUP($B11,'LT06'!$B$11:$R$75,13,FALSE)="","",VLOOKUP($B11,'LT06'!$B$11:$R$75,13,FALSE)))))</f>
        <v>7.8</v>
      </c>
      <c r="AC11" s="182">
        <f>IF(OR($H$6="",$H$7=""),"",IF($B11="","",IF(ISNA(VLOOKUP($B11,'LT06'!$B$11:$R$75,14,FALSE)),"",VLOOKUP($B11,'LT06'!$B$11:$R$75,14,FALSE))))</f>
        <v>6.8</v>
      </c>
      <c r="AD11" s="183"/>
      <c r="AE11" s="182" t="str">
        <f>IF(OR($H$6="",$H$7=""),"",IF($B11="","",IF(ISNA(VLOOKUP($B11,'LT06'!$B$11:$R$75,17,FALSE)),"",VLOOKUP($B11,'LT06'!$B$11:$R$75,17,FALSE))))</f>
        <v/>
      </c>
      <c r="AF11" s="185" t="str">
        <f>IF(OR($H$6="",$H$7=""),"",IF($B11="","",IF(ISNA(VLOOKUP($B11,'LT07'!$B$11:$R$75,13,FALSE)),"",IF(VLOOKUP($B11,'LT07'!$B$11:$R$75,13,FALSE)="","",VLOOKUP($B11,'LT07'!$B$11:$R$75,13,FALSE)))))</f>
        <v/>
      </c>
      <c r="AG11" s="182" t="str">
        <f>IF(OR($H$6="",$H$7=""),"",IF($B11="","",IF(ISNA(VLOOKUP($B11,'LT07'!$B$11:$R$75,14,FALSE)),"",VLOOKUP($B11,'LT07'!$B$11:$R$75,14,FALSE))))</f>
        <v/>
      </c>
      <c r="AH11" s="183"/>
      <c r="AI11" s="182" t="str">
        <f>IF(OR($H$6="",$H$7=""),"",IF($B11="","",IF(ISNA(VLOOKUP($B11,'LT07'!$B$11:$R$75,17,FALSE)),"",VLOOKUP($B11,'LT07'!$B$11:$R$75,17,FALSE))))</f>
        <v/>
      </c>
      <c r="AJ11" s="185" t="str">
        <f>IF(OR($H$6="",$H$7=""),"",IF($B11="","",IF(ISNA(VLOOKUP($B11,'LT08'!$B$11:$R$75,13,FALSE)),"",IF(VLOOKUP($B11,'LT08'!$B$11:$R$75,13,FALSE)="","",VLOOKUP($B11,'LT08'!$B$11:$R$75,13,FALSE)))))</f>
        <v/>
      </c>
      <c r="AK11" s="182" t="str">
        <f>IF(OR($H$6="",$H$7=""),"",IF($B11="","",IF(ISNA(VLOOKUP($B11,'LT08'!$B$11:$R$75,14,FALSE)),"",VLOOKUP($B11,'LT08'!$B$11:$R$75,14,FALSE))))</f>
        <v/>
      </c>
      <c r="AL11" s="183"/>
      <c r="AM11" s="182" t="str">
        <f>IF(OR($H$6="",$H$7=""),"",IF($B11="","",IF(ISNA(VLOOKUP($B11,'LT08'!$B$11:$R$75,17,FALSE)),"",VLOOKUP($B11,'LT08'!$B$11:$R$75,17,FALSE))))</f>
        <v/>
      </c>
      <c r="AN11" s="185" t="str">
        <f>IF(OR($H$6="",$H$7=""),"",IF($B11="","",IF(ISNA(VLOOKUP($B11,'LT09'!$B$11:$R$75,13,FALSE)),"",IF(VLOOKUP($B11,'LT09'!$B$11:$R$75,13,FALSE)="","",VLOOKUP($B11,'LT09'!$B$11:$R$75,13,FALSE)))))</f>
        <v/>
      </c>
      <c r="AO11" s="182" t="str">
        <f>IF(OR($H$6="",$H$7=""),"",IF($B11="","",IF(ISNA(VLOOKUP($B11,'LT09'!$B$11:$R$75,14,FALSE)),"",VLOOKUP($B11,'LT09'!$B$11:$R$75,14,FALSE))))</f>
        <v/>
      </c>
      <c r="AP11" s="183"/>
      <c r="AQ11" s="182" t="str">
        <f>IF(OR($H$6="",$H$7=""),"",IF($B11="","",IF(ISNA(VLOOKUP($B11,'LT09'!$B$11:$R$75,17,FALSE)),"",VLOOKUP($B11,'LT09'!$B$11:$R$75,17,FALSE))))</f>
        <v/>
      </c>
      <c r="AR11" s="186"/>
      <c r="AS11" s="182">
        <f>IF(OR($H$6="",$H$7=""),"",IF($B11="","",IF(ISNA(VLOOKUP($B11,'TH01'!$B$11:$R$75,14,FALSE)),"",VLOOKUP($B11,'TH01'!$B$11:$R$75,14,FALSE))))</f>
        <v>6.3</v>
      </c>
      <c r="AT11" s="183"/>
      <c r="AU11" s="187"/>
      <c r="AV11" s="186"/>
      <c r="AW11" s="182">
        <f>IF(OR($H$6="",$H$7=""),"",IF($B11="","",IF(ISNA(VLOOKUP($B11,'TH02'!$B$11:$R$75,14,FALSE)),"",VLOOKUP($B11,'TH02'!$B$11:$R$75,14,FALSE))))</f>
        <v>9</v>
      </c>
      <c r="AX11" s="183"/>
      <c r="AY11" s="187"/>
      <c r="AZ11" s="54">
        <f>CP11</f>
        <v>6.9</v>
      </c>
      <c r="BA11" s="54" t="str">
        <f t="shared" ref="BA11:BA74" si="0">ET11</f>
        <v/>
      </c>
      <c r="BB11" s="70">
        <v>89</v>
      </c>
      <c r="BC11" s="52" t="str">
        <f>IF(AZ11="","",IF(B11="","",IF(AZ11&lt;4,"Kém",IF(AZ11&lt;5.5,"TBY",IF(AZ11&lt;7,"TB",IF(AZ11&lt;8,"Khá",IF(AZ11&lt;9,"Giỏi","XS")))))))</f>
        <v>TB</v>
      </c>
      <c r="BD11" s="52" t="str">
        <f>IF(BA11="","",IF(B11="","",IF(BA11&lt;4,"Kém",IF(BA11&lt;5.5,"TBY",IF(BA11&lt;7,"TB",IF(BA11&lt;8,"Khá",IF(BA11&lt;9,"Giỏi","XS")))))))</f>
        <v/>
      </c>
      <c r="BE11" s="52" t="str">
        <f t="shared" ref="BE11:BE42" si="1">IF(AND(BI11&gt;15,AZ11&gt;=7,BB11&gt;=70,ISBLANK(BO11)=TRUE,BR11=0,CD11=0,COUNT(BS11:CC11)&gt;0,COUNT(CE11:CO11)&gt;0),"Xét KT&amp;HB","")</f>
        <v/>
      </c>
      <c r="BF11" s="149" t="str">
        <f t="shared" ref="BF11:BF42" si="2">IF(AZ11&gt;=4,"",IF(OR(BA11&lt;4,AND(AZ11&lt;4,BA11="",COUNT(DZ11:EH11)=0),BQ11&gt;24),"Cảnh Báo",""))</f>
        <v/>
      </c>
      <c r="BG11" s="52">
        <f t="shared" ref="BG11:BG42" si="3">IF(B11="","",SUMIF($CE11:$CO11,"&gt;=4",$CE$7:$CO$7))</f>
        <v>18</v>
      </c>
      <c r="BH11" s="52">
        <f>IF(B11="","",SUMIF($CE11:$CO11,"&lt;4",$CE$7:$CO$7))</f>
        <v>0</v>
      </c>
      <c r="BI11" s="52">
        <f t="shared" ref="BI11:BI42" si="4">IF(B11="","",SUMIF($EI11:$ES11,"&gt;=4",$EI$7:$ES$7))</f>
        <v>18</v>
      </c>
      <c r="BJ11" s="52">
        <f t="shared" ref="BJ11:BJ42" si="5">IF(B11="","",SUMIF($EI11:$ES11,"&lt;4",$EI$7:$ES$7))</f>
        <v>0</v>
      </c>
      <c r="BK11" s="54">
        <f t="shared" ref="BK11:BK42" si="6">DY11</f>
        <v>7.19</v>
      </c>
      <c r="BL11" s="54" t="str">
        <f t="shared" ref="BL11:BL42" si="7">IF(B11="","",IF(BK11&gt;=5.5,"BT","Y"))</f>
        <v>BT</v>
      </c>
      <c r="BM11" s="54">
        <f t="shared" ref="BM11:BM42" si="8">GC11</f>
        <v>7.19</v>
      </c>
      <c r="BN11" s="54" t="str">
        <f t="shared" ref="BN11:BN42" si="9">IF(B11="","",IF(BM11&gt;=5.5,"BT","Y"))</f>
        <v>BT</v>
      </c>
      <c r="BO11" s="70"/>
      <c r="BP11" s="52">
        <f>IF(ISNA(VLOOKUP(B11,'TICH LUY'!B:D,2,0)),"",VLOOKUP(B11,'TICH LUY'!B:D,2,0)+BI11)</f>
        <v>57</v>
      </c>
      <c r="BQ11" s="52">
        <f>IF(ISNA(VLOOKUP(B11,'TICH LUY'!B:D,3,0)),"",VLOOKUP(B11,'TICH LUY'!B:D,3,0)+BJ11)</f>
        <v>0</v>
      </c>
      <c r="BR11" s="40">
        <f t="shared" ref="BR11:BR42" si="10">IF(COUNT(BS11:CC11)=0,"",COUNTIF(BS11:CC11,"&lt;5"))</f>
        <v>1</v>
      </c>
      <c r="BS11" s="452">
        <f t="shared" ref="BS11:BS42" si="11">H11</f>
        <v>3.4</v>
      </c>
      <c r="BT11" s="452">
        <f t="shared" ref="BT11:BT42" si="12">L11</f>
        <v>7</v>
      </c>
      <c r="BU11" s="452">
        <f t="shared" ref="BU11:BU42" si="13">P11</f>
        <v>6</v>
      </c>
      <c r="BV11" s="452">
        <f t="shared" ref="BV11:BV42" si="14">T11</f>
        <v>7</v>
      </c>
      <c r="BW11" s="452">
        <f t="shared" ref="BW11:BW42" si="15">X11</f>
        <v>7</v>
      </c>
      <c r="BX11" s="452">
        <f t="shared" ref="BX11:BX42" si="16">AB11</f>
        <v>7.8</v>
      </c>
      <c r="BY11" s="452" t="str">
        <f t="shared" ref="BY11:BY42" si="17">AF11</f>
        <v/>
      </c>
      <c r="BZ11" s="452" t="str">
        <f>AJ11</f>
        <v/>
      </c>
      <c r="CA11" s="452" t="str">
        <f>AN11</f>
        <v/>
      </c>
      <c r="CB11" s="452">
        <f>AS11</f>
        <v>6.3</v>
      </c>
      <c r="CC11" s="452">
        <f t="shared" ref="CC11:CC42" si="18">AW11</f>
        <v>9</v>
      </c>
      <c r="CD11" s="40">
        <f>IF(COUNT(CE11:CO11)=0,"",COUNTIF(CE11:CO11,"&lt;4"))</f>
        <v>0</v>
      </c>
      <c r="CE11" s="453">
        <f>I11</f>
        <v>4.5999999999999996</v>
      </c>
      <c r="CF11" s="452">
        <f>M11</f>
        <v>7.3</v>
      </c>
      <c r="CG11" s="452">
        <f>Q11</f>
        <v>6.9</v>
      </c>
      <c r="CH11" s="452">
        <f>U11</f>
        <v>7.3</v>
      </c>
      <c r="CI11" s="452">
        <f>Y11</f>
        <v>6.8</v>
      </c>
      <c r="CJ11" s="452">
        <f>AC11</f>
        <v>6.8</v>
      </c>
      <c r="CK11" s="452" t="str">
        <f>AG11</f>
        <v/>
      </c>
      <c r="CL11" s="452" t="str">
        <f>AK11</f>
        <v/>
      </c>
      <c r="CM11" s="452" t="str">
        <f>AO11</f>
        <v/>
      </c>
      <c r="CN11" s="452">
        <f>AS11</f>
        <v>6.3</v>
      </c>
      <c r="CO11" s="452">
        <f t="shared" ref="CO11:CO42" si="19">AW11</f>
        <v>9</v>
      </c>
      <c r="CP11" s="454">
        <f>IF(COUNT(CE11:CO11)=0,"",ROUND(SUMPRODUCT(CE11:CO11,$CE$7:$CO$7)/SUMIF(CE11:CO11,"&gt;=0",$DN$7:$DX$7),2))</f>
        <v>6.9</v>
      </c>
      <c r="CQ11" s="527">
        <f>IF(OR(ISNA(VLOOKUP($B11,'TICH LUY'!$B$11:$BY$85,54,0)),$B11=""),"",VLOOKUP($B11,'TICH LUY'!$B$11:$BY$85,54,0))</f>
        <v>5.2</v>
      </c>
      <c r="CR11" s="507">
        <f>IF(OR(ISNA(VLOOKUP($B11,'TICH LUY'!$B$11:$BY$85,55,0)),$B11=""),"",VLOOKUP($B11,'TICH LUY'!$B$11:$BY$85,55,0))</f>
        <v>9.3000000000000007</v>
      </c>
      <c r="CS11" s="507">
        <f>IF(OR(ISNA(VLOOKUP($B11,'TICH LUY'!$B$11:$BY$85,56,0)),$B11=""),"",VLOOKUP($B11,'TICH LUY'!$B$11:$BY$85,56,0))</f>
        <v>7.2</v>
      </c>
      <c r="CT11" s="507">
        <f>IF(OR(ISNA(VLOOKUP($B11,'TICH LUY'!$B$11:$BY$85,57,0)),$B11=""),"",VLOOKUP($B11,'TICH LUY'!$B$11:$BY$85,57,0))</f>
        <v>5.8</v>
      </c>
      <c r="CU11" s="507">
        <f>IF(OR(ISNA(VLOOKUP($B11,'TICH LUY'!$B$11:$BY$85,58,0)),$B11=""),"",VLOOKUP($B11,'TICH LUY'!$B$11:$BY$85,58,0))</f>
        <v>6.3</v>
      </c>
      <c r="CV11" s="507">
        <f>IF(OR(ISNA(VLOOKUP($B11,'TICH LUY'!$B$11:$BY$85,59,0)),$B11=""),"",VLOOKUP($B11,'TICH LUY'!$B$11:$BY$85,59,0))</f>
        <v>7.2</v>
      </c>
      <c r="CW11" s="507">
        <f>IF(OR(ISNA(VLOOKUP($B11,'TICH LUY'!$B$11:$BY$85,60,0)),$B11=""),"",VLOOKUP($B11,'TICH LUY'!$B$11:$BY$85,60,0))</f>
        <v>8.3000000000000007</v>
      </c>
      <c r="CX11" s="507" t="str">
        <f>IF(OR(ISNA(VLOOKUP($B11,'TICH LUY'!$B$11:$BY$85,61,0)),$B11=""),"",VLOOKUP($B11,'TICH LUY'!$B$11:$BY$85,61,0))</f>
        <v/>
      </c>
      <c r="CY11" s="507" t="str">
        <f>IF(OR(ISNA(VLOOKUP($B11,'TICH LUY'!$B$11:$BY$85,62,0)),$B11=""),"",VLOOKUP($B11,'TICH LUY'!$B$11:$BY$85,62,0))</f>
        <v/>
      </c>
      <c r="CZ11" s="507">
        <f>IF(OR(ISNA(VLOOKUP($B11,'TICH LUY'!$B$11:$BY$85,63,0)),$B11=""),"",VLOOKUP($B11,'TICH LUY'!$B$11:$BY$85,63,0))</f>
        <v>8.1</v>
      </c>
      <c r="DA11" s="507">
        <f>IF(OR(ISNA(VLOOKUP($B11,'TICH LUY'!$B$11:$BY$85,64,0)),$B11=""),"",VLOOKUP($B11,'TICH LUY'!$B$11:$BY$85,64,0))</f>
        <v>5.5</v>
      </c>
      <c r="DB11" s="507" t="str">
        <f>IF(OR(ISNA(VLOOKUP($B11,'TICH LUY'!$B$11:$BY$85,65,0)),$B11=""),"",VLOOKUP($B11,'TICH LUY'!$B$11:$BY$85,65,0))</f>
        <v/>
      </c>
      <c r="DC11" s="507">
        <f>IF(OR(ISNA(VLOOKUP($B11,'TICH LUY'!$B$11:$BY$85,66,0)),$B11=""),"",VLOOKUP($B11,'TICH LUY'!$B$11:$BY$85,66,0))</f>
        <v>9.8000000000000007</v>
      </c>
      <c r="DD11" s="507">
        <f>IF(OR(ISNA(VLOOKUP($B11,'TICH LUY'!$B$11:$BY$85,67,0)),$B11=""),"",VLOOKUP($B11,'TICH LUY'!$B$11:$BY$85,67,0))</f>
        <v>9.1</v>
      </c>
      <c r="DE11" s="507">
        <f>IF(OR(ISNA(VLOOKUP($B11,'TICH LUY'!$B$11:$BY$85,68,0)),$B11=""),"",VLOOKUP($B11,'TICH LUY'!$B$11:$BY$85,68,0))</f>
        <v>8</v>
      </c>
      <c r="DF11" s="507">
        <f>IF(OR(ISNA(VLOOKUP($B11,'TICH LUY'!$B$11:$BY$85,69,0)),$B11=""),"",VLOOKUP($B11,'TICH LUY'!$B$11:$BY$85,69,0))</f>
        <v>8.1</v>
      </c>
      <c r="DG11" s="507">
        <f>IF(OR(ISNA(VLOOKUP($B11,'TICH LUY'!$B$11:$BY$85,70,0)),$B11=""),"",VLOOKUP($B11,'TICH LUY'!$B$11:$BY$85,70,0))</f>
        <v>6</v>
      </c>
      <c r="DH11" s="507">
        <f>IF(OR(ISNA(VLOOKUP($B11,'TICH LUY'!$B$11:$BY$85,71,0)),$B11=""),"",VLOOKUP($B11,'TICH LUY'!$B$11:$BY$85,71,0))</f>
        <v>8</v>
      </c>
      <c r="DI11" s="507" t="str">
        <f>IF(OR(ISNA(VLOOKUP($B11,'TICH LUY'!$B$11:$BY$85,72,0)),$B11=""),"",VLOOKUP($B11,'TICH LUY'!$B$11:$BY$85,72,0))</f>
        <v/>
      </c>
      <c r="DJ11" s="507" t="str">
        <f>IF(OR(ISNA(VLOOKUP($B11,'TICH LUY'!$B$11:$BY$85,73,0)),$B11=""),"",VLOOKUP($B11,'TICH LUY'!$B$11:$BY$85,73,0))</f>
        <v/>
      </c>
      <c r="DK11" s="507" t="str">
        <f>IF(OR(ISNA(VLOOKUP($B11,'TICH LUY'!$B$11:$BY$85,74,0)),$B11=""),"",VLOOKUP($B11,'TICH LUY'!$B$11:$BY$85,74,0))</f>
        <v/>
      </c>
      <c r="DL11" s="507">
        <f>IF(OR(ISNA(VLOOKUP($B11,'TICH LUY'!$B$11:$BY$85,75,0)),$B11=""),"",VLOOKUP($B11,'TICH LUY'!$B$11:$BY$85,75,0))</f>
        <v>7</v>
      </c>
      <c r="DM11" s="529" t="str">
        <f>IF(OR(ISNA(VLOOKUP($B11,'TICH LUY'!$B$11:$BY$85,76,0)),$B11=""),"",VLOOKUP($B11,'TICH LUY'!$B$11:$BY$85,76,0))</f>
        <v/>
      </c>
      <c r="DN11" s="455">
        <f t="shared" ref="DN11:DX11" si="20">IF(CE11&lt;4,"",CE11)</f>
        <v>4.5999999999999996</v>
      </c>
      <c r="DO11" s="456">
        <f t="shared" si="20"/>
        <v>7.3</v>
      </c>
      <c r="DP11" s="456">
        <f t="shared" si="20"/>
        <v>6.9</v>
      </c>
      <c r="DQ11" s="456">
        <f t="shared" si="20"/>
        <v>7.3</v>
      </c>
      <c r="DR11" s="456">
        <f t="shared" si="20"/>
        <v>6.8</v>
      </c>
      <c r="DS11" s="456">
        <f t="shared" si="20"/>
        <v>6.8</v>
      </c>
      <c r="DT11" s="456" t="str">
        <f t="shared" si="20"/>
        <v/>
      </c>
      <c r="DU11" s="456" t="str">
        <f t="shared" si="20"/>
        <v/>
      </c>
      <c r="DV11" s="456" t="str">
        <f t="shared" si="20"/>
        <v/>
      </c>
      <c r="DW11" s="456">
        <f t="shared" si="20"/>
        <v>6.3</v>
      </c>
      <c r="DX11" s="456">
        <f t="shared" si="20"/>
        <v>9</v>
      </c>
      <c r="DY11" s="457">
        <f>IF(OR(COUNT(CQ11:DX11)=0,B11=""),"",ROUND(SUMPRODUCT(CQ11:DX11,$CQ$7:$DX$7)/SUMIF(CQ11:DX11,"&gt;=4",$CQ$7:$DX$7),2))</f>
        <v>7.19</v>
      </c>
      <c r="DZ11" s="453" t="str">
        <f>K11</f>
        <v/>
      </c>
      <c r="EA11" s="452" t="str">
        <f>$O11</f>
        <v/>
      </c>
      <c r="EB11" s="452" t="str">
        <f>S11</f>
        <v/>
      </c>
      <c r="EC11" s="452" t="str">
        <f>W11</f>
        <v/>
      </c>
      <c r="ED11" s="452" t="str">
        <f>AA11</f>
        <v/>
      </c>
      <c r="EE11" s="452" t="str">
        <f>AE11</f>
        <v/>
      </c>
      <c r="EF11" s="452" t="str">
        <f>AI11</f>
        <v/>
      </c>
      <c r="EG11" s="452" t="str">
        <f>AM11</f>
        <v/>
      </c>
      <c r="EH11" s="452" t="str">
        <f>AQ11</f>
        <v/>
      </c>
      <c r="EI11" s="453">
        <f>IF(H11&gt;=J11,I11,K11)</f>
        <v>4.5999999999999996</v>
      </c>
      <c r="EJ11" s="452">
        <f>IF(L11&gt;=N11,M11,O11)</f>
        <v>7.3</v>
      </c>
      <c r="EK11" s="452">
        <f>IF(P11&gt;=R11,Q11,S11)</f>
        <v>6.9</v>
      </c>
      <c r="EL11" s="452">
        <f>IF(T11&gt;=V11,U11,W11)</f>
        <v>7.3</v>
      </c>
      <c r="EM11" s="452">
        <f>IF(X11&gt;=Z11,Y11,AA11)</f>
        <v>6.8</v>
      </c>
      <c r="EN11" s="452">
        <f>IF(AB11&gt;=AD11,AC11,AE11)</f>
        <v>6.8</v>
      </c>
      <c r="EO11" s="452" t="str">
        <f>IF(AF11&gt;=AH11,AG11,AI11)</f>
        <v/>
      </c>
      <c r="EP11" s="452" t="str">
        <f>IF(AJ11&gt;=AL11,AK11,AM11)</f>
        <v/>
      </c>
      <c r="EQ11" s="452" t="str">
        <f>IF(AN11&gt;=AP11,AO11,AQ11)</f>
        <v/>
      </c>
      <c r="ER11" s="452">
        <f>AS11</f>
        <v>6.3</v>
      </c>
      <c r="ES11" s="452">
        <f t="shared" ref="ES11:ES42" si="21">AW11</f>
        <v>9</v>
      </c>
      <c r="ET11" s="458" t="str">
        <f>IF(COUNT(DZ11:EH11)=0,"",ROUND(SUMPRODUCT(EI11:ES11,$CE$7:$CO$7)/(SUM($CE$7:$CO$7)),2))</f>
        <v/>
      </c>
      <c r="EU11" s="527">
        <f>IF(OR(ISNA(VLOOKUP($B11,'TICH LUY'!$B$11:$BY$85,54,0)),$B11=""),"",VLOOKUP($B11,'TICH LUY'!$B$11:$BY$85,54,0))</f>
        <v>5.2</v>
      </c>
      <c r="EV11" s="507">
        <f>IF(OR(ISNA(VLOOKUP($B11,'TICH LUY'!$B$11:$BY$85,55,0)),$B11=""),"",VLOOKUP($B11,'TICH LUY'!$B$11:$BY$85,55,0))</f>
        <v>9.3000000000000007</v>
      </c>
      <c r="EW11" s="507">
        <f>IF(OR(ISNA(VLOOKUP($B11,'TICH LUY'!$B$11:$BY$85,56,0)),$B11=""),"",VLOOKUP($B11,'TICH LUY'!$B$11:$BY$85,56,0))</f>
        <v>7.2</v>
      </c>
      <c r="EX11" s="507">
        <f>IF(OR(ISNA(VLOOKUP($B11,'TICH LUY'!$B$11:$BY$85,57,0)),$B11=""),"",VLOOKUP($B11,'TICH LUY'!$B$11:$BY$85,57,0))</f>
        <v>5.8</v>
      </c>
      <c r="EY11" s="507">
        <f>IF(OR(ISNA(VLOOKUP($B11,'TICH LUY'!$B$11:$BY$85,58,0)),$B11=""),"",VLOOKUP($B11,'TICH LUY'!$B$11:$BY$85,58,0))</f>
        <v>6.3</v>
      </c>
      <c r="EZ11" s="507">
        <f>IF(OR(ISNA(VLOOKUP($B11,'TICH LUY'!$B$11:$BY$85,59,0)),$B11=""),"",VLOOKUP($B11,'TICH LUY'!$B$11:$BY$85,59,0))</f>
        <v>7.2</v>
      </c>
      <c r="FA11" s="507">
        <f>IF(OR(ISNA(VLOOKUP($B11,'TICH LUY'!$B$11:$BY$85,60,0)),$B11=""),"",VLOOKUP($B11,'TICH LUY'!$B$11:$BY$85,60,0))</f>
        <v>8.3000000000000007</v>
      </c>
      <c r="FB11" s="507" t="str">
        <f>IF(OR(ISNA(VLOOKUP($B11,'TICH LUY'!$B$11:$BY$85,61,0)),$B11=""),"",VLOOKUP($B11,'TICH LUY'!$B$11:$BY$85,61,0))</f>
        <v/>
      </c>
      <c r="FC11" s="507" t="str">
        <f>IF(OR(ISNA(VLOOKUP($B11,'TICH LUY'!$B$11:$BY$85,62,0)),$B11=""),"",VLOOKUP($B11,'TICH LUY'!$B$11:$BY$85,62,0))</f>
        <v/>
      </c>
      <c r="FD11" s="507">
        <f>IF(OR(ISNA(VLOOKUP($B11,'TICH LUY'!$B$11:$BY$85,63,0)),$B11=""),"",VLOOKUP($B11,'TICH LUY'!$B$11:$BY$85,63,0))</f>
        <v>8.1</v>
      </c>
      <c r="FE11" s="507">
        <f>IF(OR(ISNA(VLOOKUP($B11,'TICH LUY'!$B$11:$BY$85,64,0)),$B11=""),"",VLOOKUP($B11,'TICH LUY'!$B$11:$BY$85,64,0))</f>
        <v>5.5</v>
      </c>
      <c r="FF11" s="507" t="str">
        <f>IF(OR(ISNA(VLOOKUP($B11,'TICH LUY'!$B$11:$BY$85,65,0)),$B11=""),"",VLOOKUP($B11,'TICH LUY'!$B$11:$BY$85,65,0))</f>
        <v/>
      </c>
      <c r="FG11" s="507">
        <f>IF(OR(ISNA(VLOOKUP($B11,'TICH LUY'!$B$11:$BY$85,66,0)),$B11=""),"",VLOOKUP($B11,'TICH LUY'!$B$11:$BY$85,66,0))</f>
        <v>9.8000000000000007</v>
      </c>
      <c r="FH11" s="507">
        <f>IF(OR(ISNA(VLOOKUP($B11,'TICH LUY'!$B$11:$BY$85,67,0)),$B11=""),"",VLOOKUP($B11,'TICH LUY'!$B$11:$BY$85,67,0))</f>
        <v>9.1</v>
      </c>
      <c r="FI11" s="507">
        <f>IF(OR(ISNA(VLOOKUP($B11,'TICH LUY'!$B$11:$BY$85,68,0)),$B11=""),"",VLOOKUP($B11,'TICH LUY'!$B$11:$BY$85,68,0))</f>
        <v>8</v>
      </c>
      <c r="FJ11" s="507">
        <f>IF(OR(ISNA(VLOOKUP($B11,'TICH LUY'!$B$11:$BY$85,69,0)),$B11=""),"",VLOOKUP($B11,'TICH LUY'!$B$11:$BY$85,69,0))</f>
        <v>8.1</v>
      </c>
      <c r="FK11" s="507">
        <f>IF(OR(ISNA(VLOOKUP($B11,'TICH LUY'!$B$11:$BY$85,70,0)),$B11=""),"",VLOOKUP($B11,'TICH LUY'!$B$11:$BY$85,70,0))</f>
        <v>6</v>
      </c>
      <c r="FL11" s="507">
        <f>IF(OR(ISNA(VLOOKUP($B11,'TICH LUY'!$B$11:$BY$85,71,0)),$B11=""),"",VLOOKUP($B11,'TICH LUY'!$B$11:$BY$85,71,0))</f>
        <v>8</v>
      </c>
      <c r="FM11" s="507" t="str">
        <f>IF(OR(ISNA(VLOOKUP($B11,'TICH LUY'!$B$11:$BY$85,72,0)),$B11=""),"",VLOOKUP($B11,'TICH LUY'!$B$11:$BY$85,72,0))</f>
        <v/>
      </c>
      <c r="FN11" s="507" t="str">
        <f>IF(OR(ISNA(VLOOKUP($B11,'TICH LUY'!$B$11:$BY$85,73,0)),$B11=""),"",VLOOKUP($B11,'TICH LUY'!$B$11:$BY$85,73,0))</f>
        <v/>
      </c>
      <c r="FO11" s="507" t="str">
        <f>IF(OR(ISNA(VLOOKUP($B11,'TICH LUY'!$B$11:$BY$85,74,0)),$B11=""),"",VLOOKUP($B11,'TICH LUY'!$B$11:$BY$85,74,0))</f>
        <v/>
      </c>
      <c r="FP11" s="507">
        <f>IF(OR(ISNA(VLOOKUP($B11,'TICH LUY'!$B$11:$BY$85,75,0)),$B11=""),"",VLOOKUP($B11,'TICH LUY'!$B$11:$BY$85,75,0))</f>
        <v>7</v>
      </c>
      <c r="FQ11" s="529" t="str">
        <f>IF(OR(ISNA(VLOOKUP($B11,'TICH LUY'!$B$11:$BY$85,76,0)),$B11=""),"",VLOOKUP($B11,'TICH LUY'!$B$11:$BY$85,76,0))</f>
        <v/>
      </c>
      <c r="FR11" s="455">
        <f>IF(EI11&lt;4,"",EI11)</f>
        <v>4.5999999999999996</v>
      </c>
      <c r="FS11" s="456">
        <f t="shared" ref="FS11:GB11" si="22">IF(EJ11&lt;4,"",EJ11)</f>
        <v>7.3</v>
      </c>
      <c r="FT11" s="456">
        <f t="shared" si="22"/>
        <v>6.9</v>
      </c>
      <c r="FU11" s="456">
        <f t="shared" si="22"/>
        <v>7.3</v>
      </c>
      <c r="FV11" s="456">
        <f t="shared" si="22"/>
        <v>6.8</v>
      </c>
      <c r="FW11" s="456">
        <f t="shared" si="22"/>
        <v>6.8</v>
      </c>
      <c r="FX11" s="456" t="str">
        <f t="shared" si="22"/>
        <v/>
      </c>
      <c r="FY11" s="456" t="str">
        <f t="shared" si="22"/>
        <v/>
      </c>
      <c r="FZ11" s="456" t="str">
        <f t="shared" si="22"/>
        <v/>
      </c>
      <c r="GA11" s="456">
        <f t="shared" si="22"/>
        <v>6.3</v>
      </c>
      <c r="GB11" s="459">
        <f t="shared" si="22"/>
        <v>9</v>
      </c>
      <c r="GC11" s="457">
        <f t="shared" ref="GC11:GC42" si="23">IF(OR(COUNT(CQ11:DX11)=0,B11=""),"",ROUND(SUMPRODUCT(EU11:GB11,$EU$7:$GB$7)/SUMIF(EU11:GB11,"&gt;=4",$EU$7:$GB$7),2))</f>
        <v>7.19</v>
      </c>
    </row>
    <row r="12" spans="1:202" s="221" customFormat="1" ht="15.75">
      <c r="A12" s="449">
        <f>IF(B12="","",SUBTOTAL(3,$B$11:B12))</f>
        <v>2</v>
      </c>
      <c r="B12" s="198" t="s">
        <v>2017</v>
      </c>
      <c r="C12" s="450" t="str">
        <f>IF($B12="","",VLOOKUP($B12,'DS LOP HKI'!$B$2:$F$2642,2,0))</f>
        <v>Võ Thành</v>
      </c>
      <c r="D12" s="451" t="str">
        <f>IF($B12="","",VLOOKUP($B12,'DS LOP HKI'!$B$2:$F$2642,3,0))</f>
        <v>Bảo</v>
      </c>
      <c r="E12" s="154"/>
      <c r="F12" s="152"/>
      <c r="G12" s="156">
        <v>4</v>
      </c>
      <c r="H12" s="181">
        <f>IF(OR($H$6="",$H$7=""),"",IF($B12="","",IF(ISNA(VLOOKUP($B12,'LT01'!$B$11:$R$75,13,FALSE)),"",IF(VLOOKUP($B12,'LT01'!$B$11:$R$75,13,FALSE)="","",VLOOKUP($B12,'LT01'!$B$11:$R$75,13,FALSE)))))</f>
        <v>3</v>
      </c>
      <c r="I12" s="182">
        <f>IF(OR($H$6="",$H$7=""),"",IF($B12="","",IF(ISNA(VLOOKUP($B12,'LT01'!$B$11:$R$75,14,FALSE)),"",VLOOKUP($B12,'LT01'!$B$11:$R$75,14,FALSE))))</f>
        <v>5</v>
      </c>
      <c r="J12" s="183"/>
      <c r="K12" s="182" t="str">
        <f>IF(OR($H$6="",$H$7=""),"",IF($B12="","",IF(ISNA(VLOOKUP($B12,'LT01'!$B$11:$R$75,17,FALSE)),"",VLOOKUP($B12,'LT01'!$B$11:$R$75,17,FALSE))))</f>
        <v/>
      </c>
      <c r="L12" s="185">
        <f>IF(OR($H$6="",$H$7=""),"",IF($B12="","",IF(ISNA(VLOOKUP($B12,'LT02'!$B$11:$R$75,13,FALSE)),"",IF(VLOOKUP($B12,'LT02'!$B$11:$R$75,13,FALSE)="","",VLOOKUP($B12,'LT02'!$B$11:$R$75,13,FALSE)))))</f>
        <v>7</v>
      </c>
      <c r="M12" s="182">
        <f>IF(OR($H$6="",$H$7=""),"",IF($B12="","",IF(ISNA(VLOOKUP($B12,'LT02'!$B$11:$R$75,14,FALSE)),"",VLOOKUP($B12,'LT02'!$B$11:$R$75,14,FALSE))))</f>
        <v>6.1</v>
      </c>
      <c r="N12" s="183"/>
      <c r="O12" s="182" t="str">
        <f>IF(OR($H$6="",$H$7=""),"",IF($B12="","",IF(ISNA(VLOOKUP($B12,'LT02'!$B$11:$R$75,17,FALSE)),"",VLOOKUP($B12,'LT02'!$B$11:$R$75,17,FALSE))))</f>
        <v/>
      </c>
      <c r="P12" s="185">
        <f>IF(OR($H$6="",$H$7=""),"",IF($B12="","",IF(ISNA(VLOOKUP($B12,'LT03'!$B$11:$R$75,13,FALSE)),"",IF(VLOOKUP($B12,'LT03'!$B$11:$R$75,13,FALSE)="","",VLOOKUP($B12,'LT03'!$B$11:$R$75,13,FALSE)))))</f>
        <v>2.1</v>
      </c>
      <c r="Q12" s="182">
        <f>IF(OR($H$6="",$H$7=""),"",IF($B12="","",IF(ISNA(VLOOKUP($B12,'LT03'!$B$11:$R$75,14,FALSE)),"",VLOOKUP($B12,'LT03'!$B$11:$R$75,14,FALSE))))</f>
        <v>3</v>
      </c>
      <c r="R12" s="183"/>
      <c r="S12" s="182" t="str">
        <f>IF(OR($H$6="",$H$7=""),"",IF($B12="","",IF(ISNA(VLOOKUP($B12,'LT03'!$B$11:$R$75,17,FALSE)),"",VLOOKUP($B12,'LT03'!$B$11:$R$75,17,FALSE))))</f>
        <v/>
      </c>
      <c r="T12" s="185">
        <f>IF(OR($H$6="",$H$7=""),"",IF($B12="","",IF(ISNA(VLOOKUP($B12,'LT04'!$B$11:$R$75,13,FALSE)),"",IF(VLOOKUP($B12,'LT04'!$B$11:$R$75,13,FALSE)="","",VLOOKUP($B12,'LT04'!$B$11:$R$75,13,FALSE)))))</f>
        <v>3.8</v>
      </c>
      <c r="U12" s="182">
        <f>IF(OR($H$6="",$H$7=""),"",IF($B12="","",IF(ISNA(VLOOKUP($B12,'LT04'!$B$11:$R$75,14,FALSE)),"",VLOOKUP($B12,'LT04'!$B$11:$R$75,14,FALSE))))</f>
        <v>4.2</v>
      </c>
      <c r="V12" s="183"/>
      <c r="W12" s="184" t="str">
        <f>IF(OR($H$6="",$H$7=""),"",IF($B12="","",IF(ISNA(VLOOKUP($B12,'LT04'!$B$11:$R$75,17,FALSE)),"",VLOOKUP($B12,'LT04'!$B$11:$R$75,17,FALSE))))</f>
        <v/>
      </c>
      <c r="X12" s="185">
        <f>IF(OR($H$6="",$H$7=""),"",IF($B12="","",IF(ISNA(VLOOKUP($B12,'LT05'!$B$11:$R$75,13,FALSE)),"",IF(VLOOKUP($B12,'LT05'!$B$11:$R$75,13,FALSE)="","",VLOOKUP($B12,'LT05'!$B$11:$R$75,13,FALSE)))))</f>
        <v>6.5</v>
      </c>
      <c r="Y12" s="182">
        <f>IF(OR($H$6="",$H$7=""),"",IF($B12="","",IF(ISNA(VLOOKUP($B12,'LT05'!$B$11:$R$75,14,FALSE)),"",VLOOKUP($B12,'LT05'!$B$11:$R$75,14,FALSE))))</f>
        <v>4.2</v>
      </c>
      <c r="Z12" s="183"/>
      <c r="AA12" s="182" t="str">
        <f>IF(OR($H$6="",$H$7=""),"",IF($B12="","",IF(ISNA(VLOOKUP($B12,'LT05'!$B$11:$R$75,17,FALSE)),"",VLOOKUP($B12,'LT05'!$B$11:$R$75,17,FALSE))))</f>
        <v/>
      </c>
      <c r="AB12" s="185">
        <f>IF(OR($H$6="",$H$7=""),"",IF($B12="","",IF(ISNA(VLOOKUP($B12,'LT06'!$B$11:$R$75,13,FALSE)),"",IF(VLOOKUP($B12,'LT06'!$B$11:$R$75,13,FALSE)="","",VLOOKUP($B12,'LT06'!$B$11:$R$75,13,FALSE)))))</f>
        <v>4</v>
      </c>
      <c r="AC12" s="182">
        <f>IF(OR($H$6="",$H$7=""),"",IF($B12="","",IF(ISNA(VLOOKUP($B12,'LT06'!$B$11:$R$75,14,FALSE)),"",VLOOKUP($B12,'LT06'!$B$11:$R$75,14,FALSE))))</f>
        <v>4</v>
      </c>
      <c r="AD12" s="183"/>
      <c r="AE12" s="182" t="str">
        <f>IF(OR($H$6="",$H$7=""),"",IF($B12="","",IF(ISNA(VLOOKUP($B12,'LT06'!$B$11:$R$75,17,FALSE)),"",VLOOKUP($B12,'LT06'!$B$11:$R$75,17,FALSE))))</f>
        <v/>
      </c>
      <c r="AF12" s="185" t="str">
        <f>IF(OR($H$6="",$H$7=""),"",IF($B12="","",IF(ISNA(VLOOKUP($B12,'LT07'!$B$11:$R$75,13,FALSE)),"",IF(VLOOKUP($B12,'LT07'!$B$11:$R$75,13,FALSE)="","",VLOOKUP($B12,'LT07'!$B$11:$R$75,13,FALSE)))))</f>
        <v/>
      </c>
      <c r="AG12" s="182" t="str">
        <f>IF(OR($H$6="",$H$7=""),"",IF($B12="","",IF(ISNA(VLOOKUP($B12,'LT07'!$B$11:$R$75,14,FALSE)),"",VLOOKUP($B12,'LT07'!$B$11:$R$75,14,FALSE))))</f>
        <v/>
      </c>
      <c r="AH12" s="183"/>
      <c r="AI12" s="182" t="str">
        <f>IF(OR($H$6="",$H$7=""),"",IF($B12="","",IF(ISNA(VLOOKUP($B12,'LT07'!$B$11:$R$75,17,FALSE)),"",VLOOKUP($B12,'LT07'!$B$11:$R$75,17,FALSE))))</f>
        <v/>
      </c>
      <c r="AJ12" s="185" t="str">
        <f>IF(OR($H$6="",$H$7=""),"",IF($B12="","",IF(ISNA(VLOOKUP($B12,'LT08'!$B$11:$R$75,13,FALSE)),"",IF(VLOOKUP($B12,'LT08'!$B$11:$R$75,13,FALSE)="","",VLOOKUP($B12,'LT08'!$B$11:$R$75,13,FALSE)))))</f>
        <v/>
      </c>
      <c r="AK12" s="182" t="str">
        <f>IF(OR($H$6="",$H$7=""),"",IF($B12="","",IF(ISNA(VLOOKUP($B12,'LT08'!$B$11:$R$75,14,FALSE)),"",VLOOKUP($B12,'LT08'!$B$11:$R$75,14,FALSE))))</f>
        <v/>
      </c>
      <c r="AL12" s="183"/>
      <c r="AM12" s="182" t="str">
        <f>IF(OR($H$6="",$H$7=""),"",IF($B12="","",IF(ISNA(VLOOKUP($B12,'LT08'!$B$11:$R$75,17,FALSE)),"",VLOOKUP($B12,'LT08'!$B$11:$R$75,17,FALSE))))</f>
        <v/>
      </c>
      <c r="AN12" s="185" t="str">
        <f>IF(OR($H$6="",$H$7=""),"",IF($B12="","",IF(ISNA(VLOOKUP($B12,'LT09'!$B$11:$R$75,13,FALSE)),"",IF(VLOOKUP($B12,'LT09'!$B$11:$R$75,13,FALSE)="","",VLOOKUP($B12,'LT09'!$B$11:$R$75,13,FALSE)))))</f>
        <v/>
      </c>
      <c r="AO12" s="182" t="str">
        <f>IF(OR($H$6="",$H$7=""),"",IF($B12="","",IF(ISNA(VLOOKUP($B12,'LT09'!$B$11:$R$75,14,FALSE)),"",VLOOKUP($B12,'LT09'!$B$11:$R$75,14,FALSE))))</f>
        <v/>
      </c>
      <c r="AP12" s="183"/>
      <c r="AQ12" s="182" t="str">
        <f>IF(OR($H$6="",$H$7=""),"",IF($B12="","",IF(ISNA(VLOOKUP($B12,'LT09'!$B$11:$R$75,17,FALSE)),"",VLOOKUP($B12,'LT09'!$B$11:$R$75,17,FALSE))))</f>
        <v/>
      </c>
      <c r="AR12" s="186"/>
      <c r="AS12" s="182">
        <f>IF(OR($H$6="",$H$7=""),"",IF($B12="","",IF(ISNA(VLOOKUP($B12,'TH01'!$B$11:$R$75,14,FALSE)),"",VLOOKUP($B12,'TH01'!$B$11:$R$75,14,FALSE))))</f>
        <v>5</v>
      </c>
      <c r="AT12" s="183"/>
      <c r="AU12" s="187"/>
      <c r="AV12" s="186"/>
      <c r="AW12" s="182">
        <f>IF(OR($H$6="",$H$7=""),"",IF($B12="","",IF(ISNA(VLOOKUP($B12,'TH02'!$B$11:$R$75,14,FALSE)),"",VLOOKUP($B12,'TH02'!$B$11:$R$75,14,FALSE))))</f>
        <v>7</v>
      </c>
      <c r="AX12" s="183"/>
      <c r="AY12" s="187"/>
      <c r="AZ12" s="54">
        <f t="shared" ref="AZ12:AZ63" si="24">CP12</f>
        <v>4.78</v>
      </c>
      <c r="BA12" s="54" t="str">
        <f t="shared" si="0"/>
        <v/>
      </c>
      <c r="BB12" s="70">
        <v>52</v>
      </c>
      <c r="BC12" s="52" t="str">
        <f t="shared" ref="BC12:BC75" si="25">IF(AZ12="","",IF(B12="","",IF(AZ12&lt;4,"Kém",IF(AZ12&lt;5.5,"TBY",IF(AZ12&lt;7,"TB",IF(AZ12&lt;8,"Khá",IF(AZ12&lt;9,"Giỏi","XS")))))))</f>
        <v>TBY</v>
      </c>
      <c r="BD12" s="52" t="str">
        <f t="shared" ref="BD12:BD75" si="26">IF(BA12="","",IF(B12="","",IF(BA12&lt;4,"Kém",IF(BA12&lt;5.5,"TBY",IF(BA12&lt;7,"TB",IF(BA12&lt;8,"Khá",IF(BA12&lt;9,"Giỏi","XS")))))))</f>
        <v/>
      </c>
      <c r="BE12" s="52" t="str">
        <f t="shared" si="1"/>
        <v/>
      </c>
      <c r="BF12" s="149" t="str">
        <f t="shared" si="2"/>
        <v/>
      </c>
      <c r="BG12" s="52">
        <f t="shared" si="3"/>
        <v>15</v>
      </c>
      <c r="BH12" s="52">
        <f t="shared" ref="BH12:BH42" si="27">IF(B12="","",SUMIF($CE12:$CO12,"&lt;4",$CE$7:$CO$7))</f>
        <v>3</v>
      </c>
      <c r="BI12" s="52">
        <f t="shared" si="4"/>
        <v>15</v>
      </c>
      <c r="BJ12" s="52">
        <f t="shared" si="5"/>
        <v>3</v>
      </c>
      <c r="BK12" s="54">
        <f t="shared" si="6"/>
        <v>5.6</v>
      </c>
      <c r="BL12" s="54" t="str">
        <f t="shared" si="7"/>
        <v>BT</v>
      </c>
      <c r="BM12" s="54">
        <f t="shared" si="8"/>
        <v>5.6</v>
      </c>
      <c r="BN12" s="54" t="str">
        <f t="shared" si="9"/>
        <v>BT</v>
      </c>
      <c r="BO12" s="70"/>
      <c r="BP12" s="52">
        <f>IF(ISNA(VLOOKUP(B12,'TICH LUY'!B:D,2,0)),"",VLOOKUP(B12,'TICH LUY'!B:D,2,0)+BI12)</f>
        <v>52</v>
      </c>
      <c r="BQ12" s="52">
        <f>IF(ISNA(VLOOKUP(B12,'TICH LUY'!B:D,3,0)),"",VLOOKUP(B12,'TICH LUY'!B:D,3,0)+BJ12)</f>
        <v>5</v>
      </c>
      <c r="BR12" s="40">
        <f t="shared" si="10"/>
        <v>4</v>
      </c>
      <c r="BS12" s="452">
        <f t="shared" si="11"/>
        <v>3</v>
      </c>
      <c r="BT12" s="452">
        <f t="shared" si="12"/>
        <v>7</v>
      </c>
      <c r="BU12" s="452">
        <f t="shared" si="13"/>
        <v>2.1</v>
      </c>
      <c r="BV12" s="452">
        <f t="shared" si="14"/>
        <v>3.8</v>
      </c>
      <c r="BW12" s="452">
        <f t="shared" si="15"/>
        <v>6.5</v>
      </c>
      <c r="BX12" s="452">
        <f t="shared" si="16"/>
        <v>4</v>
      </c>
      <c r="BY12" s="452" t="str">
        <f t="shared" si="17"/>
        <v/>
      </c>
      <c r="BZ12" s="452" t="str">
        <f t="shared" ref="BZ12:BZ75" si="28">AJ12</f>
        <v/>
      </c>
      <c r="CA12" s="452" t="str">
        <f t="shared" ref="CA12:CA75" si="29">AN12</f>
        <v/>
      </c>
      <c r="CB12" s="452">
        <f t="shared" ref="CB12:CB75" si="30">AS12</f>
        <v>5</v>
      </c>
      <c r="CC12" s="452">
        <f t="shared" si="18"/>
        <v>7</v>
      </c>
      <c r="CD12" s="40">
        <f t="shared" ref="CD12:CD75" si="31">IF(COUNT(CE12:CO12)=0,"",COUNTIF(CE12:CO12,"&lt;4"))</f>
        <v>1</v>
      </c>
      <c r="CE12" s="453">
        <f>I12</f>
        <v>5</v>
      </c>
      <c r="CF12" s="452">
        <f t="shared" ref="CF12:CF75" si="32">M12</f>
        <v>6.1</v>
      </c>
      <c r="CG12" s="452">
        <f>Q12</f>
        <v>3</v>
      </c>
      <c r="CH12" s="452">
        <f>U12</f>
        <v>4.2</v>
      </c>
      <c r="CI12" s="452">
        <f>Y12</f>
        <v>4.2</v>
      </c>
      <c r="CJ12" s="452">
        <f>AC12</f>
        <v>4</v>
      </c>
      <c r="CK12" s="452" t="str">
        <f>AG12</f>
        <v/>
      </c>
      <c r="CL12" s="452" t="str">
        <f t="shared" ref="CL12:CL75" si="33">AK12</f>
        <v/>
      </c>
      <c r="CM12" s="452" t="str">
        <f t="shared" ref="CM12:CM75" si="34">AO12</f>
        <v/>
      </c>
      <c r="CN12" s="452">
        <f t="shared" ref="CN12:CN75" si="35">AS12</f>
        <v>5</v>
      </c>
      <c r="CO12" s="452">
        <f t="shared" si="19"/>
        <v>7</v>
      </c>
      <c r="CP12" s="454">
        <f t="shared" ref="CP12:CP75" si="36">IF(COUNT(CE12:CO12)=0,"",ROUND(SUMPRODUCT(CE12:CO12,$CE$7:$CO$7)/SUMIF(CE12:CO12,"&gt;=0",$DN$7:$DX$7),2))</f>
        <v>4.78</v>
      </c>
      <c r="CQ12" s="527">
        <f>IF(OR(ISNA(VLOOKUP($B12,'TICH LUY'!$B$11:$BY$85,54,0)),$B12=""),"",VLOOKUP($B12,'TICH LUY'!$B$11:$BY$85,54,0))</f>
        <v>4.5999999999999996</v>
      </c>
      <c r="CR12" s="507">
        <f>IF(OR(ISNA(VLOOKUP($B12,'TICH LUY'!$B$11:$BY$85,55,0)),$B12=""),"",VLOOKUP($B12,'TICH LUY'!$B$11:$BY$85,55,0))</f>
        <v>5.7</v>
      </c>
      <c r="CS12" s="507">
        <f>IF(OR(ISNA(VLOOKUP($B12,'TICH LUY'!$B$11:$BY$85,56,0)),$B12=""),"",VLOOKUP($B12,'TICH LUY'!$B$11:$BY$85,56,0))</f>
        <v>6.1</v>
      </c>
      <c r="CT12" s="507">
        <f>IF(OR(ISNA(VLOOKUP($B12,'TICH LUY'!$B$11:$BY$85,57,0)),$B12=""),"",VLOOKUP($B12,'TICH LUY'!$B$11:$BY$85,57,0))</f>
        <v>6.3</v>
      </c>
      <c r="CU12" s="507">
        <f>IF(OR(ISNA(VLOOKUP($B12,'TICH LUY'!$B$11:$BY$85,58,0)),$B12=""),"",VLOOKUP($B12,'TICH LUY'!$B$11:$BY$85,58,0))</f>
        <v>5.6</v>
      </c>
      <c r="CV12" s="507">
        <f>IF(OR(ISNA(VLOOKUP($B12,'TICH LUY'!$B$11:$BY$85,59,0)),$B12=""),"",VLOOKUP($B12,'TICH LUY'!$B$11:$BY$85,59,0))</f>
        <v>6.4</v>
      </c>
      <c r="CW12" s="507">
        <f>IF(OR(ISNA(VLOOKUP($B12,'TICH LUY'!$B$11:$BY$85,60,0)),$B12=""),"",VLOOKUP($B12,'TICH LUY'!$B$11:$BY$85,60,0))</f>
        <v>5.9</v>
      </c>
      <c r="CX12" s="507" t="str">
        <f>IF(OR(ISNA(VLOOKUP($B12,'TICH LUY'!$B$11:$BY$85,61,0)),$B12=""),"",VLOOKUP($B12,'TICH LUY'!$B$11:$BY$85,61,0))</f>
        <v/>
      </c>
      <c r="CY12" s="507" t="str">
        <f>IF(OR(ISNA(VLOOKUP($B12,'TICH LUY'!$B$11:$BY$85,62,0)),$B12=""),"",VLOOKUP($B12,'TICH LUY'!$B$11:$BY$85,62,0))</f>
        <v/>
      </c>
      <c r="CZ12" s="507">
        <f>IF(OR(ISNA(VLOOKUP($B12,'TICH LUY'!$B$11:$BY$85,63,0)),$B12=""),"",VLOOKUP($B12,'TICH LUY'!$B$11:$BY$85,63,0))</f>
        <v>6.1</v>
      </c>
      <c r="DA12" s="507">
        <f>IF(OR(ISNA(VLOOKUP($B12,'TICH LUY'!$B$11:$BY$85,64,0)),$B12=""),"",VLOOKUP($B12,'TICH LUY'!$B$11:$BY$85,64,0))</f>
        <v>4.2</v>
      </c>
      <c r="DB12" s="507">
        <f>IF(OR(ISNA(VLOOKUP($B12,'TICH LUY'!$B$11:$BY$85,65,0)),$B12=""),"",VLOOKUP($B12,'TICH LUY'!$B$11:$BY$85,65,0))</f>
        <v>5.5</v>
      </c>
      <c r="DC12" s="507" t="str">
        <f>IF(OR(ISNA(VLOOKUP($B12,'TICH LUY'!$B$11:$BY$85,66,0)),$B12=""),"",VLOOKUP($B12,'TICH LUY'!$B$11:$BY$85,66,0))</f>
        <v/>
      </c>
      <c r="DD12" s="507">
        <f>IF(OR(ISNA(VLOOKUP($B12,'TICH LUY'!$B$11:$BY$85,67,0)),$B12=""),"",VLOOKUP($B12,'TICH LUY'!$B$11:$BY$85,67,0))</f>
        <v>6</v>
      </c>
      <c r="DE12" s="507">
        <f>IF(OR(ISNA(VLOOKUP($B12,'TICH LUY'!$B$11:$BY$85,68,0)),$B12=""),"",VLOOKUP($B12,'TICH LUY'!$B$11:$BY$85,68,0))</f>
        <v>6.3</v>
      </c>
      <c r="DF12" s="507">
        <f>IF(OR(ISNA(VLOOKUP($B12,'TICH LUY'!$B$11:$BY$85,69,0)),$B12=""),"",VLOOKUP($B12,'TICH LUY'!$B$11:$BY$85,69,0))</f>
        <v>5.8</v>
      </c>
      <c r="DG12" s="507" t="str">
        <f>IF(OR(ISNA(VLOOKUP($B12,'TICH LUY'!$B$11:$BY$85,70,0)),$B12=""),"",VLOOKUP($B12,'TICH LUY'!$B$11:$BY$85,70,0))</f>
        <v/>
      </c>
      <c r="DH12" s="507">
        <f>IF(OR(ISNA(VLOOKUP($B12,'TICH LUY'!$B$11:$BY$85,71,0)),$B12=""),"",VLOOKUP($B12,'TICH LUY'!$B$11:$BY$85,71,0))</f>
        <v>7.4</v>
      </c>
      <c r="DI12" s="507" t="str">
        <f>IF(OR(ISNA(VLOOKUP($B12,'TICH LUY'!$B$11:$BY$85,72,0)),$B12=""),"",VLOOKUP($B12,'TICH LUY'!$B$11:$BY$85,72,0))</f>
        <v/>
      </c>
      <c r="DJ12" s="507" t="str">
        <f>IF(OR(ISNA(VLOOKUP($B12,'TICH LUY'!$B$11:$BY$85,73,0)),$B12=""),"",VLOOKUP($B12,'TICH LUY'!$B$11:$BY$85,73,0))</f>
        <v/>
      </c>
      <c r="DK12" s="507" t="str">
        <f>IF(OR(ISNA(VLOOKUP($B12,'TICH LUY'!$B$11:$BY$85,74,0)),$B12=""),"",VLOOKUP($B12,'TICH LUY'!$B$11:$BY$85,74,0))</f>
        <v/>
      </c>
      <c r="DL12" s="507">
        <f>IF(OR(ISNA(VLOOKUP($B12,'TICH LUY'!$B$11:$BY$85,75,0)),$B12=""),"",VLOOKUP($B12,'TICH LUY'!$B$11:$BY$85,75,0))</f>
        <v>5.6</v>
      </c>
      <c r="DM12" s="529" t="str">
        <f>IF(OR(ISNA(VLOOKUP($B12,'TICH LUY'!$B$11:$BY$85,76,0)),$B12=""),"",VLOOKUP($B12,'TICH LUY'!$B$11:$BY$85,76,0))</f>
        <v/>
      </c>
      <c r="DN12" s="455">
        <f t="shared" ref="DN12:DN75" si="37">IF(CE12&lt;4,"",CE12)</f>
        <v>5</v>
      </c>
      <c r="DO12" s="456">
        <f t="shared" ref="DO12:DO75" si="38">IF(CF12&lt;4,"",CF12)</f>
        <v>6.1</v>
      </c>
      <c r="DP12" s="456" t="str">
        <f t="shared" ref="DP12:DP75" si="39">IF(CG12&lt;4,"",CG12)</f>
        <v/>
      </c>
      <c r="DQ12" s="456">
        <f t="shared" ref="DQ12:DQ75" si="40">IF(CH12&lt;4,"",CH12)</f>
        <v>4.2</v>
      </c>
      <c r="DR12" s="456">
        <f t="shared" ref="DR12:DR75" si="41">IF(CI12&lt;4,"",CI12)</f>
        <v>4.2</v>
      </c>
      <c r="DS12" s="456">
        <f t="shared" ref="DS12:DS75" si="42">IF(CJ12&lt;4,"",CJ12)</f>
        <v>4</v>
      </c>
      <c r="DT12" s="456" t="str">
        <f t="shared" ref="DT12:DT75" si="43">IF(CK12&lt;4,"",CK12)</f>
        <v/>
      </c>
      <c r="DU12" s="456" t="str">
        <f t="shared" ref="DU12:DU75" si="44">IF(CL12&lt;4,"",CL12)</f>
        <v/>
      </c>
      <c r="DV12" s="456" t="str">
        <f t="shared" ref="DV12:DV75" si="45">IF(CM12&lt;4,"",CM12)</f>
        <v/>
      </c>
      <c r="DW12" s="456">
        <f t="shared" ref="DW12:DW75" si="46">IF(CN12&lt;4,"",CN12)</f>
        <v>5</v>
      </c>
      <c r="DX12" s="456">
        <f t="shared" ref="DX12:DX75" si="47">IF(CO12&lt;4,"",CO12)</f>
        <v>7</v>
      </c>
      <c r="DY12" s="457">
        <f t="shared" ref="DY12:DY75" si="48">IF(OR(COUNT(CQ12:DX12)=0,B12=""),"",ROUND(SUMPRODUCT(CQ12:DX12,$CQ$7:$DX$7)/SUMIF(CQ12:DX12,"&gt;=4",$CQ$7:$DX$7),2))</f>
        <v>5.6</v>
      </c>
      <c r="DZ12" s="453" t="str">
        <f t="shared" ref="DZ12:DZ63" si="49">K12</f>
        <v/>
      </c>
      <c r="EA12" s="452" t="str">
        <f t="shared" ref="EA12:EA75" si="50">$O12</f>
        <v/>
      </c>
      <c r="EB12" s="452" t="str">
        <f t="shared" ref="EB12:EB63" si="51">S12</f>
        <v/>
      </c>
      <c r="EC12" s="452" t="str">
        <f t="shared" ref="EC12:EC63" si="52">W12</f>
        <v/>
      </c>
      <c r="ED12" s="452" t="str">
        <f t="shared" ref="ED12:ED63" si="53">AA12</f>
        <v/>
      </c>
      <c r="EE12" s="452" t="str">
        <f t="shared" ref="EE12:EE63" si="54">AE12</f>
        <v/>
      </c>
      <c r="EF12" s="452" t="str">
        <f t="shared" ref="EF12:EF63" si="55">AI12</f>
        <v/>
      </c>
      <c r="EG12" s="452" t="str">
        <f t="shared" ref="EG12:EG75" si="56">AM12</f>
        <v/>
      </c>
      <c r="EH12" s="452" t="str">
        <f t="shared" ref="EH12:EH75" si="57">AQ12</f>
        <v/>
      </c>
      <c r="EI12" s="453">
        <f t="shared" ref="EI12:EI75" si="58">IF(H12&gt;=J12,I12,K12)</f>
        <v>5</v>
      </c>
      <c r="EJ12" s="452">
        <f t="shared" ref="EJ12:EJ75" si="59">IF(L12&gt;=N12,M12,O12)</f>
        <v>6.1</v>
      </c>
      <c r="EK12" s="452">
        <f t="shared" ref="EK12:EK75" si="60">IF(P12&gt;=R12,Q12,S12)</f>
        <v>3</v>
      </c>
      <c r="EL12" s="452">
        <f t="shared" ref="EL12:EL75" si="61">IF(T12&gt;=V12,U12,W12)</f>
        <v>4.2</v>
      </c>
      <c r="EM12" s="452">
        <f t="shared" ref="EM12:EM75" si="62">IF(X12&gt;=Z12,Y12,AA12)</f>
        <v>4.2</v>
      </c>
      <c r="EN12" s="452">
        <f t="shared" ref="EN12:EN75" si="63">IF(AB12&gt;=AD12,AC12,AE12)</f>
        <v>4</v>
      </c>
      <c r="EO12" s="452" t="str">
        <f t="shared" ref="EO12:EO75" si="64">IF(AF12&gt;=AH12,AG12,AI12)</f>
        <v/>
      </c>
      <c r="EP12" s="452" t="str">
        <f t="shared" ref="EP12:EP75" si="65">IF(AJ12&gt;=AL12,AK12,AM12)</f>
        <v/>
      </c>
      <c r="EQ12" s="452" t="str">
        <f t="shared" ref="EQ12:EQ75" si="66">IF(AN12&gt;=AP12,AO12,AQ12)</f>
        <v/>
      </c>
      <c r="ER12" s="452">
        <f t="shared" ref="ER12:ER75" si="67">AS12</f>
        <v>5</v>
      </c>
      <c r="ES12" s="452">
        <f t="shared" si="21"/>
        <v>7</v>
      </c>
      <c r="ET12" s="458" t="str">
        <f t="shared" ref="ET12:ET75" si="68">IF(COUNT(DZ12:EH12)=0,"",ROUND(SUMPRODUCT(EI12:ES12,$CE$7:$CO$7)/(SUM($CE$7:$CO$7)),2))</f>
        <v/>
      </c>
      <c r="EU12" s="527">
        <f>IF(OR(ISNA(VLOOKUP($B12,'TICH LUY'!$B$11:$BY$85,54,0)),$B12=""),"",VLOOKUP($B12,'TICH LUY'!$B$11:$BY$85,54,0))</f>
        <v>4.5999999999999996</v>
      </c>
      <c r="EV12" s="507">
        <f>IF(OR(ISNA(VLOOKUP($B12,'TICH LUY'!$B$11:$BY$85,55,0)),$B12=""),"",VLOOKUP($B12,'TICH LUY'!$B$11:$BY$85,55,0))</f>
        <v>5.7</v>
      </c>
      <c r="EW12" s="507">
        <f>IF(OR(ISNA(VLOOKUP($B12,'TICH LUY'!$B$11:$BY$85,56,0)),$B12=""),"",VLOOKUP($B12,'TICH LUY'!$B$11:$BY$85,56,0))</f>
        <v>6.1</v>
      </c>
      <c r="EX12" s="507">
        <f>IF(OR(ISNA(VLOOKUP($B12,'TICH LUY'!$B$11:$BY$85,57,0)),$B12=""),"",VLOOKUP($B12,'TICH LUY'!$B$11:$BY$85,57,0))</f>
        <v>6.3</v>
      </c>
      <c r="EY12" s="507">
        <f>IF(OR(ISNA(VLOOKUP($B12,'TICH LUY'!$B$11:$BY$85,58,0)),$B12=""),"",VLOOKUP($B12,'TICH LUY'!$B$11:$BY$85,58,0))</f>
        <v>5.6</v>
      </c>
      <c r="EZ12" s="507">
        <f>IF(OR(ISNA(VLOOKUP($B12,'TICH LUY'!$B$11:$BY$85,59,0)),$B12=""),"",VLOOKUP($B12,'TICH LUY'!$B$11:$BY$85,59,0))</f>
        <v>6.4</v>
      </c>
      <c r="FA12" s="507">
        <f>IF(OR(ISNA(VLOOKUP($B12,'TICH LUY'!$B$11:$BY$85,60,0)),$B12=""),"",VLOOKUP($B12,'TICH LUY'!$B$11:$BY$85,60,0))</f>
        <v>5.9</v>
      </c>
      <c r="FB12" s="507" t="str">
        <f>IF(OR(ISNA(VLOOKUP($B12,'TICH LUY'!$B$11:$BY$85,61,0)),$B12=""),"",VLOOKUP($B12,'TICH LUY'!$B$11:$BY$85,61,0))</f>
        <v/>
      </c>
      <c r="FC12" s="507" t="str">
        <f>IF(OR(ISNA(VLOOKUP($B12,'TICH LUY'!$B$11:$BY$85,62,0)),$B12=""),"",VLOOKUP($B12,'TICH LUY'!$B$11:$BY$85,62,0))</f>
        <v/>
      </c>
      <c r="FD12" s="507">
        <f>IF(OR(ISNA(VLOOKUP($B12,'TICH LUY'!$B$11:$BY$85,63,0)),$B12=""),"",VLOOKUP($B12,'TICH LUY'!$B$11:$BY$85,63,0))</f>
        <v>6.1</v>
      </c>
      <c r="FE12" s="507">
        <f>IF(OR(ISNA(VLOOKUP($B12,'TICH LUY'!$B$11:$BY$85,64,0)),$B12=""),"",VLOOKUP($B12,'TICH LUY'!$B$11:$BY$85,64,0))</f>
        <v>4.2</v>
      </c>
      <c r="FF12" s="507">
        <f>IF(OR(ISNA(VLOOKUP($B12,'TICH LUY'!$B$11:$BY$85,65,0)),$B12=""),"",VLOOKUP($B12,'TICH LUY'!$B$11:$BY$85,65,0))</f>
        <v>5.5</v>
      </c>
      <c r="FG12" s="507" t="str">
        <f>IF(OR(ISNA(VLOOKUP($B12,'TICH LUY'!$B$11:$BY$85,66,0)),$B12=""),"",VLOOKUP($B12,'TICH LUY'!$B$11:$BY$85,66,0))</f>
        <v/>
      </c>
      <c r="FH12" s="507">
        <f>IF(OR(ISNA(VLOOKUP($B12,'TICH LUY'!$B$11:$BY$85,67,0)),$B12=""),"",VLOOKUP($B12,'TICH LUY'!$B$11:$BY$85,67,0))</f>
        <v>6</v>
      </c>
      <c r="FI12" s="507">
        <f>IF(OR(ISNA(VLOOKUP($B12,'TICH LUY'!$B$11:$BY$85,68,0)),$B12=""),"",VLOOKUP($B12,'TICH LUY'!$B$11:$BY$85,68,0))</f>
        <v>6.3</v>
      </c>
      <c r="FJ12" s="507">
        <f>IF(OR(ISNA(VLOOKUP($B12,'TICH LUY'!$B$11:$BY$85,69,0)),$B12=""),"",VLOOKUP($B12,'TICH LUY'!$B$11:$BY$85,69,0))</f>
        <v>5.8</v>
      </c>
      <c r="FK12" s="507" t="str">
        <f>IF(OR(ISNA(VLOOKUP($B12,'TICH LUY'!$B$11:$BY$85,70,0)),$B12=""),"",VLOOKUP($B12,'TICH LUY'!$B$11:$BY$85,70,0))</f>
        <v/>
      </c>
      <c r="FL12" s="507">
        <f>IF(OR(ISNA(VLOOKUP($B12,'TICH LUY'!$B$11:$BY$85,71,0)),$B12=""),"",VLOOKUP($B12,'TICH LUY'!$B$11:$BY$85,71,0))</f>
        <v>7.4</v>
      </c>
      <c r="FM12" s="507" t="str">
        <f>IF(OR(ISNA(VLOOKUP($B12,'TICH LUY'!$B$11:$BY$85,72,0)),$B12=""),"",VLOOKUP($B12,'TICH LUY'!$B$11:$BY$85,72,0))</f>
        <v/>
      </c>
      <c r="FN12" s="507" t="str">
        <f>IF(OR(ISNA(VLOOKUP($B12,'TICH LUY'!$B$11:$BY$85,73,0)),$B12=""),"",VLOOKUP($B12,'TICH LUY'!$B$11:$BY$85,73,0))</f>
        <v/>
      </c>
      <c r="FO12" s="507" t="str">
        <f>IF(OR(ISNA(VLOOKUP($B12,'TICH LUY'!$B$11:$BY$85,74,0)),$B12=""),"",VLOOKUP($B12,'TICH LUY'!$B$11:$BY$85,74,0))</f>
        <v/>
      </c>
      <c r="FP12" s="507">
        <f>IF(OR(ISNA(VLOOKUP($B12,'TICH LUY'!$B$11:$BY$85,75,0)),$B12=""),"",VLOOKUP($B12,'TICH LUY'!$B$11:$BY$85,75,0))</f>
        <v>5.6</v>
      </c>
      <c r="FQ12" s="529" t="str">
        <f>IF(OR(ISNA(VLOOKUP($B12,'TICH LUY'!$B$11:$BY$85,76,0)),$B12=""),"",VLOOKUP($B12,'TICH LUY'!$B$11:$BY$85,76,0))</f>
        <v/>
      </c>
      <c r="FR12" s="455">
        <f t="shared" ref="FR12:FR75" si="69">IF(EI12&lt;4,"",EI12)</f>
        <v>5</v>
      </c>
      <c r="FS12" s="456">
        <f t="shared" ref="FS12:FS75" si="70">IF(EJ12&lt;4,"",EJ12)</f>
        <v>6.1</v>
      </c>
      <c r="FT12" s="456" t="str">
        <f t="shared" ref="FT12:FT75" si="71">IF(EK12&lt;4,"",EK12)</f>
        <v/>
      </c>
      <c r="FU12" s="456">
        <f t="shared" ref="FU12:FU75" si="72">IF(EL12&lt;4,"",EL12)</f>
        <v>4.2</v>
      </c>
      <c r="FV12" s="456">
        <f t="shared" ref="FV12:FV75" si="73">IF(EM12&lt;4,"",EM12)</f>
        <v>4.2</v>
      </c>
      <c r="FW12" s="456">
        <f t="shared" ref="FW12:FW75" si="74">IF(EN12&lt;4,"",EN12)</f>
        <v>4</v>
      </c>
      <c r="FX12" s="456" t="str">
        <f t="shared" ref="FX12:FX75" si="75">IF(EO12&lt;4,"",EO12)</f>
        <v/>
      </c>
      <c r="FY12" s="456" t="str">
        <f t="shared" ref="FY12:FY75" si="76">IF(EP12&lt;4,"",EP12)</f>
        <v/>
      </c>
      <c r="FZ12" s="456" t="str">
        <f t="shared" ref="FZ12:FZ75" si="77">IF(EQ12&lt;4,"",EQ12)</f>
        <v/>
      </c>
      <c r="GA12" s="456">
        <f t="shared" ref="GA12:GA75" si="78">IF(ER12&lt;4,"",ER12)</f>
        <v>5</v>
      </c>
      <c r="GB12" s="459">
        <f t="shared" ref="GB12:GB75" si="79">IF(ES12&lt;4,"",ES12)</f>
        <v>7</v>
      </c>
      <c r="GC12" s="457">
        <f t="shared" si="23"/>
        <v>5.6</v>
      </c>
    </row>
    <row r="13" spans="1:202" s="221" customFormat="1" ht="15.75">
      <c r="A13" s="449">
        <f>IF(B13="","",SUBTOTAL(3,$B$11:B13))</f>
        <v>3</v>
      </c>
      <c r="B13" s="198" t="s">
        <v>2020</v>
      </c>
      <c r="C13" s="450" t="str">
        <f>IF($B13="","",VLOOKUP($B13,'DS LOP HKI'!$B$2:$F$2642,2,0))</f>
        <v>Nguyễn Chí</v>
      </c>
      <c r="D13" s="451" t="str">
        <f>IF($B13="","",VLOOKUP($B13,'DS LOP HKI'!$B$2:$F$2642,3,0))</f>
        <v>Bình</v>
      </c>
      <c r="E13" s="154"/>
      <c r="F13" s="152"/>
      <c r="G13" s="156">
        <v>5</v>
      </c>
      <c r="H13" s="181">
        <f>IF(OR($H$6="",$H$7=""),"",IF($B13="","",IF(ISNA(VLOOKUP($B13,'LT01'!$B$11:$R$75,13,FALSE)),"",IF(VLOOKUP($B13,'LT01'!$B$11:$R$75,13,FALSE)="","",VLOOKUP($B13,'LT01'!$B$11:$R$75,13,FALSE)))))</f>
        <v>2.9</v>
      </c>
      <c r="I13" s="182">
        <f>IF(OR($H$6="",$H$7=""),"",IF($B13="","",IF(ISNA(VLOOKUP($B13,'LT01'!$B$11:$R$75,14,FALSE)),"",VLOOKUP($B13,'LT01'!$B$11:$R$75,14,FALSE))))</f>
        <v>4.8</v>
      </c>
      <c r="J13" s="183"/>
      <c r="K13" s="182" t="str">
        <f>IF(OR($H$6="",$H$7=""),"",IF($B13="","",IF(ISNA(VLOOKUP($B13,'LT01'!$B$11:$R$75,17,FALSE)),"",VLOOKUP($B13,'LT01'!$B$11:$R$75,17,FALSE))))</f>
        <v/>
      </c>
      <c r="L13" s="185">
        <f>IF(OR($H$6="",$H$7=""),"",IF($B13="","",IF(ISNA(VLOOKUP($B13,'LT02'!$B$11:$R$75,13,FALSE)),"",IF(VLOOKUP($B13,'LT02'!$B$11:$R$75,13,FALSE)="","",VLOOKUP($B13,'LT02'!$B$11:$R$75,13,FALSE)))))</f>
        <v>6.8</v>
      </c>
      <c r="M13" s="182">
        <f>IF(OR($H$6="",$H$7=""),"",IF($B13="","",IF(ISNA(VLOOKUP($B13,'LT02'!$B$11:$R$75,14,FALSE)),"",VLOOKUP($B13,'LT02'!$B$11:$R$75,14,FALSE))))</f>
        <v>6.3</v>
      </c>
      <c r="N13" s="183"/>
      <c r="O13" s="182" t="str">
        <f>IF(OR($H$6="",$H$7=""),"",IF($B13="","",IF(ISNA(VLOOKUP($B13,'LT02'!$B$11:$R$75,17,FALSE)),"",VLOOKUP($B13,'LT02'!$B$11:$R$75,17,FALSE))))</f>
        <v/>
      </c>
      <c r="P13" s="185">
        <f>IF(OR($H$6="",$H$7=""),"",IF($B13="","",IF(ISNA(VLOOKUP($B13,'LT03'!$B$11:$R$75,13,FALSE)),"",IF(VLOOKUP($B13,'LT03'!$B$11:$R$75,13,FALSE)="","",VLOOKUP($B13,'LT03'!$B$11:$R$75,13,FALSE)))))</f>
        <v>3.5</v>
      </c>
      <c r="Q13" s="182">
        <f>IF(OR($H$6="",$H$7=""),"",IF($B13="","",IF(ISNA(VLOOKUP($B13,'LT03'!$B$11:$R$75,14,FALSE)),"",VLOOKUP($B13,'LT03'!$B$11:$R$75,14,FALSE))))</f>
        <v>4.3</v>
      </c>
      <c r="R13" s="183"/>
      <c r="S13" s="182" t="str">
        <f>IF(OR($H$6="",$H$7=""),"",IF($B13="","",IF(ISNA(VLOOKUP($B13,'LT03'!$B$11:$R$75,17,FALSE)),"",VLOOKUP($B13,'LT03'!$B$11:$R$75,17,FALSE))))</f>
        <v/>
      </c>
      <c r="T13" s="185">
        <f>IF(OR($H$6="",$H$7=""),"",IF($B13="","",IF(ISNA(VLOOKUP($B13,'LT04'!$B$11:$R$75,13,FALSE)),"",IF(VLOOKUP($B13,'LT04'!$B$11:$R$75,13,FALSE)="","",VLOOKUP($B13,'LT04'!$B$11:$R$75,13,FALSE)))))</f>
        <v>5</v>
      </c>
      <c r="U13" s="182">
        <f>IF(OR($H$6="",$H$7=""),"",IF($B13="","",IF(ISNA(VLOOKUP($B13,'LT04'!$B$11:$R$75,14,FALSE)),"",VLOOKUP($B13,'LT04'!$B$11:$R$75,14,FALSE))))</f>
        <v>5.2</v>
      </c>
      <c r="V13" s="183"/>
      <c r="W13" s="184" t="str">
        <f>IF(OR($H$6="",$H$7=""),"",IF($B13="","",IF(ISNA(VLOOKUP($B13,'LT04'!$B$11:$R$75,17,FALSE)),"",VLOOKUP($B13,'LT04'!$B$11:$R$75,17,FALSE))))</f>
        <v/>
      </c>
      <c r="X13" s="185">
        <f>IF(OR($H$6="",$H$7=""),"",IF($B13="","",IF(ISNA(VLOOKUP($B13,'LT05'!$B$11:$R$75,13,FALSE)),"",IF(VLOOKUP($B13,'LT05'!$B$11:$R$75,13,FALSE)="","",VLOOKUP($B13,'LT05'!$B$11:$R$75,13,FALSE)))))</f>
        <v>6.5</v>
      </c>
      <c r="Y13" s="182">
        <f>IF(OR($H$6="",$H$7=""),"",IF($B13="","",IF(ISNA(VLOOKUP($B13,'LT05'!$B$11:$R$75,14,FALSE)),"",VLOOKUP($B13,'LT05'!$B$11:$R$75,14,FALSE))))</f>
        <v>5.5</v>
      </c>
      <c r="Z13" s="183"/>
      <c r="AA13" s="182" t="str">
        <f>IF(OR($H$6="",$H$7=""),"",IF($B13="","",IF(ISNA(VLOOKUP($B13,'LT05'!$B$11:$R$75,17,FALSE)),"",VLOOKUP($B13,'LT05'!$B$11:$R$75,17,FALSE))))</f>
        <v/>
      </c>
      <c r="AB13" s="185">
        <f>IF(OR($H$6="",$H$7=""),"",IF($B13="","",IF(ISNA(VLOOKUP($B13,'LT06'!$B$11:$R$75,13,FALSE)),"",IF(VLOOKUP($B13,'LT06'!$B$11:$R$75,13,FALSE)="","",VLOOKUP($B13,'LT06'!$B$11:$R$75,13,FALSE)))))</f>
        <v>4</v>
      </c>
      <c r="AC13" s="182">
        <f>IF(OR($H$6="",$H$7=""),"",IF($B13="","",IF(ISNA(VLOOKUP($B13,'LT06'!$B$11:$R$75,14,FALSE)),"",VLOOKUP($B13,'LT06'!$B$11:$R$75,14,FALSE))))</f>
        <v>5</v>
      </c>
      <c r="AD13" s="183"/>
      <c r="AE13" s="182" t="str">
        <f>IF(OR($H$6="",$H$7=""),"",IF($B13="","",IF(ISNA(VLOOKUP($B13,'LT06'!$B$11:$R$75,17,FALSE)),"",VLOOKUP($B13,'LT06'!$B$11:$R$75,17,FALSE))))</f>
        <v/>
      </c>
      <c r="AF13" s="185" t="str">
        <f>IF(OR($H$6="",$H$7=""),"",IF($B13="","",IF(ISNA(VLOOKUP($B13,'LT07'!$B$11:$R$75,13,FALSE)),"",IF(VLOOKUP($B13,'LT07'!$B$11:$R$75,13,FALSE)="","",VLOOKUP($B13,'LT07'!$B$11:$R$75,13,FALSE)))))</f>
        <v/>
      </c>
      <c r="AG13" s="182" t="str">
        <f>IF(OR($H$6="",$H$7=""),"",IF($B13="","",IF(ISNA(VLOOKUP($B13,'LT07'!$B$11:$R$75,14,FALSE)),"",VLOOKUP($B13,'LT07'!$B$11:$R$75,14,FALSE))))</f>
        <v/>
      </c>
      <c r="AH13" s="183"/>
      <c r="AI13" s="182" t="str">
        <f>IF(OR($H$6="",$H$7=""),"",IF($B13="","",IF(ISNA(VLOOKUP($B13,'LT07'!$B$11:$R$75,17,FALSE)),"",VLOOKUP($B13,'LT07'!$B$11:$R$75,17,FALSE))))</f>
        <v/>
      </c>
      <c r="AJ13" s="185" t="str">
        <f>IF(OR($H$6="",$H$7=""),"",IF($B13="","",IF(ISNA(VLOOKUP($B13,'LT08'!$B$11:$R$75,13,FALSE)),"",IF(VLOOKUP($B13,'LT08'!$B$11:$R$75,13,FALSE)="","",VLOOKUP($B13,'LT08'!$B$11:$R$75,13,FALSE)))))</f>
        <v/>
      </c>
      <c r="AK13" s="182" t="str">
        <f>IF(OR($H$6="",$H$7=""),"",IF($B13="","",IF(ISNA(VLOOKUP($B13,'LT08'!$B$11:$R$75,14,FALSE)),"",VLOOKUP($B13,'LT08'!$B$11:$R$75,14,FALSE))))</f>
        <v/>
      </c>
      <c r="AL13" s="183"/>
      <c r="AM13" s="182" t="str">
        <f>IF(OR($H$6="",$H$7=""),"",IF($B13="","",IF(ISNA(VLOOKUP($B13,'LT08'!$B$11:$R$75,17,FALSE)),"",VLOOKUP($B13,'LT08'!$B$11:$R$75,17,FALSE))))</f>
        <v/>
      </c>
      <c r="AN13" s="185" t="str">
        <f>IF(OR($H$6="",$H$7=""),"",IF($B13="","",IF(ISNA(VLOOKUP($B13,'LT09'!$B$11:$R$75,13,FALSE)),"",IF(VLOOKUP($B13,'LT09'!$B$11:$R$75,13,FALSE)="","",VLOOKUP($B13,'LT09'!$B$11:$R$75,13,FALSE)))))</f>
        <v/>
      </c>
      <c r="AO13" s="182" t="str">
        <f>IF(OR($H$6="",$H$7=""),"",IF($B13="","",IF(ISNA(VLOOKUP($B13,'LT09'!$B$11:$R$75,14,FALSE)),"",VLOOKUP($B13,'LT09'!$B$11:$R$75,14,FALSE))))</f>
        <v/>
      </c>
      <c r="AP13" s="183"/>
      <c r="AQ13" s="182" t="str">
        <f>IF(OR($H$6="",$H$7=""),"",IF($B13="","",IF(ISNA(VLOOKUP($B13,'LT09'!$B$11:$R$75,17,FALSE)),"",VLOOKUP($B13,'LT09'!$B$11:$R$75,17,FALSE))))</f>
        <v/>
      </c>
      <c r="AR13" s="186"/>
      <c r="AS13" s="182">
        <f>IF(OR($H$6="",$H$7=""),"",IF($B13="","",IF(ISNA(VLOOKUP($B13,'TH01'!$B$11:$R$75,14,FALSE)),"",VLOOKUP($B13,'TH01'!$B$11:$R$75,14,FALSE))))</f>
        <v>5.3</v>
      </c>
      <c r="AT13" s="183"/>
      <c r="AU13" s="187"/>
      <c r="AV13" s="186"/>
      <c r="AW13" s="182">
        <f>IF(OR($H$6="",$H$7=""),"",IF($B13="","",IF(ISNA(VLOOKUP($B13,'TH02'!$B$11:$R$75,14,FALSE)),"",VLOOKUP($B13,'TH02'!$B$11:$R$75,14,FALSE))))</f>
        <v>6.3</v>
      </c>
      <c r="AX13" s="183"/>
      <c r="AY13" s="187"/>
      <c r="AZ13" s="54">
        <f t="shared" si="24"/>
        <v>5.33</v>
      </c>
      <c r="BA13" s="54" t="str">
        <f t="shared" si="0"/>
        <v/>
      </c>
      <c r="BB13" s="70">
        <v>51</v>
      </c>
      <c r="BC13" s="52" t="str">
        <f t="shared" si="25"/>
        <v>TBY</v>
      </c>
      <c r="BD13" s="52" t="str">
        <f t="shared" si="26"/>
        <v/>
      </c>
      <c r="BE13" s="52" t="str">
        <f t="shared" si="1"/>
        <v/>
      </c>
      <c r="BF13" s="149" t="str">
        <f t="shared" si="2"/>
        <v/>
      </c>
      <c r="BG13" s="52">
        <f t="shared" si="3"/>
        <v>18</v>
      </c>
      <c r="BH13" s="52">
        <f t="shared" si="27"/>
        <v>0</v>
      </c>
      <c r="BI13" s="52">
        <f t="shared" si="4"/>
        <v>18</v>
      </c>
      <c r="BJ13" s="52">
        <f t="shared" si="5"/>
        <v>0</v>
      </c>
      <c r="BK13" s="54">
        <f t="shared" si="6"/>
        <v>5.37</v>
      </c>
      <c r="BL13" s="54" t="str">
        <f t="shared" si="7"/>
        <v>Y</v>
      </c>
      <c r="BM13" s="54">
        <f t="shared" si="8"/>
        <v>5.37</v>
      </c>
      <c r="BN13" s="54" t="str">
        <f t="shared" si="9"/>
        <v>Y</v>
      </c>
      <c r="BO13" s="70"/>
      <c r="BP13" s="52">
        <f>IF(ISNA(VLOOKUP(B13,'TICH LUY'!B:D,2,0)),"",VLOOKUP(B13,'TICH LUY'!B:D,2,0)+BI13)</f>
        <v>50</v>
      </c>
      <c r="BQ13" s="52">
        <f>IF(ISNA(VLOOKUP(B13,'TICH LUY'!B:D,3,0)),"",VLOOKUP(B13,'TICH LUY'!B:D,3,0)+BJ13)</f>
        <v>7</v>
      </c>
      <c r="BR13" s="40">
        <f t="shared" si="10"/>
        <v>3</v>
      </c>
      <c r="BS13" s="452">
        <f t="shared" si="11"/>
        <v>2.9</v>
      </c>
      <c r="BT13" s="452">
        <f t="shared" si="12"/>
        <v>6.8</v>
      </c>
      <c r="BU13" s="452">
        <f t="shared" si="13"/>
        <v>3.5</v>
      </c>
      <c r="BV13" s="452">
        <f t="shared" si="14"/>
        <v>5</v>
      </c>
      <c r="BW13" s="452">
        <f t="shared" si="15"/>
        <v>6.5</v>
      </c>
      <c r="BX13" s="452">
        <f t="shared" si="16"/>
        <v>4</v>
      </c>
      <c r="BY13" s="452" t="str">
        <f t="shared" si="17"/>
        <v/>
      </c>
      <c r="BZ13" s="452" t="str">
        <f t="shared" si="28"/>
        <v/>
      </c>
      <c r="CA13" s="452" t="str">
        <f t="shared" si="29"/>
        <v/>
      </c>
      <c r="CB13" s="452">
        <f t="shared" si="30"/>
        <v>5.3</v>
      </c>
      <c r="CC13" s="452">
        <f t="shared" si="18"/>
        <v>6.3</v>
      </c>
      <c r="CD13" s="40">
        <f t="shared" si="31"/>
        <v>0</v>
      </c>
      <c r="CE13" s="453">
        <f t="shared" ref="CE13:CE63" si="80">I13</f>
        <v>4.8</v>
      </c>
      <c r="CF13" s="452">
        <f t="shared" si="32"/>
        <v>6.3</v>
      </c>
      <c r="CG13" s="452">
        <f t="shared" ref="CG13:CG63" si="81">Q13</f>
        <v>4.3</v>
      </c>
      <c r="CH13" s="452">
        <f t="shared" ref="CH13:CH63" si="82">U13</f>
        <v>5.2</v>
      </c>
      <c r="CI13" s="452">
        <f t="shared" ref="CI13:CI63" si="83">Y13</f>
        <v>5.5</v>
      </c>
      <c r="CJ13" s="452">
        <f t="shared" ref="CJ13:CJ63" si="84">AC13</f>
        <v>5</v>
      </c>
      <c r="CK13" s="452" t="str">
        <f t="shared" ref="CK13:CK63" si="85">AG13</f>
        <v/>
      </c>
      <c r="CL13" s="452" t="str">
        <f t="shared" si="33"/>
        <v/>
      </c>
      <c r="CM13" s="452" t="str">
        <f t="shared" si="34"/>
        <v/>
      </c>
      <c r="CN13" s="452">
        <f t="shared" si="35"/>
        <v>5.3</v>
      </c>
      <c r="CO13" s="452">
        <f t="shared" si="19"/>
        <v>6.3</v>
      </c>
      <c r="CP13" s="454">
        <f t="shared" si="36"/>
        <v>5.33</v>
      </c>
      <c r="CQ13" s="527">
        <f>IF(OR(ISNA(VLOOKUP($B13,'TICH LUY'!$B$11:$BY$85,54,0)),$B13=""),"",VLOOKUP($B13,'TICH LUY'!$B$11:$BY$85,54,0))</f>
        <v>4.3</v>
      </c>
      <c r="CR13" s="507">
        <f>IF(OR(ISNA(VLOOKUP($B13,'TICH LUY'!$B$11:$BY$85,55,0)),$B13=""),"",VLOOKUP($B13,'TICH LUY'!$B$11:$BY$85,55,0))</f>
        <v>4.5999999999999996</v>
      </c>
      <c r="CS13" s="507">
        <f>IF(OR(ISNA(VLOOKUP($B13,'TICH LUY'!$B$11:$BY$85,56,0)),$B13=""),"",VLOOKUP($B13,'TICH LUY'!$B$11:$BY$85,56,0))</f>
        <v>6</v>
      </c>
      <c r="CT13" s="507">
        <f>IF(OR(ISNA(VLOOKUP($B13,'TICH LUY'!$B$11:$BY$85,57,0)),$B13=""),"",VLOOKUP($B13,'TICH LUY'!$B$11:$BY$85,57,0))</f>
        <v>5.0999999999999996</v>
      </c>
      <c r="CU13" s="507">
        <f>IF(OR(ISNA(VLOOKUP($B13,'TICH LUY'!$B$11:$BY$85,58,0)),$B13=""),"",VLOOKUP($B13,'TICH LUY'!$B$11:$BY$85,58,0))</f>
        <v>5</v>
      </c>
      <c r="CV13" s="507">
        <f>IF(OR(ISNA(VLOOKUP($B13,'TICH LUY'!$B$11:$BY$85,59,0)),$B13=""),"",VLOOKUP($B13,'TICH LUY'!$B$11:$BY$85,59,0))</f>
        <v>6.4</v>
      </c>
      <c r="CW13" s="507">
        <f>IF(OR(ISNA(VLOOKUP($B13,'TICH LUY'!$B$11:$BY$85,60,0)),$B13=""),"",VLOOKUP($B13,'TICH LUY'!$B$11:$BY$85,60,0))</f>
        <v>6.1</v>
      </c>
      <c r="CX13" s="507" t="str">
        <f>IF(OR(ISNA(VLOOKUP($B13,'TICH LUY'!$B$11:$BY$85,61,0)),$B13=""),"",VLOOKUP($B13,'TICH LUY'!$B$11:$BY$85,61,0))</f>
        <v/>
      </c>
      <c r="CY13" s="507" t="str">
        <f>IF(OR(ISNA(VLOOKUP($B13,'TICH LUY'!$B$11:$BY$85,62,0)),$B13=""),"",VLOOKUP($B13,'TICH LUY'!$B$11:$BY$85,62,0))</f>
        <v/>
      </c>
      <c r="CZ13" s="507">
        <f>IF(OR(ISNA(VLOOKUP($B13,'TICH LUY'!$B$11:$BY$85,63,0)),$B13=""),"",VLOOKUP($B13,'TICH LUY'!$B$11:$BY$85,63,0))</f>
        <v>4.2</v>
      </c>
      <c r="DA13" s="507" t="str">
        <f>IF(OR(ISNA(VLOOKUP($B13,'TICH LUY'!$B$11:$BY$85,64,0)),$B13=""),"",VLOOKUP($B13,'TICH LUY'!$B$11:$BY$85,64,0))</f>
        <v/>
      </c>
      <c r="DB13" s="507" t="str">
        <f>IF(OR(ISNA(VLOOKUP($B13,'TICH LUY'!$B$11:$BY$85,65,0)),$B13=""),"",VLOOKUP($B13,'TICH LUY'!$B$11:$BY$85,65,0))</f>
        <v/>
      </c>
      <c r="DC13" s="507">
        <f>IF(OR(ISNA(VLOOKUP($B13,'TICH LUY'!$B$11:$BY$85,66,0)),$B13=""),"",VLOOKUP($B13,'TICH LUY'!$B$11:$BY$85,66,0))</f>
        <v>5.3</v>
      </c>
      <c r="DD13" s="507" t="str">
        <f>IF(OR(ISNA(VLOOKUP($B13,'TICH LUY'!$B$11:$BY$85,67,0)),$B13=""),"",VLOOKUP($B13,'TICH LUY'!$B$11:$BY$85,67,0))</f>
        <v/>
      </c>
      <c r="DE13" s="507">
        <f>IF(OR(ISNA(VLOOKUP($B13,'TICH LUY'!$B$11:$BY$85,68,0)),$B13=""),"",VLOOKUP($B13,'TICH LUY'!$B$11:$BY$85,68,0))</f>
        <v>5.7</v>
      </c>
      <c r="DF13" s="507">
        <f>IF(OR(ISNA(VLOOKUP($B13,'TICH LUY'!$B$11:$BY$85,69,0)),$B13=""),"",VLOOKUP($B13,'TICH LUY'!$B$11:$BY$85,69,0))</f>
        <v>6.1</v>
      </c>
      <c r="DG13" s="507" t="str">
        <f>IF(OR(ISNA(VLOOKUP($B13,'TICH LUY'!$B$11:$BY$85,70,0)),$B13=""),"",VLOOKUP($B13,'TICH LUY'!$B$11:$BY$85,70,0))</f>
        <v/>
      </c>
      <c r="DH13" s="507">
        <f>IF(OR(ISNA(VLOOKUP($B13,'TICH LUY'!$B$11:$BY$85,71,0)),$B13=""),"",VLOOKUP($B13,'TICH LUY'!$B$11:$BY$85,71,0))</f>
        <v>5.9</v>
      </c>
      <c r="DI13" s="507" t="str">
        <f>IF(OR(ISNA(VLOOKUP($B13,'TICH LUY'!$B$11:$BY$85,72,0)),$B13=""),"",VLOOKUP($B13,'TICH LUY'!$B$11:$BY$85,72,0))</f>
        <v/>
      </c>
      <c r="DJ13" s="507" t="str">
        <f>IF(OR(ISNA(VLOOKUP($B13,'TICH LUY'!$B$11:$BY$85,73,0)),$B13=""),"",VLOOKUP($B13,'TICH LUY'!$B$11:$BY$85,73,0))</f>
        <v/>
      </c>
      <c r="DK13" s="507" t="str">
        <f>IF(OR(ISNA(VLOOKUP($B13,'TICH LUY'!$B$11:$BY$85,74,0)),$B13=""),"",VLOOKUP($B13,'TICH LUY'!$B$11:$BY$85,74,0))</f>
        <v/>
      </c>
      <c r="DL13" s="507">
        <f>IF(OR(ISNA(VLOOKUP($B13,'TICH LUY'!$B$11:$BY$85,75,0)),$B13=""),"",VLOOKUP($B13,'TICH LUY'!$B$11:$BY$85,75,0))</f>
        <v>5</v>
      </c>
      <c r="DM13" s="529" t="str">
        <f>IF(OR(ISNA(VLOOKUP($B13,'TICH LUY'!$B$11:$BY$85,76,0)),$B13=""),"",VLOOKUP($B13,'TICH LUY'!$B$11:$BY$85,76,0))</f>
        <v/>
      </c>
      <c r="DN13" s="455">
        <f t="shared" si="37"/>
        <v>4.8</v>
      </c>
      <c r="DO13" s="456">
        <f t="shared" si="38"/>
        <v>6.3</v>
      </c>
      <c r="DP13" s="456">
        <f t="shared" si="39"/>
        <v>4.3</v>
      </c>
      <c r="DQ13" s="456">
        <f t="shared" si="40"/>
        <v>5.2</v>
      </c>
      <c r="DR13" s="456">
        <f t="shared" si="41"/>
        <v>5.5</v>
      </c>
      <c r="DS13" s="456">
        <f t="shared" si="42"/>
        <v>5</v>
      </c>
      <c r="DT13" s="456" t="str">
        <f t="shared" si="43"/>
        <v/>
      </c>
      <c r="DU13" s="456" t="str">
        <f t="shared" si="44"/>
        <v/>
      </c>
      <c r="DV13" s="456" t="str">
        <f t="shared" si="45"/>
        <v/>
      </c>
      <c r="DW13" s="456">
        <f t="shared" si="46"/>
        <v>5.3</v>
      </c>
      <c r="DX13" s="456">
        <f t="shared" si="47"/>
        <v>6.3</v>
      </c>
      <c r="DY13" s="457">
        <f t="shared" si="48"/>
        <v>5.37</v>
      </c>
      <c r="DZ13" s="453" t="str">
        <f t="shared" si="49"/>
        <v/>
      </c>
      <c r="EA13" s="452" t="str">
        <f t="shared" si="50"/>
        <v/>
      </c>
      <c r="EB13" s="452" t="str">
        <f t="shared" si="51"/>
        <v/>
      </c>
      <c r="EC13" s="452" t="str">
        <f t="shared" si="52"/>
        <v/>
      </c>
      <c r="ED13" s="452" t="str">
        <f t="shared" si="53"/>
        <v/>
      </c>
      <c r="EE13" s="452" t="str">
        <f t="shared" si="54"/>
        <v/>
      </c>
      <c r="EF13" s="452" t="str">
        <f t="shared" si="55"/>
        <v/>
      </c>
      <c r="EG13" s="452" t="str">
        <f t="shared" si="56"/>
        <v/>
      </c>
      <c r="EH13" s="452" t="str">
        <f t="shared" si="57"/>
        <v/>
      </c>
      <c r="EI13" s="453">
        <f t="shared" si="58"/>
        <v>4.8</v>
      </c>
      <c r="EJ13" s="452">
        <f t="shared" si="59"/>
        <v>6.3</v>
      </c>
      <c r="EK13" s="452">
        <f t="shared" si="60"/>
        <v>4.3</v>
      </c>
      <c r="EL13" s="452">
        <f t="shared" si="61"/>
        <v>5.2</v>
      </c>
      <c r="EM13" s="452">
        <f t="shared" si="62"/>
        <v>5.5</v>
      </c>
      <c r="EN13" s="452">
        <f t="shared" si="63"/>
        <v>5</v>
      </c>
      <c r="EO13" s="452" t="str">
        <f t="shared" si="64"/>
        <v/>
      </c>
      <c r="EP13" s="452" t="str">
        <f t="shared" si="65"/>
        <v/>
      </c>
      <c r="EQ13" s="452" t="str">
        <f t="shared" si="66"/>
        <v/>
      </c>
      <c r="ER13" s="452">
        <f t="shared" si="67"/>
        <v>5.3</v>
      </c>
      <c r="ES13" s="452">
        <f t="shared" si="21"/>
        <v>6.3</v>
      </c>
      <c r="ET13" s="458" t="str">
        <f t="shared" si="68"/>
        <v/>
      </c>
      <c r="EU13" s="527">
        <f>IF(OR(ISNA(VLOOKUP($B13,'TICH LUY'!$B$11:$BY$85,54,0)),$B13=""),"",VLOOKUP($B13,'TICH LUY'!$B$11:$BY$85,54,0))</f>
        <v>4.3</v>
      </c>
      <c r="EV13" s="507">
        <f>IF(OR(ISNA(VLOOKUP($B13,'TICH LUY'!$B$11:$BY$85,55,0)),$B13=""),"",VLOOKUP($B13,'TICH LUY'!$B$11:$BY$85,55,0))</f>
        <v>4.5999999999999996</v>
      </c>
      <c r="EW13" s="507">
        <f>IF(OR(ISNA(VLOOKUP($B13,'TICH LUY'!$B$11:$BY$85,56,0)),$B13=""),"",VLOOKUP($B13,'TICH LUY'!$B$11:$BY$85,56,0))</f>
        <v>6</v>
      </c>
      <c r="EX13" s="507">
        <f>IF(OR(ISNA(VLOOKUP($B13,'TICH LUY'!$B$11:$BY$85,57,0)),$B13=""),"",VLOOKUP($B13,'TICH LUY'!$B$11:$BY$85,57,0))</f>
        <v>5.0999999999999996</v>
      </c>
      <c r="EY13" s="507">
        <f>IF(OR(ISNA(VLOOKUP($B13,'TICH LUY'!$B$11:$BY$85,58,0)),$B13=""),"",VLOOKUP($B13,'TICH LUY'!$B$11:$BY$85,58,0))</f>
        <v>5</v>
      </c>
      <c r="EZ13" s="507">
        <f>IF(OR(ISNA(VLOOKUP($B13,'TICH LUY'!$B$11:$BY$85,59,0)),$B13=""),"",VLOOKUP($B13,'TICH LUY'!$B$11:$BY$85,59,0))</f>
        <v>6.4</v>
      </c>
      <c r="FA13" s="507">
        <f>IF(OR(ISNA(VLOOKUP($B13,'TICH LUY'!$B$11:$BY$85,60,0)),$B13=""),"",VLOOKUP($B13,'TICH LUY'!$B$11:$BY$85,60,0))</f>
        <v>6.1</v>
      </c>
      <c r="FB13" s="507" t="str">
        <f>IF(OR(ISNA(VLOOKUP($B13,'TICH LUY'!$B$11:$BY$85,61,0)),$B13=""),"",VLOOKUP($B13,'TICH LUY'!$B$11:$BY$85,61,0))</f>
        <v/>
      </c>
      <c r="FC13" s="507" t="str">
        <f>IF(OR(ISNA(VLOOKUP($B13,'TICH LUY'!$B$11:$BY$85,62,0)),$B13=""),"",VLOOKUP($B13,'TICH LUY'!$B$11:$BY$85,62,0))</f>
        <v/>
      </c>
      <c r="FD13" s="507">
        <f>IF(OR(ISNA(VLOOKUP($B13,'TICH LUY'!$B$11:$BY$85,63,0)),$B13=""),"",VLOOKUP($B13,'TICH LUY'!$B$11:$BY$85,63,0))</f>
        <v>4.2</v>
      </c>
      <c r="FE13" s="507" t="str">
        <f>IF(OR(ISNA(VLOOKUP($B13,'TICH LUY'!$B$11:$BY$85,64,0)),$B13=""),"",VLOOKUP($B13,'TICH LUY'!$B$11:$BY$85,64,0))</f>
        <v/>
      </c>
      <c r="FF13" s="507" t="str">
        <f>IF(OR(ISNA(VLOOKUP($B13,'TICH LUY'!$B$11:$BY$85,65,0)),$B13=""),"",VLOOKUP($B13,'TICH LUY'!$B$11:$BY$85,65,0))</f>
        <v/>
      </c>
      <c r="FG13" s="507">
        <f>IF(OR(ISNA(VLOOKUP($B13,'TICH LUY'!$B$11:$BY$85,66,0)),$B13=""),"",VLOOKUP($B13,'TICH LUY'!$B$11:$BY$85,66,0))</f>
        <v>5.3</v>
      </c>
      <c r="FH13" s="507" t="str">
        <f>IF(OR(ISNA(VLOOKUP($B13,'TICH LUY'!$B$11:$BY$85,67,0)),$B13=""),"",VLOOKUP($B13,'TICH LUY'!$B$11:$BY$85,67,0))</f>
        <v/>
      </c>
      <c r="FI13" s="507">
        <f>IF(OR(ISNA(VLOOKUP($B13,'TICH LUY'!$B$11:$BY$85,68,0)),$B13=""),"",VLOOKUP($B13,'TICH LUY'!$B$11:$BY$85,68,0))</f>
        <v>5.7</v>
      </c>
      <c r="FJ13" s="507">
        <f>IF(OR(ISNA(VLOOKUP($B13,'TICH LUY'!$B$11:$BY$85,69,0)),$B13=""),"",VLOOKUP($B13,'TICH LUY'!$B$11:$BY$85,69,0))</f>
        <v>6.1</v>
      </c>
      <c r="FK13" s="507" t="str">
        <f>IF(OR(ISNA(VLOOKUP($B13,'TICH LUY'!$B$11:$BY$85,70,0)),$B13=""),"",VLOOKUP($B13,'TICH LUY'!$B$11:$BY$85,70,0))</f>
        <v/>
      </c>
      <c r="FL13" s="507">
        <f>IF(OR(ISNA(VLOOKUP($B13,'TICH LUY'!$B$11:$BY$85,71,0)),$B13=""),"",VLOOKUP($B13,'TICH LUY'!$B$11:$BY$85,71,0))</f>
        <v>5.9</v>
      </c>
      <c r="FM13" s="507" t="str">
        <f>IF(OR(ISNA(VLOOKUP($B13,'TICH LUY'!$B$11:$BY$85,72,0)),$B13=""),"",VLOOKUP($B13,'TICH LUY'!$B$11:$BY$85,72,0))</f>
        <v/>
      </c>
      <c r="FN13" s="507" t="str">
        <f>IF(OR(ISNA(VLOOKUP($B13,'TICH LUY'!$B$11:$BY$85,73,0)),$B13=""),"",VLOOKUP($B13,'TICH LUY'!$B$11:$BY$85,73,0))</f>
        <v/>
      </c>
      <c r="FO13" s="507" t="str">
        <f>IF(OR(ISNA(VLOOKUP($B13,'TICH LUY'!$B$11:$BY$85,74,0)),$B13=""),"",VLOOKUP($B13,'TICH LUY'!$B$11:$BY$85,74,0))</f>
        <v/>
      </c>
      <c r="FP13" s="507">
        <f>IF(OR(ISNA(VLOOKUP($B13,'TICH LUY'!$B$11:$BY$85,75,0)),$B13=""),"",VLOOKUP($B13,'TICH LUY'!$B$11:$BY$85,75,0))</f>
        <v>5</v>
      </c>
      <c r="FQ13" s="529" t="str">
        <f>IF(OR(ISNA(VLOOKUP($B13,'TICH LUY'!$B$11:$BY$85,76,0)),$B13=""),"",VLOOKUP($B13,'TICH LUY'!$B$11:$BY$85,76,0))</f>
        <v/>
      </c>
      <c r="FR13" s="455">
        <f t="shared" si="69"/>
        <v>4.8</v>
      </c>
      <c r="FS13" s="456">
        <f t="shared" si="70"/>
        <v>6.3</v>
      </c>
      <c r="FT13" s="456">
        <f t="shared" si="71"/>
        <v>4.3</v>
      </c>
      <c r="FU13" s="456">
        <f t="shared" si="72"/>
        <v>5.2</v>
      </c>
      <c r="FV13" s="456">
        <f t="shared" si="73"/>
        <v>5.5</v>
      </c>
      <c r="FW13" s="456">
        <f t="shared" si="74"/>
        <v>5</v>
      </c>
      <c r="FX13" s="456" t="str">
        <f t="shared" si="75"/>
        <v/>
      </c>
      <c r="FY13" s="456" t="str">
        <f t="shared" si="76"/>
        <v/>
      </c>
      <c r="FZ13" s="456" t="str">
        <f t="shared" si="77"/>
        <v/>
      </c>
      <c r="GA13" s="456">
        <f t="shared" si="78"/>
        <v>5.3</v>
      </c>
      <c r="GB13" s="459">
        <f t="shared" si="79"/>
        <v>6.3</v>
      </c>
      <c r="GC13" s="457">
        <f t="shared" si="23"/>
        <v>5.37</v>
      </c>
    </row>
    <row r="14" spans="1:202" s="221" customFormat="1" ht="15.75">
      <c r="A14" s="449">
        <f>IF(B14="","",SUBTOTAL(3,$B$11:B14))</f>
        <v>4</v>
      </c>
      <c r="B14" s="198" t="s">
        <v>2023</v>
      </c>
      <c r="C14" s="450" t="str">
        <f>IF($B14="","",VLOOKUP($B14,'DS LOP HKI'!$B$2:$F$2642,2,0))</f>
        <v>Trần Văn</v>
      </c>
      <c r="D14" s="451" t="str">
        <f>IF($B14="","",VLOOKUP($B14,'DS LOP HKI'!$B$2:$F$2642,3,0))</f>
        <v>Chinh</v>
      </c>
      <c r="E14" s="154"/>
      <c r="F14" s="152">
        <v>1</v>
      </c>
      <c r="G14" s="156">
        <v>2</v>
      </c>
      <c r="H14" s="181">
        <f>IF(OR($H$6="",$H$7=""),"",IF($B14="","",IF(ISNA(VLOOKUP($B14,'LT01'!$B$11:$R$75,13,FALSE)),"",IF(VLOOKUP($B14,'LT01'!$B$11:$R$75,13,FALSE)="","",VLOOKUP($B14,'LT01'!$B$11:$R$75,13,FALSE)))))</f>
        <v>3.8</v>
      </c>
      <c r="I14" s="182">
        <f>IF(OR($H$6="",$H$7=""),"",IF($B14="","",IF(ISNA(VLOOKUP($B14,'LT01'!$B$11:$R$75,14,FALSE)),"",VLOOKUP($B14,'LT01'!$B$11:$R$75,14,FALSE))))</f>
        <v>4.9000000000000004</v>
      </c>
      <c r="J14" s="183"/>
      <c r="K14" s="182" t="str">
        <f>IF(OR($H$6="",$H$7=""),"",IF($B14="","",IF(ISNA(VLOOKUP($B14,'LT01'!$B$11:$R$75,17,FALSE)),"",VLOOKUP($B14,'LT01'!$B$11:$R$75,17,FALSE))))</f>
        <v/>
      </c>
      <c r="L14" s="185">
        <f>IF(OR($H$6="",$H$7=""),"",IF($B14="","",IF(ISNA(VLOOKUP($B14,'LT02'!$B$11:$R$75,13,FALSE)),"",IF(VLOOKUP($B14,'LT02'!$B$11:$R$75,13,FALSE)="","",VLOOKUP($B14,'LT02'!$B$11:$R$75,13,FALSE)))))</f>
        <v>8</v>
      </c>
      <c r="M14" s="182">
        <f>IF(OR($H$6="",$H$7=""),"",IF($B14="","",IF(ISNA(VLOOKUP($B14,'LT02'!$B$11:$R$75,14,FALSE)),"",VLOOKUP($B14,'LT02'!$B$11:$R$75,14,FALSE))))</f>
        <v>7.3</v>
      </c>
      <c r="N14" s="183"/>
      <c r="O14" s="182" t="str">
        <f>IF(OR($H$6="",$H$7=""),"",IF($B14="","",IF(ISNA(VLOOKUP($B14,'LT02'!$B$11:$R$75,17,FALSE)),"",VLOOKUP($B14,'LT02'!$B$11:$R$75,17,FALSE))))</f>
        <v/>
      </c>
      <c r="P14" s="185">
        <f>IF(OR($H$6="",$H$7=""),"",IF($B14="","",IF(ISNA(VLOOKUP($B14,'LT03'!$B$11:$R$75,13,FALSE)),"",IF(VLOOKUP($B14,'LT03'!$B$11:$R$75,13,FALSE)="","",VLOOKUP($B14,'LT03'!$B$11:$R$75,13,FALSE)))))</f>
        <v>4.4000000000000004</v>
      </c>
      <c r="Q14" s="182">
        <f>IF(OR($H$6="",$H$7=""),"",IF($B14="","",IF(ISNA(VLOOKUP($B14,'LT03'!$B$11:$R$75,14,FALSE)),"",VLOOKUP($B14,'LT03'!$B$11:$R$75,14,FALSE))))</f>
        <v>4.8</v>
      </c>
      <c r="R14" s="183"/>
      <c r="S14" s="182" t="str">
        <f>IF(OR($H$6="",$H$7=""),"",IF($B14="","",IF(ISNA(VLOOKUP($B14,'LT03'!$B$11:$R$75,17,FALSE)),"",VLOOKUP($B14,'LT03'!$B$11:$R$75,17,FALSE))))</f>
        <v/>
      </c>
      <c r="T14" s="185">
        <f>IF(OR($H$6="",$H$7=""),"",IF($B14="","",IF(ISNA(VLOOKUP($B14,'LT04'!$B$11:$R$75,13,FALSE)),"",IF(VLOOKUP($B14,'LT04'!$B$11:$R$75,13,FALSE)="","",VLOOKUP($B14,'LT04'!$B$11:$R$75,13,FALSE)))))</f>
        <v>5</v>
      </c>
      <c r="U14" s="182">
        <f>IF(OR($H$6="",$H$7=""),"",IF($B14="","",IF(ISNA(VLOOKUP($B14,'LT04'!$B$11:$R$75,14,FALSE)),"",VLOOKUP($B14,'LT04'!$B$11:$R$75,14,FALSE))))</f>
        <v>4.9000000000000004</v>
      </c>
      <c r="V14" s="183"/>
      <c r="W14" s="184" t="str">
        <f>IF(OR($H$6="",$H$7=""),"",IF($B14="","",IF(ISNA(VLOOKUP($B14,'LT04'!$B$11:$R$75,17,FALSE)),"",VLOOKUP($B14,'LT04'!$B$11:$R$75,17,FALSE))))</f>
        <v/>
      </c>
      <c r="X14" s="185">
        <f>IF(OR($H$6="",$H$7=""),"",IF($B14="","",IF(ISNA(VLOOKUP($B14,'LT05'!$B$11:$R$75,13,FALSE)),"",IF(VLOOKUP($B14,'LT05'!$B$11:$R$75,13,FALSE)="","",VLOOKUP($B14,'LT05'!$B$11:$R$75,13,FALSE)))))</f>
        <v>6</v>
      </c>
      <c r="Y14" s="182">
        <f>IF(OR($H$6="",$H$7=""),"",IF($B14="","",IF(ISNA(VLOOKUP($B14,'LT05'!$B$11:$R$75,14,FALSE)),"",VLOOKUP($B14,'LT05'!$B$11:$R$75,14,FALSE))))</f>
        <v>5.5</v>
      </c>
      <c r="Z14" s="183"/>
      <c r="AA14" s="182" t="str">
        <f>IF(OR($H$6="",$H$7=""),"",IF($B14="","",IF(ISNA(VLOOKUP($B14,'LT05'!$B$11:$R$75,17,FALSE)),"",VLOOKUP($B14,'LT05'!$B$11:$R$75,17,FALSE))))</f>
        <v/>
      </c>
      <c r="AB14" s="185">
        <f>IF(OR($H$6="",$H$7=""),"",IF($B14="","",IF(ISNA(VLOOKUP($B14,'LT06'!$B$11:$R$75,13,FALSE)),"",IF(VLOOKUP($B14,'LT06'!$B$11:$R$75,13,FALSE)="","",VLOOKUP($B14,'LT06'!$B$11:$R$75,13,FALSE)))))</f>
        <v>4.5</v>
      </c>
      <c r="AC14" s="182">
        <f>IF(OR($H$6="",$H$7=""),"",IF($B14="","",IF(ISNA(VLOOKUP($B14,'LT06'!$B$11:$R$75,14,FALSE)),"",VLOOKUP($B14,'LT06'!$B$11:$R$75,14,FALSE))))</f>
        <v>4.4000000000000004</v>
      </c>
      <c r="AD14" s="183"/>
      <c r="AE14" s="182" t="str">
        <f>IF(OR($H$6="",$H$7=""),"",IF($B14="","",IF(ISNA(VLOOKUP($B14,'LT06'!$B$11:$R$75,17,FALSE)),"",VLOOKUP($B14,'LT06'!$B$11:$R$75,17,FALSE))))</f>
        <v/>
      </c>
      <c r="AF14" s="185" t="str">
        <f>IF(OR($H$6="",$H$7=""),"",IF($B14="","",IF(ISNA(VLOOKUP($B14,'LT07'!$B$11:$R$75,13,FALSE)),"",IF(VLOOKUP($B14,'LT07'!$B$11:$R$75,13,FALSE)="","",VLOOKUP($B14,'LT07'!$B$11:$R$75,13,FALSE)))))</f>
        <v/>
      </c>
      <c r="AG14" s="182" t="str">
        <f>IF(OR($H$6="",$H$7=""),"",IF($B14="","",IF(ISNA(VLOOKUP($B14,'LT07'!$B$11:$R$75,14,FALSE)),"",VLOOKUP($B14,'LT07'!$B$11:$R$75,14,FALSE))))</f>
        <v/>
      </c>
      <c r="AH14" s="183"/>
      <c r="AI14" s="182" t="str">
        <f>IF(OR($H$6="",$H$7=""),"",IF($B14="","",IF(ISNA(VLOOKUP($B14,'LT07'!$B$11:$R$75,17,FALSE)),"",VLOOKUP($B14,'LT07'!$B$11:$R$75,17,FALSE))))</f>
        <v/>
      </c>
      <c r="AJ14" s="185" t="str">
        <f>IF(OR($H$6="",$H$7=""),"",IF($B14="","",IF(ISNA(VLOOKUP($B14,'LT08'!$B$11:$R$75,13,FALSE)),"",IF(VLOOKUP($B14,'LT08'!$B$11:$R$75,13,FALSE)="","",VLOOKUP($B14,'LT08'!$B$11:$R$75,13,FALSE)))))</f>
        <v/>
      </c>
      <c r="AK14" s="182" t="str">
        <f>IF(OR($H$6="",$H$7=""),"",IF($B14="","",IF(ISNA(VLOOKUP($B14,'LT08'!$B$11:$R$75,14,FALSE)),"",VLOOKUP($B14,'LT08'!$B$11:$R$75,14,FALSE))))</f>
        <v/>
      </c>
      <c r="AL14" s="183"/>
      <c r="AM14" s="182" t="str">
        <f>IF(OR($H$6="",$H$7=""),"",IF($B14="","",IF(ISNA(VLOOKUP($B14,'LT08'!$B$11:$R$75,17,FALSE)),"",VLOOKUP($B14,'LT08'!$B$11:$R$75,17,FALSE))))</f>
        <v/>
      </c>
      <c r="AN14" s="185" t="str">
        <f>IF(OR($H$6="",$H$7=""),"",IF($B14="","",IF(ISNA(VLOOKUP($B14,'LT09'!$B$11:$R$75,13,FALSE)),"",IF(VLOOKUP($B14,'LT09'!$B$11:$R$75,13,FALSE)="","",VLOOKUP($B14,'LT09'!$B$11:$R$75,13,FALSE)))))</f>
        <v/>
      </c>
      <c r="AO14" s="182" t="str">
        <f>IF(OR($H$6="",$H$7=""),"",IF($B14="","",IF(ISNA(VLOOKUP($B14,'LT09'!$B$11:$R$75,14,FALSE)),"",VLOOKUP($B14,'LT09'!$B$11:$R$75,14,FALSE))))</f>
        <v/>
      </c>
      <c r="AP14" s="183"/>
      <c r="AQ14" s="182" t="str">
        <f>IF(OR($H$6="",$H$7=""),"",IF($B14="","",IF(ISNA(VLOOKUP($B14,'LT09'!$B$11:$R$75,17,FALSE)),"",VLOOKUP($B14,'LT09'!$B$11:$R$75,17,FALSE))))</f>
        <v/>
      </c>
      <c r="AR14" s="186"/>
      <c r="AS14" s="182">
        <f>IF(OR($H$6="",$H$7=""),"",IF($B14="","",IF(ISNA(VLOOKUP($B14,'TH01'!$B$11:$R$75,14,FALSE)),"",VLOOKUP($B14,'TH01'!$B$11:$R$75,14,FALSE))))</f>
        <v>6.5</v>
      </c>
      <c r="AT14" s="183"/>
      <c r="AU14" s="187"/>
      <c r="AV14" s="186"/>
      <c r="AW14" s="182">
        <f>IF(OR($H$6="",$H$7=""),"",IF($B14="","",IF(ISNA(VLOOKUP($B14,'TH02'!$B$11:$R$75,14,FALSE)),"",VLOOKUP($B14,'TH02'!$B$11:$R$75,14,FALSE))))</f>
        <v>6.5</v>
      </c>
      <c r="AX14" s="183"/>
      <c r="AY14" s="187"/>
      <c r="AZ14" s="54">
        <f t="shared" si="24"/>
        <v>5.65</v>
      </c>
      <c r="BA14" s="54" t="str">
        <f t="shared" si="0"/>
        <v/>
      </c>
      <c r="BB14" s="70">
        <v>50</v>
      </c>
      <c r="BC14" s="52" t="str">
        <f t="shared" si="25"/>
        <v>TB</v>
      </c>
      <c r="BD14" s="52" t="str">
        <f t="shared" si="26"/>
        <v/>
      </c>
      <c r="BE14" s="52" t="str">
        <f t="shared" si="1"/>
        <v/>
      </c>
      <c r="BF14" s="149" t="str">
        <f t="shared" si="2"/>
        <v/>
      </c>
      <c r="BG14" s="52">
        <f t="shared" si="3"/>
        <v>18</v>
      </c>
      <c r="BH14" s="52">
        <f t="shared" si="27"/>
        <v>0</v>
      </c>
      <c r="BI14" s="52">
        <f t="shared" si="4"/>
        <v>18</v>
      </c>
      <c r="BJ14" s="52">
        <f t="shared" si="5"/>
        <v>0</v>
      </c>
      <c r="BK14" s="54">
        <f t="shared" si="6"/>
        <v>5.82</v>
      </c>
      <c r="BL14" s="54" t="str">
        <f t="shared" si="7"/>
        <v>BT</v>
      </c>
      <c r="BM14" s="54">
        <f t="shared" si="8"/>
        <v>5.82</v>
      </c>
      <c r="BN14" s="54" t="str">
        <f t="shared" si="9"/>
        <v>BT</v>
      </c>
      <c r="BO14" s="70"/>
      <c r="BP14" s="52">
        <f>IF(ISNA(VLOOKUP(B14,'TICH LUY'!B:D,2,0)),"",VLOOKUP(B14,'TICH LUY'!B:D,2,0)+BI14)</f>
        <v>55</v>
      </c>
      <c r="BQ14" s="52">
        <f>IF(ISNA(VLOOKUP(B14,'TICH LUY'!B:D,3,0)),"",VLOOKUP(B14,'TICH LUY'!B:D,3,0)+BJ14)</f>
        <v>2</v>
      </c>
      <c r="BR14" s="40">
        <f t="shared" si="10"/>
        <v>3</v>
      </c>
      <c r="BS14" s="452">
        <f t="shared" si="11"/>
        <v>3.8</v>
      </c>
      <c r="BT14" s="452">
        <f t="shared" si="12"/>
        <v>8</v>
      </c>
      <c r="BU14" s="452">
        <f t="shared" si="13"/>
        <v>4.4000000000000004</v>
      </c>
      <c r="BV14" s="452">
        <f t="shared" si="14"/>
        <v>5</v>
      </c>
      <c r="BW14" s="452">
        <f t="shared" si="15"/>
        <v>6</v>
      </c>
      <c r="BX14" s="452">
        <f t="shared" si="16"/>
        <v>4.5</v>
      </c>
      <c r="BY14" s="452" t="str">
        <f t="shared" si="17"/>
        <v/>
      </c>
      <c r="BZ14" s="452" t="str">
        <f t="shared" si="28"/>
        <v/>
      </c>
      <c r="CA14" s="452" t="str">
        <f t="shared" si="29"/>
        <v/>
      </c>
      <c r="CB14" s="452">
        <f t="shared" si="30"/>
        <v>6.5</v>
      </c>
      <c r="CC14" s="452">
        <f t="shared" si="18"/>
        <v>6.5</v>
      </c>
      <c r="CD14" s="40">
        <f t="shared" si="31"/>
        <v>0</v>
      </c>
      <c r="CE14" s="453">
        <f t="shared" si="80"/>
        <v>4.9000000000000004</v>
      </c>
      <c r="CF14" s="452">
        <f t="shared" si="32"/>
        <v>7.3</v>
      </c>
      <c r="CG14" s="452">
        <f t="shared" si="81"/>
        <v>4.8</v>
      </c>
      <c r="CH14" s="452">
        <f t="shared" si="82"/>
        <v>4.9000000000000004</v>
      </c>
      <c r="CI14" s="452">
        <f t="shared" si="83"/>
        <v>5.5</v>
      </c>
      <c r="CJ14" s="452">
        <f t="shared" si="84"/>
        <v>4.4000000000000004</v>
      </c>
      <c r="CK14" s="452" t="str">
        <f t="shared" si="85"/>
        <v/>
      </c>
      <c r="CL14" s="452" t="str">
        <f t="shared" si="33"/>
        <v/>
      </c>
      <c r="CM14" s="452" t="str">
        <f t="shared" si="34"/>
        <v/>
      </c>
      <c r="CN14" s="452">
        <f t="shared" si="35"/>
        <v>6.5</v>
      </c>
      <c r="CO14" s="452">
        <f t="shared" si="19"/>
        <v>6.5</v>
      </c>
      <c r="CP14" s="454">
        <f t="shared" si="36"/>
        <v>5.65</v>
      </c>
      <c r="CQ14" s="527">
        <f>IF(OR(ISNA(VLOOKUP($B14,'TICH LUY'!$B$11:$BY$85,54,0)),$B14=""),"",VLOOKUP($B14,'TICH LUY'!$B$11:$BY$85,54,0))</f>
        <v>5.5</v>
      </c>
      <c r="CR14" s="507">
        <f>IF(OR(ISNA(VLOOKUP($B14,'TICH LUY'!$B$11:$BY$85,55,0)),$B14=""),"",VLOOKUP($B14,'TICH LUY'!$B$11:$BY$85,55,0))</f>
        <v>6.4</v>
      </c>
      <c r="CS14" s="507">
        <f>IF(OR(ISNA(VLOOKUP($B14,'TICH LUY'!$B$11:$BY$85,56,0)),$B14=""),"",VLOOKUP($B14,'TICH LUY'!$B$11:$BY$85,56,0))</f>
        <v>6</v>
      </c>
      <c r="CT14" s="507">
        <f>IF(OR(ISNA(VLOOKUP($B14,'TICH LUY'!$B$11:$BY$85,57,0)),$B14=""),"",VLOOKUP($B14,'TICH LUY'!$B$11:$BY$85,57,0))</f>
        <v>5.8</v>
      </c>
      <c r="CU14" s="507">
        <f>IF(OR(ISNA(VLOOKUP($B14,'TICH LUY'!$B$11:$BY$85,58,0)),$B14=""),"",VLOOKUP($B14,'TICH LUY'!$B$11:$BY$85,58,0))</f>
        <v>5.4</v>
      </c>
      <c r="CV14" s="507">
        <f>IF(OR(ISNA(VLOOKUP($B14,'TICH LUY'!$B$11:$BY$85,59,0)),$B14=""),"",VLOOKUP($B14,'TICH LUY'!$B$11:$BY$85,59,0))</f>
        <v>6.5</v>
      </c>
      <c r="CW14" s="507">
        <f>IF(OR(ISNA(VLOOKUP($B14,'TICH LUY'!$B$11:$BY$85,60,0)),$B14=""),"",VLOOKUP($B14,'TICH LUY'!$B$11:$BY$85,60,0))</f>
        <v>5.7</v>
      </c>
      <c r="CX14" s="507" t="str">
        <f>IF(OR(ISNA(VLOOKUP($B14,'TICH LUY'!$B$11:$BY$85,61,0)),$B14=""),"",VLOOKUP($B14,'TICH LUY'!$B$11:$BY$85,61,0))</f>
        <v/>
      </c>
      <c r="CY14" s="507" t="str">
        <f>IF(OR(ISNA(VLOOKUP($B14,'TICH LUY'!$B$11:$BY$85,62,0)),$B14=""),"",VLOOKUP($B14,'TICH LUY'!$B$11:$BY$85,62,0))</f>
        <v/>
      </c>
      <c r="CZ14" s="507">
        <f>IF(OR(ISNA(VLOOKUP($B14,'TICH LUY'!$B$11:$BY$85,63,0)),$B14=""),"",VLOOKUP($B14,'TICH LUY'!$B$11:$BY$85,63,0))</f>
        <v>5.6</v>
      </c>
      <c r="DA14" s="507">
        <f>IF(OR(ISNA(VLOOKUP($B14,'TICH LUY'!$B$11:$BY$85,64,0)),$B14=""),"",VLOOKUP($B14,'TICH LUY'!$B$11:$BY$85,64,0))</f>
        <v>4.8</v>
      </c>
      <c r="DB14" s="507" t="str">
        <f>IF(OR(ISNA(VLOOKUP($B14,'TICH LUY'!$B$11:$BY$85,65,0)),$B14=""),"",VLOOKUP($B14,'TICH LUY'!$B$11:$BY$85,65,0))</f>
        <v/>
      </c>
      <c r="DC14" s="507">
        <f>IF(OR(ISNA(VLOOKUP($B14,'TICH LUY'!$B$11:$BY$85,66,0)),$B14=""),"",VLOOKUP($B14,'TICH LUY'!$B$11:$BY$85,66,0))</f>
        <v>6</v>
      </c>
      <c r="DD14" s="507">
        <f>IF(OR(ISNA(VLOOKUP($B14,'TICH LUY'!$B$11:$BY$85,67,0)),$B14=""),"",VLOOKUP($B14,'TICH LUY'!$B$11:$BY$85,67,0))</f>
        <v>5.4</v>
      </c>
      <c r="DE14" s="507">
        <f>IF(OR(ISNA(VLOOKUP($B14,'TICH LUY'!$B$11:$BY$85,68,0)),$B14=""),"",VLOOKUP($B14,'TICH LUY'!$B$11:$BY$85,68,0))</f>
        <v>6.8</v>
      </c>
      <c r="DF14" s="507">
        <f>IF(OR(ISNA(VLOOKUP($B14,'TICH LUY'!$B$11:$BY$85,69,0)),$B14=""),"",VLOOKUP($B14,'TICH LUY'!$B$11:$BY$85,69,0))</f>
        <v>6.9</v>
      </c>
      <c r="DG14" s="507" t="str">
        <f>IF(OR(ISNA(VLOOKUP($B14,'TICH LUY'!$B$11:$BY$85,70,0)),$B14=""),"",VLOOKUP($B14,'TICH LUY'!$B$11:$BY$85,70,0))</f>
        <v/>
      </c>
      <c r="DH14" s="507">
        <f>IF(OR(ISNA(VLOOKUP($B14,'TICH LUY'!$B$11:$BY$85,71,0)),$B14=""),"",VLOOKUP($B14,'TICH LUY'!$B$11:$BY$85,71,0))</f>
        <v>6</v>
      </c>
      <c r="DI14" s="507" t="str">
        <f>IF(OR(ISNA(VLOOKUP($B14,'TICH LUY'!$B$11:$BY$85,72,0)),$B14=""),"",VLOOKUP($B14,'TICH LUY'!$B$11:$BY$85,72,0))</f>
        <v/>
      </c>
      <c r="DJ14" s="507" t="str">
        <f>IF(OR(ISNA(VLOOKUP($B14,'TICH LUY'!$B$11:$BY$85,73,0)),$B14=""),"",VLOOKUP($B14,'TICH LUY'!$B$11:$BY$85,73,0))</f>
        <v/>
      </c>
      <c r="DK14" s="507" t="str">
        <f>IF(OR(ISNA(VLOOKUP($B14,'TICH LUY'!$B$11:$BY$85,74,0)),$B14=""),"",VLOOKUP($B14,'TICH LUY'!$B$11:$BY$85,74,0))</f>
        <v/>
      </c>
      <c r="DL14" s="507">
        <f>IF(OR(ISNA(VLOOKUP($B14,'TICH LUY'!$B$11:$BY$85,75,0)),$B14=""),"",VLOOKUP($B14,'TICH LUY'!$B$11:$BY$85,75,0))</f>
        <v>5.7</v>
      </c>
      <c r="DM14" s="529" t="str">
        <f>IF(OR(ISNA(VLOOKUP($B14,'TICH LUY'!$B$11:$BY$85,76,0)),$B14=""),"",VLOOKUP($B14,'TICH LUY'!$B$11:$BY$85,76,0))</f>
        <v/>
      </c>
      <c r="DN14" s="455">
        <f t="shared" si="37"/>
        <v>4.9000000000000004</v>
      </c>
      <c r="DO14" s="456">
        <f t="shared" si="38"/>
        <v>7.3</v>
      </c>
      <c r="DP14" s="456">
        <f t="shared" si="39"/>
        <v>4.8</v>
      </c>
      <c r="DQ14" s="456">
        <f t="shared" si="40"/>
        <v>4.9000000000000004</v>
      </c>
      <c r="DR14" s="456">
        <f t="shared" si="41"/>
        <v>5.5</v>
      </c>
      <c r="DS14" s="456">
        <f t="shared" si="42"/>
        <v>4.4000000000000004</v>
      </c>
      <c r="DT14" s="456" t="str">
        <f t="shared" si="43"/>
        <v/>
      </c>
      <c r="DU14" s="456" t="str">
        <f t="shared" si="44"/>
        <v/>
      </c>
      <c r="DV14" s="456" t="str">
        <f t="shared" si="45"/>
        <v/>
      </c>
      <c r="DW14" s="456">
        <f t="shared" si="46"/>
        <v>6.5</v>
      </c>
      <c r="DX14" s="456">
        <f t="shared" si="47"/>
        <v>6.5</v>
      </c>
      <c r="DY14" s="457">
        <f t="shared" si="48"/>
        <v>5.82</v>
      </c>
      <c r="DZ14" s="453" t="str">
        <f t="shared" si="49"/>
        <v/>
      </c>
      <c r="EA14" s="452" t="str">
        <f t="shared" si="50"/>
        <v/>
      </c>
      <c r="EB14" s="452" t="str">
        <f t="shared" si="51"/>
        <v/>
      </c>
      <c r="EC14" s="452" t="str">
        <f t="shared" si="52"/>
        <v/>
      </c>
      <c r="ED14" s="452" t="str">
        <f t="shared" si="53"/>
        <v/>
      </c>
      <c r="EE14" s="452" t="str">
        <f t="shared" si="54"/>
        <v/>
      </c>
      <c r="EF14" s="452" t="str">
        <f t="shared" si="55"/>
        <v/>
      </c>
      <c r="EG14" s="452" t="str">
        <f t="shared" si="56"/>
        <v/>
      </c>
      <c r="EH14" s="452" t="str">
        <f t="shared" si="57"/>
        <v/>
      </c>
      <c r="EI14" s="453">
        <f t="shared" si="58"/>
        <v>4.9000000000000004</v>
      </c>
      <c r="EJ14" s="452">
        <f t="shared" si="59"/>
        <v>7.3</v>
      </c>
      <c r="EK14" s="452">
        <f t="shared" si="60"/>
        <v>4.8</v>
      </c>
      <c r="EL14" s="452">
        <f t="shared" si="61"/>
        <v>4.9000000000000004</v>
      </c>
      <c r="EM14" s="452">
        <f t="shared" si="62"/>
        <v>5.5</v>
      </c>
      <c r="EN14" s="452">
        <f t="shared" si="63"/>
        <v>4.4000000000000004</v>
      </c>
      <c r="EO14" s="452" t="str">
        <f t="shared" si="64"/>
        <v/>
      </c>
      <c r="EP14" s="452" t="str">
        <f t="shared" si="65"/>
        <v/>
      </c>
      <c r="EQ14" s="452" t="str">
        <f t="shared" si="66"/>
        <v/>
      </c>
      <c r="ER14" s="452">
        <f t="shared" si="67"/>
        <v>6.5</v>
      </c>
      <c r="ES14" s="452">
        <f t="shared" si="21"/>
        <v>6.5</v>
      </c>
      <c r="ET14" s="458" t="str">
        <f t="shared" si="68"/>
        <v/>
      </c>
      <c r="EU14" s="527">
        <f>IF(OR(ISNA(VLOOKUP($B14,'TICH LUY'!$B$11:$BY$85,54,0)),$B14=""),"",VLOOKUP($B14,'TICH LUY'!$B$11:$BY$85,54,0))</f>
        <v>5.5</v>
      </c>
      <c r="EV14" s="507">
        <f>IF(OR(ISNA(VLOOKUP($B14,'TICH LUY'!$B$11:$BY$85,55,0)),$B14=""),"",VLOOKUP($B14,'TICH LUY'!$B$11:$BY$85,55,0))</f>
        <v>6.4</v>
      </c>
      <c r="EW14" s="507">
        <f>IF(OR(ISNA(VLOOKUP($B14,'TICH LUY'!$B$11:$BY$85,56,0)),$B14=""),"",VLOOKUP($B14,'TICH LUY'!$B$11:$BY$85,56,0))</f>
        <v>6</v>
      </c>
      <c r="EX14" s="507">
        <f>IF(OR(ISNA(VLOOKUP($B14,'TICH LUY'!$B$11:$BY$85,57,0)),$B14=""),"",VLOOKUP($B14,'TICH LUY'!$B$11:$BY$85,57,0))</f>
        <v>5.8</v>
      </c>
      <c r="EY14" s="507">
        <f>IF(OR(ISNA(VLOOKUP($B14,'TICH LUY'!$B$11:$BY$85,58,0)),$B14=""),"",VLOOKUP($B14,'TICH LUY'!$B$11:$BY$85,58,0))</f>
        <v>5.4</v>
      </c>
      <c r="EZ14" s="507">
        <f>IF(OR(ISNA(VLOOKUP($B14,'TICH LUY'!$B$11:$BY$85,59,0)),$B14=""),"",VLOOKUP($B14,'TICH LUY'!$B$11:$BY$85,59,0))</f>
        <v>6.5</v>
      </c>
      <c r="FA14" s="507">
        <f>IF(OR(ISNA(VLOOKUP($B14,'TICH LUY'!$B$11:$BY$85,60,0)),$B14=""),"",VLOOKUP($B14,'TICH LUY'!$B$11:$BY$85,60,0))</f>
        <v>5.7</v>
      </c>
      <c r="FB14" s="507" t="str">
        <f>IF(OR(ISNA(VLOOKUP($B14,'TICH LUY'!$B$11:$BY$85,61,0)),$B14=""),"",VLOOKUP($B14,'TICH LUY'!$B$11:$BY$85,61,0))</f>
        <v/>
      </c>
      <c r="FC14" s="507" t="str">
        <f>IF(OR(ISNA(VLOOKUP($B14,'TICH LUY'!$B$11:$BY$85,62,0)),$B14=""),"",VLOOKUP($B14,'TICH LUY'!$B$11:$BY$85,62,0))</f>
        <v/>
      </c>
      <c r="FD14" s="507">
        <f>IF(OR(ISNA(VLOOKUP($B14,'TICH LUY'!$B$11:$BY$85,63,0)),$B14=""),"",VLOOKUP($B14,'TICH LUY'!$B$11:$BY$85,63,0))</f>
        <v>5.6</v>
      </c>
      <c r="FE14" s="507">
        <f>IF(OR(ISNA(VLOOKUP($B14,'TICH LUY'!$B$11:$BY$85,64,0)),$B14=""),"",VLOOKUP($B14,'TICH LUY'!$B$11:$BY$85,64,0))</f>
        <v>4.8</v>
      </c>
      <c r="FF14" s="507" t="str">
        <f>IF(OR(ISNA(VLOOKUP($B14,'TICH LUY'!$B$11:$BY$85,65,0)),$B14=""),"",VLOOKUP($B14,'TICH LUY'!$B$11:$BY$85,65,0))</f>
        <v/>
      </c>
      <c r="FG14" s="507">
        <f>IF(OR(ISNA(VLOOKUP($B14,'TICH LUY'!$B$11:$BY$85,66,0)),$B14=""),"",VLOOKUP($B14,'TICH LUY'!$B$11:$BY$85,66,0))</f>
        <v>6</v>
      </c>
      <c r="FH14" s="507">
        <f>IF(OR(ISNA(VLOOKUP($B14,'TICH LUY'!$B$11:$BY$85,67,0)),$B14=""),"",VLOOKUP($B14,'TICH LUY'!$B$11:$BY$85,67,0))</f>
        <v>5.4</v>
      </c>
      <c r="FI14" s="507">
        <f>IF(OR(ISNA(VLOOKUP($B14,'TICH LUY'!$B$11:$BY$85,68,0)),$B14=""),"",VLOOKUP($B14,'TICH LUY'!$B$11:$BY$85,68,0))</f>
        <v>6.8</v>
      </c>
      <c r="FJ14" s="507">
        <f>IF(OR(ISNA(VLOOKUP($B14,'TICH LUY'!$B$11:$BY$85,69,0)),$B14=""),"",VLOOKUP($B14,'TICH LUY'!$B$11:$BY$85,69,0))</f>
        <v>6.9</v>
      </c>
      <c r="FK14" s="507" t="str">
        <f>IF(OR(ISNA(VLOOKUP($B14,'TICH LUY'!$B$11:$BY$85,70,0)),$B14=""),"",VLOOKUP($B14,'TICH LUY'!$B$11:$BY$85,70,0))</f>
        <v/>
      </c>
      <c r="FL14" s="507">
        <f>IF(OR(ISNA(VLOOKUP($B14,'TICH LUY'!$B$11:$BY$85,71,0)),$B14=""),"",VLOOKUP($B14,'TICH LUY'!$B$11:$BY$85,71,0))</f>
        <v>6</v>
      </c>
      <c r="FM14" s="507" t="str">
        <f>IF(OR(ISNA(VLOOKUP($B14,'TICH LUY'!$B$11:$BY$85,72,0)),$B14=""),"",VLOOKUP($B14,'TICH LUY'!$B$11:$BY$85,72,0))</f>
        <v/>
      </c>
      <c r="FN14" s="507" t="str">
        <f>IF(OR(ISNA(VLOOKUP($B14,'TICH LUY'!$B$11:$BY$85,73,0)),$B14=""),"",VLOOKUP($B14,'TICH LUY'!$B$11:$BY$85,73,0))</f>
        <v/>
      </c>
      <c r="FO14" s="507" t="str">
        <f>IF(OR(ISNA(VLOOKUP($B14,'TICH LUY'!$B$11:$BY$85,74,0)),$B14=""),"",VLOOKUP($B14,'TICH LUY'!$B$11:$BY$85,74,0))</f>
        <v/>
      </c>
      <c r="FP14" s="507">
        <f>IF(OR(ISNA(VLOOKUP($B14,'TICH LUY'!$B$11:$BY$85,75,0)),$B14=""),"",VLOOKUP($B14,'TICH LUY'!$B$11:$BY$85,75,0))</f>
        <v>5.7</v>
      </c>
      <c r="FQ14" s="529" t="str">
        <f>IF(OR(ISNA(VLOOKUP($B14,'TICH LUY'!$B$11:$BY$85,76,0)),$B14=""),"",VLOOKUP($B14,'TICH LUY'!$B$11:$BY$85,76,0))</f>
        <v/>
      </c>
      <c r="FR14" s="455">
        <f t="shared" si="69"/>
        <v>4.9000000000000004</v>
      </c>
      <c r="FS14" s="456">
        <f t="shared" si="70"/>
        <v>7.3</v>
      </c>
      <c r="FT14" s="456">
        <f t="shared" si="71"/>
        <v>4.8</v>
      </c>
      <c r="FU14" s="456">
        <f t="shared" si="72"/>
        <v>4.9000000000000004</v>
      </c>
      <c r="FV14" s="456">
        <f t="shared" si="73"/>
        <v>5.5</v>
      </c>
      <c r="FW14" s="456">
        <f t="shared" si="74"/>
        <v>4.4000000000000004</v>
      </c>
      <c r="FX14" s="456" t="str">
        <f t="shared" si="75"/>
        <v/>
      </c>
      <c r="FY14" s="456" t="str">
        <f t="shared" si="76"/>
        <v/>
      </c>
      <c r="FZ14" s="456" t="str">
        <f t="shared" si="77"/>
        <v/>
      </c>
      <c r="GA14" s="456">
        <f t="shared" si="78"/>
        <v>6.5</v>
      </c>
      <c r="GB14" s="459">
        <f t="shared" si="79"/>
        <v>6.5</v>
      </c>
      <c r="GC14" s="457">
        <f t="shared" si="23"/>
        <v>5.82</v>
      </c>
    </row>
    <row r="15" spans="1:202" s="221" customFormat="1" ht="15.75">
      <c r="A15" s="449">
        <f>IF(B15="","",SUBTOTAL(3,$B$11:B15))</f>
        <v>5</v>
      </c>
      <c r="B15" s="198" t="s">
        <v>2025</v>
      </c>
      <c r="C15" s="450" t="str">
        <f>IF($B15="","",VLOOKUP($B15,'DS LOP HKI'!$B$2:$F$2642,2,0))</f>
        <v>Nguyễn Chí</v>
      </c>
      <c r="D15" s="451" t="str">
        <f>IF($B15="","",VLOOKUP($B15,'DS LOP HKI'!$B$2:$F$2642,3,0))</f>
        <v>Cường</v>
      </c>
      <c r="E15" s="154"/>
      <c r="F15" s="152"/>
      <c r="G15" s="156">
        <v>2</v>
      </c>
      <c r="H15" s="181">
        <f>IF(OR($H$6="",$H$7=""),"",IF($B15="","",IF(ISNA(VLOOKUP($B15,'LT01'!$B$11:$R$75,13,FALSE)),"",IF(VLOOKUP($B15,'LT01'!$B$11:$R$75,13,FALSE)="","",VLOOKUP($B15,'LT01'!$B$11:$R$75,13,FALSE)))))</f>
        <v>3.9</v>
      </c>
      <c r="I15" s="182">
        <f>IF(OR($H$6="",$H$7=""),"",IF($B15="","",IF(ISNA(VLOOKUP($B15,'LT01'!$B$11:$R$75,14,FALSE)),"",VLOOKUP($B15,'LT01'!$B$11:$R$75,14,FALSE))))</f>
        <v>4.5999999999999996</v>
      </c>
      <c r="J15" s="183"/>
      <c r="K15" s="182" t="str">
        <f>IF(OR($H$6="",$H$7=""),"",IF($B15="","",IF(ISNA(VLOOKUP($B15,'LT01'!$B$11:$R$75,17,FALSE)),"",VLOOKUP($B15,'LT01'!$B$11:$R$75,17,FALSE))))</f>
        <v/>
      </c>
      <c r="L15" s="185">
        <f>IF(OR($H$6="",$H$7=""),"",IF($B15="","",IF(ISNA(VLOOKUP($B15,'LT02'!$B$11:$R$75,13,FALSE)),"",IF(VLOOKUP($B15,'LT02'!$B$11:$R$75,13,FALSE)="","",VLOOKUP($B15,'LT02'!$B$11:$R$75,13,FALSE)))))</f>
        <v>7</v>
      </c>
      <c r="M15" s="182">
        <f>IF(OR($H$6="",$H$7=""),"",IF($B15="","",IF(ISNA(VLOOKUP($B15,'LT02'!$B$11:$R$75,14,FALSE)),"",VLOOKUP($B15,'LT02'!$B$11:$R$75,14,FALSE))))</f>
        <v>6.2</v>
      </c>
      <c r="N15" s="183"/>
      <c r="O15" s="182" t="str">
        <f>IF(OR($H$6="",$H$7=""),"",IF($B15="","",IF(ISNA(VLOOKUP($B15,'LT02'!$B$11:$R$75,17,FALSE)),"",VLOOKUP($B15,'LT02'!$B$11:$R$75,17,FALSE))))</f>
        <v/>
      </c>
      <c r="P15" s="185">
        <f>IF(OR($H$6="",$H$7=""),"",IF($B15="","",IF(ISNA(VLOOKUP($B15,'LT03'!$B$11:$R$75,13,FALSE)),"",IF(VLOOKUP($B15,'LT03'!$B$11:$R$75,13,FALSE)="","",VLOOKUP($B15,'LT03'!$B$11:$R$75,13,FALSE)))))</f>
        <v>3.1</v>
      </c>
      <c r="Q15" s="182">
        <f>IF(OR($H$6="",$H$7=""),"",IF($B15="","",IF(ISNA(VLOOKUP($B15,'LT03'!$B$11:$R$75,14,FALSE)),"",VLOOKUP($B15,'LT03'!$B$11:$R$75,14,FALSE))))</f>
        <v>4.7</v>
      </c>
      <c r="R15" s="183"/>
      <c r="S15" s="182" t="str">
        <f>IF(OR($H$6="",$H$7=""),"",IF($B15="","",IF(ISNA(VLOOKUP($B15,'LT03'!$B$11:$R$75,17,FALSE)),"",VLOOKUP($B15,'LT03'!$B$11:$R$75,17,FALSE))))</f>
        <v/>
      </c>
      <c r="T15" s="185">
        <f>IF(OR($H$6="",$H$7=""),"",IF($B15="","",IF(ISNA(VLOOKUP($B15,'LT04'!$B$11:$R$75,13,FALSE)),"",IF(VLOOKUP($B15,'LT04'!$B$11:$R$75,13,FALSE)="","",VLOOKUP($B15,'LT04'!$B$11:$R$75,13,FALSE)))))</f>
        <v>2.5</v>
      </c>
      <c r="U15" s="182">
        <f>IF(OR($H$6="",$H$7=""),"",IF($B15="","",IF(ISNA(VLOOKUP($B15,'LT04'!$B$11:$R$75,14,FALSE)),"",VLOOKUP($B15,'LT04'!$B$11:$R$75,14,FALSE))))</f>
        <v>3.8</v>
      </c>
      <c r="V15" s="183"/>
      <c r="W15" s="184" t="str">
        <f>IF(OR($H$6="",$H$7=""),"",IF($B15="","",IF(ISNA(VLOOKUP($B15,'LT04'!$B$11:$R$75,17,FALSE)),"",VLOOKUP($B15,'LT04'!$B$11:$R$75,17,FALSE))))</f>
        <v/>
      </c>
      <c r="X15" s="185">
        <f>IF(OR($H$6="",$H$7=""),"",IF($B15="","",IF(ISNA(VLOOKUP($B15,'LT05'!$B$11:$R$75,13,FALSE)),"",IF(VLOOKUP($B15,'LT05'!$B$11:$R$75,13,FALSE)="","",VLOOKUP($B15,'LT05'!$B$11:$R$75,13,FALSE)))))</f>
        <v>7.5</v>
      </c>
      <c r="Y15" s="182">
        <f>IF(OR($H$6="",$H$7=""),"",IF($B15="","",IF(ISNA(VLOOKUP($B15,'LT05'!$B$11:$R$75,14,FALSE)),"",VLOOKUP($B15,'LT05'!$B$11:$R$75,14,FALSE))))</f>
        <v>5.5</v>
      </c>
      <c r="Z15" s="183"/>
      <c r="AA15" s="182" t="str">
        <f>IF(OR($H$6="",$H$7=""),"",IF($B15="","",IF(ISNA(VLOOKUP($B15,'LT05'!$B$11:$R$75,17,FALSE)),"",VLOOKUP($B15,'LT05'!$B$11:$R$75,17,FALSE))))</f>
        <v/>
      </c>
      <c r="AB15" s="185">
        <f>IF(OR($H$6="",$H$7=""),"",IF($B15="","",IF(ISNA(VLOOKUP($B15,'LT06'!$B$11:$R$75,13,FALSE)),"",IF(VLOOKUP($B15,'LT06'!$B$11:$R$75,13,FALSE)="","",VLOOKUP($B15,'LT06'!$B$11:$R$75,13,FALSE)))))</f>
        <v>0</v>
      </c>
      <c r="AC15" s="182">
        <f>IF(OR($H$6="",$H$7=""),"",IF($B15="","",IF(ISNA(VLOOKUP($B15,'LT06'!$B$11:$R$75,14,FALSE)),"",VLOOKUP($B15,'LT06'!$B$11:$R$75,14,FALSE))))</f>
        <v>2.4</v>
      </c>
      <c r="AD15" s="183"/>
      <c r="AE15" s="182" t="str">
        <f>IF(OR($H$6="",$H$7=""),"",IF($B15="","",IF(ISNA(VLOOKUP($B15,'LT06'!$B$11:$R$75,17,FALSE)),"",VLOOKUP($B15,'LT06'!$B$11:$R$75,17,FALSE))))</f>
        <v/>
      </c>
      <c r="AF15" s="185" t="str">
        <f>IF(OR($H$6="",$H$7=""),"",IF($B15="","",IF(ISNA(VLOOKUP($B15,'LT07'!$B$11:$R$75,13,FALSE)),"",IF(VLOOKUP($B15,'LT07'!$B$11:$R$75,13,FALSE)="","",VLOOKUP($B15,'LT07'!$B$11:$R$75,13,FALSE)))))</f>
        <v/>
      </c>
      <c r="AG15" s="182" t="str">
        <f>IF(OR($H$6="",$H$7=""),"",IF($B15="","",IF(ISNA(VLOOKUP($B15,'LT07'!$B$11:$R$75,14,FALSE)),"",VLOOKUP($B15,'LT07'!$B$11:$R$75,14,FALSE))))</f>
        <v/>
      </c>
      <c r="AH15" s="183"/>
      <c r="AI15" s="182" t="str">
        <f>IF(OR($H$6="",$H$7=""),"",IF($B15="","",IF(ISNA(VLOOKUP($B15,'LT07'!$B$11:$R$75,17,FALSE)),"",VLOOKUP($B15,'LT07'!$B$11:$R$75,17,FALSE))))</f>
        <v/>
      </c>
      <c r="AJ15" s="185" t="str">
        <f>IF(OR($H$6="",$H$7=""),"",IF($B15="","",IF(ISNA(VLOOKUP($B15,'LT08'!$B$11:$R$75,13,FALSE)),"",IF(VLOOKUP($B15,'LT08'!$B$11:$R$75,13,FALSE)="","",VLOOKUP($B15,'LT08'!$B$11:$R$75,13,FALSE)))))</f>
        <v/>
      </c>
      <c r="AK15" s="182" t="str">
        <f>IF(OR($H$6="",$H$7=""),"",IF($B15="","",IF(ISNA(VLOOKUP($B15,'LT08'!$B$11:$R$75,14,FALSE)),"",VLOOKUP($B15,'LT08'!$B$11:$R$75,14,FALSE))))</f>
        <v/>
      </c>
      <c r="AL15" s="183"/>
      <c r="AM15" s="182" t="str">
        <f>IF(OR($H$6="",$H$7=""),"",IF($B15="","",IF(ISNA(VLOOKUP($B15,'LT08'!$B$11:$R$75,17,FALSE)),"",VLOOKUP($B15,'LT08'!$B$11:$R$75,17,FALSE))))</f>
        <v/>
      </c>
      <c r="AN15" s="185" t="str">
        <f>IF(OR($H$6="",$H$7=""),"",IF($B15="","",IF(ISNA(VLOOKUP($B15,'LT09'!$B$11:$R$75,13,FALSE)),"",IF(VLOOKUP($B15,'LT09'!$B$11:$R$75,13,FALSE)="","",VLOOKUP($B15,'LT09'!$B$11:$R$75,13,FALSE)))))</f>
        <v/>
      </c>
      <c r="AO15" s="182" t="str">
        <f>IF(OR($H$6="",$H$7=""),"",IF($B15="","",IF(ISNA(VLOOKUP($B15,'LT09'!$B$11:$R$75,14,FALSE)),"",VLOOKUP($B15,'LT09'!$B$11:$R$75,14,FALSE))))</f>
        <v/>
      </c>
      <c r="AP15" s="183"/>
      <c r="AQ15" s="182" t="str">
        <f>IF(OR($H$6="",$H$7=""),"",IF($B15="","",IF(ISNA(VLOOKUP($B15,'LT09'!$B$11:$R$75,17,FALSE)),"",VLOOKUP($B15,'LT09'!$B$11:$R$75,17,FALSE))))</f>
        <v/>
      </c>
      <c r="AR15" s="186"/>
      <c r="AS15" s="182">
        <f>IF(OR($H$6="",$H$7=""),"",IF($B15="","",IF(ISNA(VLOOKUP($B15,'TH01'!$B$11:$R$75,14,FALSE)),"",VLOOKUP($B15,'TH01'!$B$11:$R$75,14,FALSE))))</f>
        <v>5.5</v>
      </c>
      <c r="AT15" s="183"/>
      <c r="AU15" s="187"/>
      <c r="AV15" s="186"/>
      <c r="AW15" s="182">
        <f>IF(OR($H$6="",$H$7=""),"",IF($B15="","",IF(ISNA(VLOOKUP($B15,'TH02'!$B$11:$R$75,14,FALSE)),"",VLOOKUP($B15,'TH02'!$B$11:$R$75,14,FALSE))))</f>
        <v>5.8</v>
      </c>
      <c r="AX15" s="183"/>
      <c r="AY15" s="187"/>
      <c r="AZ15" s="54">
        <f t="shared" si="24"/>
        <v>4.88</v>
      </c>
      <c r="BA15" s="54" t="str">
        <f t="shared" si="0"/>
        <v/>
      </c>
      <c r="BB15" s="70">
        <v>50</v>
      </c>
      <c r="BC15" s="52" t="str">
        <f t="shared" si="25"/>
        <v>TBY</v>
      </c>
      <c r="BD15" s="52" t="str">
        <f t="shared" si="26"/>
        <v/>
      </c>
      <c r="BE15" s="52" t="str">
        <f t="shared" si="1"/>
        <v/>
      </c>
      <c r="BF15" s="149" t="str">
        <f t="shared" si="2"/>
        <v/>
      </c>
      <c r="BG15" s="52">
        <f t="shared" si="3"/>
        <v>14</v>
      </c>
      <c r="BH15" s="52">
        <f t="shared" si="27"/>
        <v>4</v>
      </c>
      <c r="BI15" s="52">
        <f t="shared" si="4"/>
        <v>14</v>
      </c>
      <c r="BJ15" s="52">
        <f t="shared" si="5"/>
        <v>4</v>
      </c>
      <c r="BK15" s="54">
        <f t="shared" si="6"/>
        <v>5.91</v>
      </c>
      <c r="BL15" s="54" t="str">
        <f t="shared" si="7"/>
        <v>BT</v>
      </c>
      <c r="BM15" s="54">
        <f t="shared" si="8"/>
        <v>5.91</v>
      </c>
      <c r="BN15" s="54" t="str">
        <f t="shared" si="9"/>
        <v>BT</v>
      </c>
      <c r="BO15" s="70"/>
      <c r="BP15" s="52">
        <f>IF(ISNA(VLOOKUP(B15,'TICH LUY'!B:D,2,0)),"",VLOOKUP(B15,'TICH LUY'!B:D,2,0)+BI15)</f>
        <v>53</v>
      </c>
      <c r="BQ15" s="52">
        <f>IF(ISNA(VLOOKUP(B15,'TICH LUY'!B:D,3,0)),"",VLOOKUP(B15,'TICH LUY'!B:D,3,0)+BJ15)</f>
        <v>4</v>
      </c>
      <c r="BR15" s="40">
        <f t="shared" si="10"/>
        <v>4</v>
      </c>
      <c r="BS15" s="452">
        <f t="shared" si="11"/>
        <v>3.9</v>
      </c>
      <c r="BT15" s="452">
        <f t="shared" si="12"/>
        <v>7</v>
      </c>
      <c r="BU15" s="452">
        <f t="shared" si="13"/>
        <v>3.1</v>
      </c>
      <c r="BV15" s="452">
        <f t="shared" si="14"/>
        <v>2.5</v>
      </c>
      <c r="BW15" s="452">
        <f t="shared" si="15"/>
        <v>7.5</v>
      </c>
      <c r="BX15" s="452">
        <f t="shared" si="16"/>
        <v>0</v>
      </c>
      <c r="BY15" s="452" t="str">
        <f t="shared" si="17"/>
        <v/>
      </c>
      <c r="BZ15" s="452" t="str">
        <f t="shared" si="28"/>
        <v/>
      </c>
      <c r="CA15" s="452" t="str">
        <f t="shared" si="29"/>
        <v/>
      </c>
      <c r="CB15" s="452">
        <f t="shared" si="30"/>
        <v>5.5</v>
      </c>
      <c r="CC15" s="452">
        <f t="shared" si="18"/>
        <v>5.8</v>
      </c>
      <c r="CD15" s="40">
        <f t="shared" si="31"/>
        <v>2</v>
      </c>
      <c r="CE15" s="453">
        <f t="shared" si="80"/>
        <v>4.5999999999999996</v>
      </c>
      <c r="CF15" s="452">
        <f t="shared" si="32"/>
        <v>6.2</v>
      </c>
      <c r="CG15" s="452">
        <f t="shared" si="81"/>
        <v>4.7</v>
      </c>
      <c r="CH15" s="452">
        <f t="shared" si="82"/>
        <v>3.8</v>
      </c>
      <c r="CI15" s="452">
        <f t="shared" si="83"/>
        <v>5.5</v>
      </c>
      <c r="CJ15" s="452">
        <f t="shared" si="84"/>
        <v>2.4</v>
      </c>
      <c r="CK15" s="452" t="str">
        <f t="shared" si="85"/>
        <v/>
      </c>
      <c r="CL15" s="452" t="str">
        <f t="shared" si="33"/>
        <v/>
      </c>
      <c r="CM15" s="452" t="str">
        <f t="shared" si="34"/>
        <v/>
      </c>
      <c r="CN15" s="452">
        <f t="shared" si="35"/>
        <v>5.5</v>
      </c>
      <c r="CO15" s="452">
        <f t="shared" si="19"/>
        <v>5.8</v>
      </c>
      <c r="CP15" s="454">
        <f t="shared" si="36"/>
        <v>4.88</v>
      </c>
      <c r="CQ15" s="527">
        <f>IF(OR(ISNA(VLOOKUP($B15,'TICH LUY'!$B$11:$BY$85,54,0)),$B15=""),"",VLOOKUP($B15,'TICH LUY'!$B$11:$BY$85,54,0))</f>
        <v>4.5999999999999996</v>
      </c>
      <c r="CR15" s="507">
        <f>IF(OR(ISNA(VLOOKUP($B15,'TICH LUY'!$B$11:$BY$85,55,0)),$B15=""),"",VLOOKUP($B15,'TICH LUY'!$B$11:$BY$85,55,0))</f>
        <v>6.5</v>
      </c>
      <c r="CS15" s="507">
        <f>IF(OR(ISNA(VLOOKUP($B15,'TICH LUY'!$B$11:$BY$85,56,0)),$B15=""),"",VLOOKUP($B15,'TICH LUY'!$B$11:$BY$85,56,0))</f>
        <v>5.6</v>
      </c>
      <c r="CT15" s="507">
        <f>IF(OR(ISNA(VLOOKUP($B15,'TICH LUY'!$B$11:$BY$85,57,0)),$B15=""),"",VLOOKUP($B15,'TICH LUY'!$B$11:$BY$85,57,0))</f>
        <v>6.9</v>
      </c>
      <c r="CU15" s="507">
        <f>IF(OR(ISNA(VLOOKUP($B15,'TICH LUY'!$B$11:$BY$85,58,0)),$B15=""),"",VLOOKUP($B15,'TICH LUY'!$B$11:$BY$85,58,0))</f>
        <v>5.8</v>
      </c>
      <c r="CV15" s="507">
        <f>IF(OR(ISNA(VLOOKUP($B15,'TICH LUY'!$B$11:$BY$85,59,0)),$B15=""),"",VLOOKUP($B15,'TICH LUY'!$B$11:$BY$85,59,0))</f>
        <v>5.9</v>
      </c>
      <c r="CW15" s="507">
        <f>IF(OR(ISNA(VLOOKUP($B15,'TICH LUY'!$B$11:$BY$85,60,0)),$B15=""),"",VLOOKUP($B15,'TICH LUY'!$B$11:$BY$85,60,0))</f>
        <v>5</v>
      </c>
      <c r="CX15" s="507" t="str">
        <f>IF(OR(ISNA(VLOOKUP($B15,'TICH LUY'!$B$11:$BY$85,61,0)),$B15=""),"",VLOOKUP($B15,'TICH LUY'!$B$11:$BY$85,61,0))</f>
        <v/>
      </c>
      <c r="CY15" s="507" t="str">
        <f>IF(OR(ISNA(VLOOKUP($B15,'TICH LUY'!$B$11:$BY$85,62,0)),$B15=""),"",VLOOKUP($B15,'TICH LUY'!$B$11:$BY$85,62,0))</f>
        <v/>
      </c>
      <c r="CZ15" s="507">
        <f>IF(OR(ISNA(VLOOKUP($B15,'TICH LUY'!$B$11:$BY$85,63,0)),$B15=""),"",VLOOKUP($B15,'TICH LUY'!$B$11:$BY$85,63,0))</f>
        <v>7.1</v>
      </c>
      <c r="DA15" s="507">
        <f>IF(OR(ISNA(VLOOKUP($B15,'TICH LUY'!$B$11:$BY$85,64,0)),$B15=""),"",VLOOKUP($B15,'TICH LUY'!$B$11:$BY$85,64,0))</f>
        <v>5.7</v>
      </c>
      <c r="DB15" s="507" t="str">
        <f>IF(OR(ISNA(VLOOKUP($B15,'TICH LUY'!$B$11:$BY$85,65,0)),$B15=""),"",VLOOKUP($B15,'TICH LUY'!$B$11:$BY$85,65,0))</f>
        <v/>
      </c>
      <c r="DC15" s="507">
        <f>IF(OR(ISNA(VLOOKUP($B15,'TICH LUY'!$B$11:$BY$85,66,0)),$B15=""),"",VLOOKUP($B15,'TICH LUY'!$B$11:$BY$85,66,0))</f>
        <v>6.8</v>
      </c>
      <c r="DD15" s="507">
        <f>IF(OR(ISNA(VLOOKUP($B15,'TICH LUY'!$B$11:$BY$85,67,0)),$B15=""),"",VLOOKUP($B15,'TICH LUY'!$B$11:$BY$85,67,0))</f>
        <v>6.1</v>
      </c>
      <c r="DE15" s="507">
        <f>IF(OR(ISNA(VLOOKUP($B15,'TICH LUY'!$B$11:$BY$85,68,0)),$B15=""),"",VLOOKUP($B15,'TICH LUY'!$B$11:$BY$85,68,0))</f>
        <v>7</v>
      </c>
      <c r="DF15" s="507">
        <f>IF(OR(ISNA(VLOOKUP($B15,'TICH LUY'!$B$11:$BY$85,69,0)),$B15=""),"",VLOOKUP($B15,'TICH LUY'!$B$11:$BY$85,69,0))</f>
        <v>7.4</v>
      </c>
      <c r="DG15" s="507">
        <f>IF(OR(ISNA(VLOOKUP($B15,'TICH LUY'!$B$11:$BY$85,70,0)),$B15=""),"",VLOOKUP($B15,'TICH LUY'!$B$11:$BY$85,70,0))</f>
        <v>5.3</v>
      </c>
      <c r="DH15" s="507">
        <f>IF(OR(ISNA(VLOOKUP($B15,'TICH LUY'!$B$11:$BY$85,71,0)),$B15=""),"",VLOOKUP($B15,'TICH LUY'!$B$11:$BY$85,71,0))</f>
        <v>7.3</v>
      </c>
      <c r="DI15" s="507" t="str">
        <f>IF(OR(ISNA(VLOOKUP($B15,'TICH LUY'!$B$11:$BY$85,72,0)),$B15=""),"",VLOOKUP($B15,'TICH LUY'!$B$11:$BY$85,72,0))</f>
        <v/>
      </c>
      <c r="DJ15" s="507" t="str">
        <f>IF(OR(ISNA(VLOOKUP($B15,'TICH LUY'!$B$11:$BY$85,73,0)),$B15=""),"",VLOOKUP($B15,'TICH LUY'!$B$11:$BY$85,73,0))</f>
        <v/>
      </c>
      <c r="DK15" s="507" t="str">
        <f>IF(OR(ISNA(VLOOKUP($B15,'TICH LUY'!$B$11:$BY$85,74,0)),$B15=""),"",VLOOKUP($B15,'TICH LUY'!$B$11:$BY$85,74,0))</f>
        <v/>
      </c>
      <c r="DL15" s="507">
        <f>IF(OR(ISNA(VLOOKUP($B15,'TICH LUY'!$B$11:$BY$85,75,0)),$B15=""),"",VLOOKUP($B15,'TICH LUY'!$B$11:$BY$85,75,0))</f>
        <v>5.8</v>
      </c>
      <c r="DM15" s="529" t="str">
        <f>IF(OR(ISNA(VLOOKUP($B15,'TICH LUY'!$B$11:$BY$85,76,0)),$B15=""),"",VLOOKUP($B15,'TICH LUY'!$B$11:$BY$85,76,0))</f>
        <v/>
      </c>
      <c r="DN15" s="455">
        <f t="shared" si="37"/>
        <v>4.5999999999999996</v>
      </c>
      <c r="DO15" s="456">
        <f t="shared" si="38"/>
        <v>6.2</v>
      </c>
      <c r="DP15" s="456">
        <f t="shared" si="39"/>
        <v>4.7</v>
      </c>
      <c r="DQ15" s="456" t="str">
        <f t="shared" si="40"/>
        <v/>
      </c>
      <c r="DR15" s="456">
        <f t="shared" si="41"/>
        <v>5.5</v>
      </c>
      <c r="DS15" s="456" t="str">
        <f t="shared" si="42"/>
        <v/>
      </c>
      <c r="DT15" s="456" t="str">
        <f t="shared" si="43"/>
        <v/>
      </c>
      <c r="DU15" s="456" t="str">
        <f t="shared" si="44"/>
        <v/>
      </c>
      <c r="DV15" s="456" t="str">
        <f t="shared" si="45"/>
        <v/>
      </c>
      <c r="DW15" s="456">
        <f t="shared" si="46"/>
        <v>5.5</v>
      </c>
      <c r="DX15" s="456">
        <f t="shared" si="47"/>
        <v>5.8</v>
      </c>
      <c r="DY15" s="457">
        <f t="shared" si="48"/>
        <v>5.91</v>
      </c>
      <c r="DZ15" s="453" t="str">
        <f t="shared" si="49"/>
        <v/>
      </c>
      <c r="EA15" s="452" t="str">
        <f t="shared" si="50"/>
        <v/>
      </c>
      <c r="EB15" s="452" t="str">
        <f t="shared" si="51"/>
        <v/>
      </c>
      <c r="EC15" s="452" t="str">
        <f t="shared" si="52"/>
        <v/>
      </c>
      <c r="ED15" s="452" t="str">
        <f t="shared" si="53"/>
        <v/>
      </c>
      <c r="EE15" s="452" t="str">
        <f t="shared" si="54"/>
        <v/>
      </c>
      <c r="EF15" s="452" t="str">
        <f t="shared" si="55"/>
        <v/>
      </c>
      <c r="EG15" s="452" t="str">
        <f t="shared" si="56"/>
        <v/>
      </c>
      <c r="EH15" s="452" t="str">
        <f t="shared" si="57"/>
        <v/>
      </c>
      <c r="EI15" s="453">
        <f t="shared" si="58"/>
        <v>4.5999999999999996</v>
      </c>
      <c r="EJ15" s="452">
        <f t="shared" si="59"/>
        <v>6.2</v>
      </c>
      <c r="EK15" s="452">
        <f t="shared" si="60"/>
        <v>4.7</v>
      </c>
      <c r="EL15" s="452">
        <f t="shared" si="61"/>
        <v>3.8</v>
      </c>
      <c r="EM15" s="452">
        <f t="shared" si="62"/>
        <v>5.5</v>
      </c>
      <c r="EN15" s="452">
        <f t="shared" si="63"/>
        <v>2.4</v>
      </c>
      <c r="EO15" s="452" t="str">
        <f t="shared" si="64"/>
        <v/>
      </c>
      <c r="EP15" s="452" t="str">
        <f t="shared" si="65"/>
        <v/>
      </c>
      <c r="EQ15" s="452" t="str">
        <f t="shared" si="66"/>
        <v/>
      </c>
      <c r="ER15" s="452">
        <f t="shared" si="67"/>
        <v>5.5</v>
      </c>
      <c r="ES15" s="452">
        <f t="shared" si="21"/>
        <v>5.8</v>
      </c>
      <c r="ET15" s="458" t="str">
        <f t="shared" si="68"/>
        <v/>
      </c>
      <c r="EU15" s="527">
        <f>IF(OR(ISNA(VLOOKUP($B15,'TICH LUY'!$B$11:$BY$85,54,0)),$B15=""),"",VLOOKUP($B15,'TICH LUY'!$B$11:$BY$85,54,0))</f>
        <v>4.5999999999999996</v>
      </c>
      <c r="EV15" s="507">
        <f>IF(OR(ISNA(VLOOKUP($B15,'TICH LUY'!$B$11:$BY$85,55,0)),$B15=""),"",VLOOKUP($B15,'TICH LUY'!$B$11:$BY$85,55,0))</f>
        <v>6.5</v>
      </c>
      <c r="EW15" s="507">
        <f>IF(OR(ISNA(VLOOKUP($B15,'TICH LUY'!$B$11:$BY$85,56,0)),$B15=""),"",VLOOKUP($B15,'TICH LUY'!$B$11:$BY$85,56,0))</f>
        <v>5.6</v>
      </c>
      <c r="EX15" s="507">
        <f>IF(OR(ISNA(VLOOKUP($B15,'TICH LUY'!$B$11:$BY$85,57,0)),$B15=""),"",VLOOKUP($B15,'TICH LUY'!$B$11:$BY$85,57,0))</f>
        <v>6.9</v>
      </c>
      <c r="EY15" s="507">
        <f>IF(OR(ISNA(VLOOKUP($B15,'TICH LUY'!$B$11:$BY$85,58,0)),$B15=""),"",VLOOKUP($B15,'TICH LUY'!$B$11:$BY$85,58,0))</f>
        <v>5.8</v>
      </c>
      <c r="EZ15" s="507">
        <f>IF(OR(ISNA(VLOOKUP($B15,'TICH LUY'!$B$11:$BY$85,59,0)),$B15=""),"",VLOOKUP($B15,'TICH LUY'!$B$11:$BY$85,59,0))</f>
        <v>5.9</v>
      </c>
      <c r="FA15" s="507">
        <f>IF(OR(ISNA(VLOOKUP($B15,'TICH LUY'!$B$11:$BY$85,60,0)),$B15=""),"",VLOOKUP($B15,'TICH LUY'!$B$11:$BY$85,60,0))</f>
        <v>5</v>
      </c>
      <c r="FB15" s="507" t="str">
        <f>IF(OR(ISNA(VLOOKUP($B15,'TICH LUY'!$B$11:$BY$85,61,0)),$B15=""),"",VLOOKUP($B15,'TICH LUY'!$B$11:$BY$85,61,0))</f>
        <v/>
      </c>
      <c r="FC15" s="507" t="str">
        <f>IF(OR(ISNA(VLOOKUP($B15,'TICH LUY'!$B$11:$BY$85,62,0)),$B15=""),"",VLOOKUP($B15,'TICH LUY'!$B$11:$BY$85,62,0))</f>
        <v/>
      </c>
      <c r="FD15" s="507">
        <f>IF(OR(ISNA(VLOOKUP($B15,'TICH LUY'!$B$11:$BY$85,63,0)),$B15=""),"",VLOOKUP($B15,'TICH LUY'!$B$11:$BY$85,63,0))</f>
        <v>7.1</v>
      </c>
      <c r="FE15" s="507">
        <f>IF(OR(ISNA(VLOOKUP($B15,'TICH LUY'!$B$11:$BY$85,64,0)),$B15=""),"",VLOOKUP($B15,'TICH LUY'!$B$11:$BY$85,64,0))</f>
        <v>5.7</v>
      </c>
      <c r="FF15" s="507" t="str">
        <f>IF(OR(ISNA(VLOOKUP($B15,'TICH LUY'!$B$11:$BY$85,65,0)),$B15=""),"",VLOOKUP($B15,'TICH LUY'!$B$11:$BY$85,65,0))</f>
        <v/>
      </c>
      <c r="FG15" s="507">
        <f>IF(OR(ISNA(VLOOKUP($B15,'TICH LUY'!$B$11:$BY$85,66,0)),$B15=""),"",VLOOKUP($B15,'TICH LUY'!$B$11:$BY$85,66,0))</f>
        <v>6.8</v>
      </c>
      <c r="FH15" s="507">
        <f>IF(OR(ISNA(VLOOKUP($B15,'TICH LUY'!$B$11:$BY$85,67,0)),$B15=""),"",VLOOKUP($B15,'TICH LUY'!$B$11:$BY$85,67,0))</f>
        <v>6.1</v>
      </c>
      <c r="FI15" s="507">
        <f>IF(OR(ISNA(VLOOKUP($B15,'TICH LUY'!$B$11:$BY$85,68,0)),$B15=""),"",VLOOKUP($B15,'TICH LUY'!$B$11:$BY$85,68,0))</f>
        <v>7</v>
      </c>
      <c r="FJ15" s="507">
        <f>IF(OR(ISNA(VLOOKUP($B15,'TICH LUY'!$B$11:$BY$85,69,0)),$B15=""),"",VLOOKUP($B15,'TICH LUY'!$B$11:$BY$85,69,0))</f>
        <v>7.4</v>
      </c>
      <c r="FK15" s="507">
        <f>IF(OR(ISNA(VLOOKUP($B15,'TICH LUY'!$B$11:$BY$85,70,0)),$B15=""),"",VLOOKUP($B15,'TICH LUY'!$B$11:$BY$85,70,0))</f>
        <v>5.3</v>
      </c>
      <c r="FL15" s="507">
        <f>IF(OR(ISNA(VLOOKUP($B15,'TICH LUY'!$B$11:$BY$85,71,0)),$B15=""),"",VLOOKUP($B15,'TICH LUY'!$B$11:$BY$85,71,0))</f>
        <v>7.3</v>
      </c>
      <c r="FM15" s="507" t="str">
        <f>IF(OR(ISNA(VLOOKUP($B15,'TICH LUY'!$B$11:$BY$85,72,0)),$B15=""),"",VLOOKUP($B15,'TICH LUY'!$B$11:$BY$85,72,0))</f>
        <v/>
      </c>
      <c r="FN15" s="507" t="str">
        <f>IF(OR(ISNA(VLOOKUP($B15,'TICH LUY'!$B$11:$BY$85,73,0)),$B15=""),"",VLOOKUP($B15,'TICH LUY'!$B$11:$BY$85,73,0))</f>
        <v/>
      </c>
      <c r="FO15" s="507" t="str">
        <f>IF(OR(ISNA(VLOOKUP($B15,'TICH LUY'!$B$11:$BY$85,74,0)),$B15=""),"",VLOOKUP($B15,'TICH LUY'!$B$11:$BY$85,74,0))</f>
        <v/>
      </c>
      <c r="FP15" s="507">
        <f>IF(OR(ISNA(VLOOKUP($B15,'TICH LUY'!$B$11:$BY$85,75,0)),$B15=""),"",VLOOKUP($B15,'TICH LUY'!$B$11:$BY$85,75,0))</f>
        <v>5.8</v>
      </c>
      <c r="FQ15" s="529" t="str">
        <f>IF(OR(ISNA(VLOOKUP($B15,'TICH LUY'!$B$11:$BY$85,76,0)),$B15=""),"",VLOOKUP($B15,'TICH LUY'!$B$11:$BY$85,76,0))</f>
        <v/>
      </c>
      <c r="FR15" s="455">
        <f t="shared" si="69"/>
        <v>4.5999999999999996</v>
      </c>
      <c r="FS15" s="456">
        <f t="shared" si="70"/>
        <v>6.2</v>
      </c>
      <c r="FT15" s="456">
        <f t="shared" si="71"/>
        <v>4.7</v>
      </c>
      <c r="FU15" s="456" t="str">
        <f t="shared" si="72"/>
        <v/>
      </c>
      <c r="FV15" s="456">
        <f t="shared" si="73"/>
        <v>5.5</v>
      </c>
      <c r="FW15" s="456" t="str">
        <f t="shared" si="74"/>
        <v/>
      </c>
      <c r="FX15" s="456" t="str">
        <f t="shared" si="75"/>
        <v/>
      </c>
      <c r="FY15" s="456" t="str">
        <f t="shared" si="76"/>
        <v/>
      </c>
      <c r="FZ15" s="456" t="str">
        <f t="shared" si="77"/>
        <v/>
      </c>
      <c r="GA15" s="456">
        <f t="shared" si="78"/>
        <v>5.5</v>
      </c>
      <c r="GB15" s="459">
        <f t="shared" si="79"/>
        <v>5.8</v>
      </c>
      <c r="GC15" s="457">
        <f t="shared" si="23"/>
        <v>5.91</v>
      </c>
    </row>
    <row r="16" spans="1:202" s="221" customFormat="1" ht="15.75">
      <c r="A16" s="449">
        <f>IF(B16="","",SUBTOTAL(3,$B$11:B16))</f>
        <v>6</v>
      </c>
      <c r="B16" s="198" t="s">
        <v>2026</v>
      </c>
      <c r="C16" s="450" t="str">
        <f>IF($B16="","",VLOOKUP($B16,'DS LOP HKI'!$B$2:$F$2642,2,0))</f>
        <v>Nguyễn Ngọc</v>
      </c>
      <c r="D16" s="451" t="str">
        <f>IF($B16="","",VLOOKUP($B16,'DS LOP HKI'!$B$2:$F$2642,3,0))</f>
        <v>Dũng</v>
      </c>
      <c r="E16" s="154"/>
      <c r="F16" s="152"/>
      <c r="G16" s="156">
        <v>3</v>
      </c>
      <c r="H16" s="181">
        <f>IF(OR($H$6="",$H$7=""),"",IF($B16="","",IF(ISNA(VLOOKUP($B16,'LT01'!$B$11:$R$75,13,FALSE)),"",IF(VLOOKUP($B16,'LT01'!$B$11:$R$75,13,FALSE)="","",VLOOKUP($B16,'LT01'!$B$11:$R$75,13,FALSE)))))</f>
        <v>3.3</v>
      </c>
      <c r="I16" s="182">
        <f>IF(OR($H$6="",$H$7=""),"",IF($B16="","",IF(ISNA(VLOOKUP($B16,'LT01'!$B$11:$R$75,14,FALSE)),"",VLOOKUP($B16,'LT01'!$B$11:$R$75,14,FALSE))))</f>
        <v>4.3</v>
      </c>
      <c r="J16" s="183"/>
      <c r="K16" s="182" t="str">
        <f>IF(OR($H$6="",$H$7=""),"",IF($B16="","",IF(ISNA(VLOOKUP($B16,'LT01'!$B$11:$R$75,17,FALSE)),"",VLOOKUP($B16,'LT01'!$B$11:$R$75,17,FALSE))))</f>
        <v/>
      </c>
      <c r="L16" s="185">
        <f>IF(OR($H$6="",$H$7=""),"",IF($B16="","",IF(ISNA(VLOOKUP($B16,'LT02'!$B$11:$R$75,13,FALSE)),"",IF(VLOOKUP($B16,'LT02'!$B$11:$R$75,13,FALSE)="","",VLOOKUP($B16,'LT02'!$B$11:$R$75,13,FALSE)))))</f>
        <v>5.8</v>
      </c>
      <c r="M16" s="182">
        <f>IF(OR($H$6="",$H$7=""),"",IF($B16="","",IF(ISNA(VLOOKUP($B16,'LT02'!$B$11:$R$75,14,FALSE)),"",VLOOKUP($B16,'LT02'!$B$11:$R$75,14,FALSE))))</f>
        <v>4.8</v>
      </c>
      <c r="N16" s="183"/>
      <c r="O16" s="182" t="str">
        <f>IF(OR($H$6="",$H$7=""),"",IF($B16="","",IF(ISNA(VLOOKUP($B16,'LT02'!$B$11:$R$75,17,FALSE)),"",VLOOKUP($B16,'LT02'!$B$11:$R$75,17,FALSE))))</f>
        <v/>
      </c>
      <c r="P16" s="185">
        <f>IF(OR($H$6="",$H$7=""),"",IF($B16="","",IF(ISNA(VLOOKUP($B16,'LT03'!$B$11:$R$75,13,FALSE)),"",IF(VLOOKUP($B16,'LT03'!$B$11:$R$75,13,FALSE)="","",VLOOKUP($B16,'LT03'!$B$11:$R$75,13,FALSE)))))</f>
        <v>3</v>
      </c>
      <c r="Q16" s="182">
        <f>IF(OR($H$6="",$H$7=""),"",IF($B16="","",IF(ISNA(VLOOKUP($B16,'LT03'!$B$11:$R$75,14,FALSE)),"",VLOOKUP($B16,'LT03'!$B$11:$R$75,14,FALSE))))</f>
        <v>4</v>
      </c>
      <c r="R16" s="183"/>
      <c r="S16" s="182" t="str">
        <f>IF(OR($H$6="",$H$7=""),"",IF($B16="","",IF(ISNA(VLOOKUP($B16,'LT03'!$B$11:$R$75,17,FALSE)),"",VLOOKUP($B16,'LT03'!$B$11:$R$75,17,FALSE))))</f>
        <v/>
      </c>
      <c r="T16" s="185">
        <f>IF(OR($H$6="",$H$7=""),"",IF($B16="","",IF(ISNA(VLOOKUP($B16,'LT04'!$B$11:$R$75,13,FALSE)),"",IF(VLOOKUP($B16,'LT04'!$B$11:$R$75,13,FALSE)="","",VLOOKUP($B16,'LT04'!$B$11:$R$75,13,FALSE)))))</f>
        <v>4.8</v>
      </c>
      <c r="U16" s="182">
        <f>IF(OR($H$6="",$H$7=""),"",IF($B16="","",IF(ISNA(VLOOKUP($B16,'LT04'!$B$11:$R$75,14,FALSE)),"",VLOOKUP($B16,'LT04'!$B$11:$R$75,14,FALSE))))</f>
        <v>3.6</v>
      </c>
      <c r="V16" s="183"/>
      <c r="W16" s="184" t="str">
        <f>IF(OR($H$6="",$H$7=""),"",IF($B16="","",IF(ISNA(VLOOKUP($B16,'LT04'!$B$11:$R$75,17,FALSE)),"",VLOOKUP($B16,'LT04'!$B$11:$R$75,17,FALSE))))</f>
        <v/>
      </c>
      <c r="X16" s="185">
        <f>IF(OR($H$6="",$H$7=""),"",IF($B16="","",IF(ISNA(VLOOKUP($B16,'LT05'!$B$11:$R$75,13,FALSE)),"",IF(VLOOKUP($B16,'LT05'!$B$11:$R$75,13,FALSE)="","",VLOOKUP($B16,'LT05'!$B$11:$R$75,13,FALSE)))))</f>
        <v>7.5</v>
      </c>
      <c r="Y16" s="182">
        <f>IF(OR($H$6="",$H$7=""),"",IF($B16="","",IF(ISNA(VLOOKUP($B16,'LT05'!$B$11:$R$75,14,FALSE)),"",VLOOKUP($B16,'LT05'!$B$11:$R$75,14,FALSE))))</f>
        <v>6.4</v>
      </c>
      <c r="Z16" s="183"/>
      <c r="AA16" s="182" t="str">
        <f>IF(OR($H$6="",$H$7=""),"",IF($B16="","",IF(ISNA(VLOOKUP($B16,'LT05'!$B$11:$R$75,17,FALSE)),"",VLOOKUP($B16,'LT05'!$B$11:$R$75,17,FALSE))))</f>
        <v/>
      </c>
      <c r="AB16" s="185">
        <f>IF(OR($H$6="",$H$7=""),"",IF($B16="","",IF(ISNA(VLOOKUP($B16,'LT06'!$B$11:$R$75,13,FALSE)),"",IF(VLOOKUP($B16,'LT06'!$B$11:$R$75,13,FALSE)="","",VLOOKUP($B16,'LT06'!$B$11:$R$75,13,FALSE)))))</f>
        <v>5</v>
      </c>
      <c r="AC16" s="182">
        <f>IF(OR($H$6="",$H$7=""),"",IF($B16="","",IF(ISNA(VLOOKUP($B16,'LT06'!$B$11:$R$75,14,FALSE)),"",VLOOKUP($B16,'LT06'!$B$11:$R$75,14,FALSE))))</f>
        <v>5.2</v>
      </c>
      <c r="AD16" s="183"/>
      <c r="AE16" s="182" t="str">
        <f>IF(OR($H$6="",$H$7=""),"",IF($B16="","",IF(ISNA(VLOOKUP($B16,'LT06'!$B$11:$R$75,17,FALSE)),"",VLOOKUP($B16,'LT06'!$B$11:$R$75,17,FALSE))))</f>
        <v/>
      </c>
      <c r="AF16" s="185" t="str">
        <f>IF(OR($H$6="",$H$7=""),"",IF($B16="","",IF(ISNA(VLOOKUP($B16,'LT07'!$B$11:$R$75,13,FALSE)),"",IF(VLOOKUP($B16,'LT07'!$B$11:$R$75,13,FALSE)="","",VLOOKUP($B16,'LT07'!$B$11:$R$75,13,FALSE)))))</f>
        <v/>
      </c>
      <c r="AG16" s="182" t="str">
        <f>IF(OR($H$6="",$H$7=""),"",IF($B16="","",IF(ISNA(VLOOKUP($B16,'LT07'!$B$11:$R$75,14,FALSE)),"",VLOOKUP($B16,'LT07'!$B$11:$R$75,14,FALSE))))</f>
        <v/>
      </c>
      <c r="AH16" s="183"/>
      <c r="AI16" s="182" t="str">
        <f>IF(OR($H$6="",$H$7=""),"",IF($B16="","",IF(ISNA(VLOOKUP($B16,'LT07'!$B$11:$R$75,17,FALSE)),"",VLOOKUP($B16,'LT07'!$B$11:$R$75,17,FALSE))))</f>
        <v/>
      </c>
      <c r="AJ16" s="185" t="str">
        <f>IF(OR($H$6="",$H$7=""),"",IF($B16="","",IF(ISNA(VLOOKUP($B16,'LT08'!$B$11:$R$75,13,FALSE)),"",IF(VLOOKUP($B16,'LT08'!$B$11:$R$75,13,FALSE)="","",VLOOKUP($B16,'LT08'!$B$11:$R$75,13,FALSE)))))</f>
        <v/>
      </c>
      <c r="AK16" s="182" t="str">
        <f>IF(OR($H$6="",$H$7=""),"",IF($B16="","",IF(ISNA(VLOOKUP($B16,'LT08'!$B$11:$R$75,14,FALSE)),"",VLOOKUP($B16,'LT08'!$B$11:$R$75,14,FALSE))))</f>
        <v/>
      </c>
      <c r="AL16" s="183"/>
      <c r="AM16" s="182" t="str">
        <f>IF(OR($H$6="",$H$7=""),"",IF($B16="","",IF(ISNA(VLOOKUP($B16,'LT08'!$B$11:$R$75,17,FALSE)),"",VLOOKUP($B16,'LT08'!$B$11:$R$75,17,FALSE))))</f>
        <v/>
      </c>
      <c r="AN16" s="185" t="str">
        <f>IF(OR($H$6="",$H$7=""),"",IF($B16="","",IF(ISNA(VLOOKUP($B16,'LT09'!$B$11:$R$75,13,FALSE)),"",IF(VLOOKUP($B16,'LT09'!$B$11:$R$75,13,FALSE)="","",VLOOKUP($B16,'LT09'!$B$11:$R$75,13,FALSE)))))</f>
        <v/>
      </c>
      <c r="AO16" s="182" t="str">
        <f>IF(OR($H$6="",$H$7=""),"",IF($B16="","",IF(ISNA(VLOOKUP($B16,'LT09'!$B$11:$R$75,14,FALSE)),"",VLOOKUP($B16,'LT09'!$B$11:$R$75,14,FALSE))))</f>
        <v/>
      </c>
      <c r="AP16" s="183"/>
      <c r="AQ16" s="182" t="str">
        <f>IF(OR($H$6="",$H$7=""),"",IF($B16="","",IF(ISNA(VLOOKUP($B16,'LT09'!$B$11:$R$75,17,FALSE)),"",VLOOKUP($B16,'LT09'!$B$11:$R$75,17,FALSE))))</f>
        <v/>
      </c>
      <c r="AR16" s="186"/>
      <c r="AS16" s="182">
        <f>IF(OR($H$6="",$H$7=""),"",IF($B16="","",IF(ISNA(VLOOKUP($B16,'TH01'!$B$11:$R$75,14,FALSE)),"",VLOOKUP($B16,'TH01'!$B$11:$R$75,14,FALSE))))</f>
        <v>6.5</v>
      </c>
      <c r="AT16" s="183"/>
      <c r="AU16" s="187"/>
      <c r="AV16" s="186"/>
      <c r="AW16" s="182">
        <f>IF(OR($H$6="",$H$7=""),"",IF($B16="","",IF(ISNA(VLOOKUP($B16,'TH02'!$B$11:$R$75,14,FALSE)),"",VLOOKUP($B16,'TH02'!$B$11:$R$75,14,FALSE))))</f>
        <v>6.3</v>
      </c>
      <c r="AX16" s="183"/>
      <c r="AY16" s="187"/>
      <c r="AZ16" s="54">
        <f t="shared" si="24"/>
        <v>5.0599999999999996</v>
      </c>
      <c r="BA16" s="54" t="str">
        <f t="shared" si="0"/>
        <v/>
      </c>
      <c r="BB16" s="70">
        <v>53</v>
      </c>
      <c r="BC16" s="52" t="str">
        <f t="shared" si="25"/>
        <v>TBY</v>
      </c>
      <c r="BD16" s="52" t="str">
        <f t="shared" si="26"/>
        <v/>
      </c>
      <c r="BE16" s="52" t="str">
        <f t="shared" si="1"/>
        <v/>
      </c>
      <c r="BF16" s="149" t="str">
        <f t="shared" si="2"/>
        <v/>
      </c>
      <c r="BG16" s="52">
        <f t="shared" si="3"/>
        <v>16</v>
      </c>
      <c r="BH16" s="52">
        <f t="shared" si="27"/>
        <v>2</v>
      </c>
      <c r="BI16" s="52">
        <f t="shared" si="4"/>
        <v>16</v>
      </c>
      <c r="BJ16" s="52">
        <f t="shared" si="5"/>
        <v>2</v>
      </c>
      <c r="BK16" s="54">
        <f t="shared" si="6"/>
        <v>5.34</v>
      </c>
      <c r="BL16" s="54" t="str">
        <f t="shared" si="7"/>
        <v>Y</v>
      </c>
      <c r="BM16" s="54">
        <f t="shared" si="8"/>
        <v>5.34</v>
      </c>
      <c r="BN16" s="54" t="str">
        <f t="shared" si="9"/>
        <v>Y</v>
      </c>
      <c r="BO16" s="70"/>
      <c r="BP16" s="52">
        <f>IF(ISNA(VLOOKUP(B16,'TICH LUY'!B:D,2,0)),"",VLOOKUP(B16,'TICH LUY'!B:D,2,0)+BI16)</f>
        <v>55</v>
      </c>
      <c r="BQ16" s="52">
        <f>IF(ISNA(VLOOKUP(B16,'TICH LUY'!B:D,3,0)),"",VLOOKUP(B16,'TICH LUY'!B:D,3,0)+BJ16)</f>
        <v>2</v>
      </c>
      <c r="BR16" s="40">
        <f t="shared" si="10"/>
        <v>3</v>
      </c>
      <c r="BS16" s="452">
        <f t="shared" si="11"/>
        <v>3.3</v>
      </c>
      <c r="BT16" s="452">
        <f t="shared" si="12"/>
        <v>5.8</v>
      </c>
      <c r="BU16" s="452">
        <f t="shared" si="13"/>
        <v>3</v>
      </c>
      <c r="BV16" s="452">
        <f t="shared" si="14"/>
        <v>4.8</v>
      </c>
      <c r="BW16" s="452">
        <f t="shared" si="15"/>
        <v>7.5</v>
      </c>
      <c r="BX16" s="452">
        <f t="shared" si="16"/>
        <v>5</v>
      </c>
      <c r="BY16" s="452" t="str">
        <f t="shared" si="17"/>
        <v/>
      </c>
      <c r="BZ16" s="452" t="str">
        <f t="shared" si="28"/>
        <v/>
      </c>
      <c r="CA16" s="452" t="str">
        <f t="shared" si="29"/>
        <v/>
      </c>
      <c r="CB16" s="452">
        <f t="shared" si="30"/>
        <v>6.5</v>
      </c>
      <c r="CC16" s="452">
        <f t="shared" si="18"/>
        <v>6.3</v>
      </c>
      <c r="CD16" s="40">
        <f t="shared" si="31"/>
        <v>1</v>
      </c>
      <c r="CE16" s="453">
        <f t="shared" si="80"/>
        <v>4.3</v>
      </c>
      <c r="CF16" s="452">
        <f t="shared" si="32"/>
        <v>4.8</v>
      </c>
      <c r="CG16" s="452">
        <f t="shared" si="81"/>
        <v>4</v>
      </c>
      <c r="CH16" s="452">
        <f t="shared" si="82"/>
        <v>3.6</v>
      </c>
      <c r="CI16" s="452">
        <f t="shared" si="83"/>
        <v>6.4</v>
      </c>
      <c r="CJ16" s="452">
        <f t="shared" si="84"/>
        <v>5.2</v>
      </c>
      <c r="CK16" s="452" t="str">
        <f t="shared" si="85"/>
        <v/>
      </c>
      <c r="CL16" s="452" t="str">
        <f t="shared" si="33"/>
        <v/>
      </c>
      <c r="CM16" s="452" t="str">
        <f t="shared" si="34"/>
        <v/>
      </c>
      <c r="CN16" s="452">
        <f t="shared" si="35"/>
        <v>6.5</v>
      </c>
      <c r="CO16" s="452">
        <f t="shared" si="19"/>
        <v>6.3</v>
      </c>
      <c r="CP16" s="454">
        <f t="shared" si="36"/>
        <v>5.0599999999999996</v>
      </c>
      <c r="CQ16" s="527">
        <f>IF(OR(ISNA(VLOOKUP($B16,'TICH LUY'!$B$11:$BY$85,54,0)),$B16=""),"",VLOOKUP($B16,'TICH LUY'!$B$11:$BY$85,54,0))</f>
        <v>5.4</v>
      </c>
      <c r="CR16" s="507">
        <f>IF(OR(ISNA(VLOOKUP($B16,'TICH LUY'!$B$11:$BY$85,55,0)),$B16=""),"",VLOOKUP($B16,'TICH LUY'!$B$11:$BY$85,55,0))</f>
        <v>5.4</v>
      </c>
      <c r="CS16" s="507">
        <f>IF(OR(ISNA(VLOOKUP($B16,'TICH LUY'!$B$11:$BY$85,56,0)),$B16=""),"",VLOOKUP($B16,'TICH LUY'!$B$11:$BY$85,56,0))</f>
        <v>5.5</v>
      </c>
      <c r="CT16" s="507">
        <f>IF(OR(ISNA(VLOOKUP($B16,'TICH LUY'!$B$11:$BY$85,57,0)),$B16=""),"",VLOOKUP($B16,'TICH LUY'!$B$11:$BY$85,57,0))</f>
        <v>5.3</v>
      </c>
      <c r="CU16" s="507">
        <f>IF(OR(ISNA(VLOOKUP($B16,'TICH LUY'!$B$11:$BY$85,58,0)),$B16=""),"",VLOOKUP($B16,'TICH LUY'!$B$11:$BY$85,58,0))</f>
        <v>5.0999999999999996</v>
      </c>
      <c r="CV16" s="507">
        <f>IF(OR(ISNA(VLOOKUP($B16,'TICH LUY'!$B$11:$BY$85,59,0)),$B16=""),"",VLOOKUP($B16,'TICH LUY'!$B$11:$BY$85,59,0))</f>
        <v>4.9000000000000004</v>
      </c>
      <c r="CW16" s="507">
        <f>IF(OR(ISNA(VLOOKUP($B16,'TICH LUY'!$B$11:$BY$85,60,0)),$B16=""),"",VLOOKUP($B16,'TICH LUY'!$B$11:$BY$85,60,0))</f>
        <v>5.0999999999999996</v>
      </c>
      <c r="CX16" s="507" t="str">
        <f>IF(OR(ISNA(VLOOKUP($B16,'TICH LUY'!$B$11:$BY$85,61,0)),$B16=""),"",VLOOKUP($B16,'TICH LUY'!$B$11:$BY$85,61,0))</f>
        <v/>
      </c>
      <c r="CY16" s="507" t="str">
        <f>IF(OR(ISNA(VLOOKUP($B16,'TICH LUY'!$B$11:$BY$85,62,0)),$B16=""),"",VLOOKUP($B16,'TICH LUY'!$B$11:$BY$85,62,0))</f>
        <v/>
      </c>
      <c r="CZ16" s="507">
        <f>IF(OR(ISNA(VLOOKUP($B16,'TICH LUY'!$B$11:$BY$85,63,0)),$B16=""),"",VLOOKUP($B16,'TICH LUY'!$B$11:$BY$85,63,0))</f>
        <v>5.7</v>
      </c>
      <c r="DA16" s="507">
        <f>IF(OR(ISNA(VLOOKUP($B16,'TICH LUY'!$B$11:$BY$85,64,0)),$B16=""),"",VLOOKUP($B16,'TICH LUY'!$B$11:$BY$85,64,0))</f>
        <v>5.7</v>
      </c>
      <c r="DB16" s="507" t="str">
        <f>IF(OR(ISNA(VLOOKUP($B16,'TICH LUY'!$B$11:$BY$85,65,0)),$B16=""),"",VLOOKUP($B16,'TICH LUY'!$B$11:$BY$85,65,0))</f>
        <v/>
      </c>
      <c r="DC16" s="507">
        <f>IF(OR(ISNA(VLOOKUP($B16,'TICH LUY'!$B$11:$BY$85,66,0)),$B16=""),"",VLOOKUP($B16,'TICH LUY'!$B$11:$BY$85,66,0))</f>
        <v>5.5</v>
      </c>
      <c r="DD16" s="507">
        <f>IF(OR(ISNA(VLOOKUP($B16,'TICH LUY'!$B$11:$BY$85,67,0)),$B16=""),"",VLOOKUP($B16,'TICH LUY'!$B$11:$BY$85,67,0))</f>
        <v>4.9000000000000004</v>
      </c>
      <c r="DE16" s="507">
        <f>IF(OR(ISNA(VLOOKUP($B16,'TICH LUY'!$B$11:$BY$85,68,0)),$B16=""),"",VLOOKUP($B16,'TICH LUY'!$B$11:$BY$85,68,0))</f>
        <v>5.5</v>
      </c>
      <c r="DF16" s="507">
        <f>IF(OR(ISNA(VLOOKUP($B16,'TICH LUY'!$B$11:$BY$85,69,0)),$B16=""),"",VLOOKUP($B16,'TICH LUY'!$B$11:$BY$85,69,0))</f>
        <v>5.9</v>
      </c>
      <c r="DG16" s="507">
        <f>IF(OR(ISNA(VLOOKUP($B16,'TICH LUY'!$B$11:$BY$85,70,0)),$B16=""),"",VLOOKUP($B16,'TICH LUY'!$B$11:$BY$85,70,0))</f>
        <v>4.2</v>
      </c>
      <c r="DH16" s="507">
        <f>IF(OR(ISNA(VLOOKUP($B16,'TICH LUY'!$B$11:$BY$85,71,0)),$B16=""),"",VLOOKUP($B16,'TICH LUY'!$B$11:$BY$85,71,0))</f>
        <v>7</v>
      </c>
      <c r="DI16" s="507" t="str">
        <f>IF(OR(ISNA(VLOOKUP($B16,'TICH LUY'!$B$11:$BY$85,72,0)),$B16=""),"",VLOOKUP($B16,'TICH LUY'!$B$11:$BY$85,72,0))</f>
        <v/>
      </c>
      <c r="DJ16" s="507" t="str">
        <f>IF(OR(ISNA(VLOOKUP($B16,'TICH LUY'!$B$11:$BY$85,73,0)),$B16=""),"",VLOOKUP($B16,'TICH LUY'!$B$11:$BY$85,73,0))</f>
        <v/>
      </c>
      <c r="DK16" s="507" t="str">
        <f>IF(OR(ISNA(VLOOKUP($B16,'TICH LUY'!$B$11:$BY$85,74,0)),$B16=""),"",VLOOKUP($B16,'TICH LUY'!$B$11:$BY$85,74,0))</f>
        <v/>
      </c>
      <c r="DL16" s="507">
        <f>IF(OR(ISNA(VLOOKUP($B16,'TICH LUY'!$B$11:$BY$85,75,0)),$B16=""),"",VLOOKUP($B16,'TICH LUY'!$B$11:$BY$85,75,0))</f>
        <v>5.7</v>
      </c>
      <c r="DM16" s="529" t="str">
        <f>IF(OR(ISNA(VLOOKUP($B16,'TICH LUY'!$B$11:$BY$85,76,0)),$B16=""),"",VLOOKUP($B16,'TICH LUY'!$B$11:$BY$85,76,0))</f>
        <v/>
      </c>
      <c r="DN16" s="455">
        <f t="shared" si="37"/>
        <v>4.3</v>
      </c>
      <c r="DO16" s="456">
        <f t="shared" si="38"/>
        <v>4.8</v>
      </c>
      <c r="DP16" s="456">
        <f t="shared" si="39"/>
        <v>4</v>
      </c>
      <c r="DQ16" s="456" t="str">
        <f t="shared" si="40"/>
        <v/>
      </c>
      <c r="DR16" s="456">
        <f t="shared" si="41"/>
        <v>6.4</v>
      </c>
      <c r="DS16" s="456">
        <f t="shared" si="42"/>
        <v>5.2</v>
      </c>
      <c r="DT16" s="456" t="str">
        <f t="shared" si="43"/>
        <v/>
      </c>
      <c r="DU16" s="456" t="str">
        <f t="shared" si="44"/>
        <v/>
      </c>
      <c r="DV16" s="456" t="str">
        <f t="shared" si="45"/>
        <v/>
      </c>
      <c r="DW16" s="456">
        <f t="shared" si="46"/>
        <v>6.5</v>
      </c>
      <c r="DX16" s="456">
        <f t="shared" si="47"/>
        <v>6.3</v>
      </c>
      <c r="DY16" s="457">
        <f t="shared" si="48"/>
        <v>5.34</v>
      </c>
      <c r="DZ16" s="453" t="str">
        <f t="shared" si="49"/>
        <v/>
      </c>
      <c r="EA16" s="452" t="str">
        <f t="shared" si="50"/>
        <v/>
      </c>
      <c r="EB16" s="452" t="str">
        <f t="shared" si="51"/>
        <v/>
      </c>
      <c r="EC16" s="452" t="str">
        <f t="shared" si="52"/>
        <v/>
      </c>
      <c r="ED16" s="452" t="str">
        <f t="shared" si="53"/>
        <v/>
      </c>
      <c r="EE16" s="452" t="str">
        <f t="shared" si="54"/>
        <v/>
      </c>
      <c r="EF16" s="452" t="str">
        <f t="shared" si="55"/>
        <v/>
      </c>
      <c r="EG16" s="452" t="str">
        <f t="shared" si="56"/>
        <v/>
      </c>
      <c r="EH16" s="452" t="str">
        <f t="shared" si="57"/>
        <v/>
      </c>
      <c r="EI16" s="453">
        <f t="shared" si="58"/>
        <v>4.3</v>
      </c>
      <c r="EJ16" s="452">
        <f t="shared" si="59"/>
        <v>4.8</v>
      </c>
      <c r="EK16" s="452">
        <f t="shared" si="60"/>
        <v>4</v>
      </c>
      <c r="EL16" s="452">
        <f t="shared" si="61"/>
        <v>3.6</v>
      </c>
      <c r="EM16" s="452">
        <f t="shared" si="62"/>
        <v>6.4</v>
      </c>
      <c r="EN16" s="452">
        <f t="shared" si="63"/>
        <v>5.2</v>
      </c>
      <c r="EO16" s="452" t="str">
        <f t="shared" si="64"/>
        <v/>
      </c>
      <c r="EP16" s="452" t="str">
        <f t="shared" si="65"/>
        <v/>
      </c>
      <c r="EQ16" s="452" t="str">
        <f t="shared" si="66"/>
        <v/>
      </c>
      <c r="ER16" s="452">
        <f t="shared" si="67"/>
        <v>6.5</v>
      </c>
      <c r="ES16" s="452">
        <f t="shared" si="21"/>
        <v>6.3</v>
      </c>
      <c r="ET16" s="458" t="str">
        <f t="shared" si="68"/>
        <v/>
      </c>
      <c r="EU16" s="527">
        <f>IF(OR(ISNA(VLOOKUP($B16,'TICH LUY'!$B$11:$BY$85,54,0)),$B16=""),"",VLOOKUP($B16,'TICH LUY'!$B$11:$BY$85,54,0))</f>
        <v>5.4</v>
      </c>
      <c r="EV16" s="507">
        <f>IF(OR(ISNA(VLOOKUP($B16,'TICH LUY'!$B$11:$BY$85,55,0)),$B16=""),"",VLOOKUP($B16,'TICH LUY'!$B$11:$BY$85,55,0))</f>
        <v>5.4</v>
      </c>
      <c r="EW16" s="507">
        <f>IF(OR(ISNA(VLOOKUP($B16,'TICH LUY'!$B$11:$BY$85,56,0)),$B16=""),"",VLOOKUP($B16,'TICH LUY'!$B$11:$BY$85,56,0))</f>
        <v>5.5</v>
      </c>
      <c r="EX16" s="507">
        <f>IF(OR(ISNA(VLOOKUP($B16,'TICH LUY'!$B$11:$BY$85,57,0)),$B16=""),"",VLOOKUP($B16,'TICH LUY'!$B$11:$BY$85,57,0))</f>
        <v>5.3</v>
      </c>
      <c r="EY16" s="507">
        <f>IF(OR(ISNA(VLOOKUP($B16,'TICH LUY'!$B$11:$BY$85,58,0)),$B16=""),"",VLOOKUP($B16,'TICH LUY'!$B$11:$BY$85,58,0))</f>
        <v>5.0999999999999996</v>
      </c>
      <c r="EZ16" s="507">
        <f>IF(OR(ISNA(VLOOKUP($B16,'TICH LUY'!$B$11:$BY$85,59,0)),$B16=""),"",VLOOKUP($B16,'TICH LUY'!$B$11:$BY$85,59,0))</f>
        <v>4.9000000000000004</v>
      </c>
      <c r="FA16" s="507">
        <f>IF(OR(ISNA(VLOOKUP($B16,'TICH LUY'!$B$11:$BY$85,60,0)),$B16=""),"",VLOOKUP($B16,'TICH LUY'!$B$11:$BY$85,60,0))</f>
        <v>5.0999999999999996</v>
      </c>
      <c r="FB16" s="507" t="str">
        <f>IF(OR(ISNA(VLOOKUP($B16,'TICH LUY'!$B$11:$BY$85,61,0)),$B16=""),"",VLOOKUP($B16,'TICH LUY'!$B$11:$BY$85,61,0))</f>
        <v/>
      </c>
      <c r="FC16" s="507" t="str">
        <f>IF(OR(ISNA(VLOOKUP($B16,'TICH LUY'!$B$11:$BY$85,62,0)),$B16=""),"",VLOOKUP($B16,'TICH LUY'!$B$11:$BY$85,62,0))</f>
        <v/>
      </c>
      <c r="FD16" s="507">
        <f>IF(OR(ISNA(VLOOKUP($B16,'TICH LUY'!$B$11:$BY$85,63,0)),$B16=""),"",VLOOKUP($B16,'TICH LUY'!$B$11:$BY$85,63,0))</f>
        <v>5.7</v>
      </c>
      <c r="FE16" s="507">
        <f>IF(OR(ISNA(VLOOKUP($B16,'TICH LUY'!$B$11:$BY$85,64,0)),$B16=""),"",VLOOKUP($B16,'TICH LUY'!$B$11:$BY$85,64,0))</f>
        <v>5.7</v>
      </c>
      <c r="FF16" s="507" t="str">
        <f>IF(OR(ISNA(VLOOKUP($B16,'TICH LUY'!$B$11:$BY$85,65,0)),$B16=""),"",VLOOKUP($B16,'TICH LUY'!$B$11:$BY$85,65,0))</f>
        <v/>
      </c>
      <c r="FG16" s="507">
        <f>IF(OR(ISNA(VLOOKUP($B16,'TICH LUY'!$B$11:$BY$85,66,0)),$B16=""),"",VLOOKUP($B16,'TICH LUY'!$B$11:$BY$85,66,0))</f>
        <v>5.5</v>
      </c>
      <c r="FH16" s="507">
        <f>IF(OR(ISNA(VLOOKUP($B16,'TICH LUY'!$B$11:$BY$85,67,0)),$B16=""),"",VLOOKUP($B16,'TICH LUY'!$B$11:$BY$85,67,0))</f>
        <v>4.9000000000000004</v>
      </c>
      <c r="FI16" s="507">
        <f>IF(OR(ISNA(VLOOKUP($B16,'TICH LUY'!$B$11:$BY$85,68,0)),$B16=""),"",VLOOKUP($B16,'TICH LUY'!$B$11:$BY$85,68,0))</f>
        <v>5.5</v>
      </c>
      <c r="FJ16" s="507">
        <f>IF(OR(ISNA(VLOOKUP($B16,'TICH LUY'!$B$11:$BY$85,69,0)),$B16=""),"",VLOOKUP($B16,'TICH LUY'!$B$11:$BY$85,69,0))</f>
        <v>5.9</v>
      </c>
      <c r="FK16" s="507">
        <f>IF(OR(ISNA(VLOOKUP($B16,'TICH LUY'!$B$11:$BY$85,70,0)),$B16=""),"",VLOOKUP($B16,'TICH LUY'!$B$11:$BY$85,70,0))</f>
        <v>4.2</v>
      </c>
      <c r="FL16" s="507">
        <f>IF(OR(ISNA(VLOOKUP($B16,'TICH LUY'!$B$11:$BY$85,71,0)),$B16=""),"",VLOOKUP($B16,'TICH LUY'!$B$11:$BY$85,71,0))</f>
        <v>7</v>
      </c>
      <c r="FM16" s="507" t="str">
        <f>IF(OR(ISNA(VLOOKUP($B16,'TICH LUY'!$B$11:$BY$85,72,0)),$B16=""),"",VLOOKUP($B16,'TICH LUY'!$B$11:$BY$85,72,0))</f>
        <v/>
      </c>
      <c r="FN16" s="507" t="str">
        <f>IF(OR(ISNA(VLOOKUP($B16,'TICH LUY'!$B$11:$BY$85,73,0)),$B16=""),"",VLOOKUP($B16,'TICH LUY'!$B$11:$BY$85,73,0))</f>
        <v/>
      </c>
      <c r="FO16" s="507" t="str">
        <f>IF(OR(ISNA(VLOOKUP($B16,'TICH LUY'!$B$11:$BY$85,74,0)),$B16=""),"",VLOOKUP($B16,'TICH LUY'!$B$11:$BY$85,74,0))</f>
        <v/>
      </c>
      <c r="FP16" s="507">
        <f>IF(OR(ISNA(VLOOKUP($B16,'TICH LUY'!$B$11:$BY$85,75,0)),$B16=""),"",VLOOKUP($B16,'TICH LUY'!$B$11:$BY$85,75,0))</f>
        <v>5.7</v>
      </c>
      <c r="FQ16" s="529" t="str">
        <f>IF(OR(ISNA(VLOOKUP($B16,'TICH LUY'!$B$11:$BY$85,76,0)),$B16=""),"",VLOOKUP($B16,'TICH LUY'!$B$11:$BY$85,76,0))</f>
        <v/>
      </c>
      <c r="FR16" s="455">
        <f t="shared" si="69"/>
        <v>4.3</v>
      </c>
      <c r="FS16" s="456">
        <f t="shared" si="70"/>
        <v>4.8</v>
      </c>
      <c r="FT16" s="456">
        <f t="shared" si="71"/>
        <v>4</v>
      </c>
      <c r="FU16" s="456" t="str">
        <f t="shared" si="72"/>
        <v/>
      </c>
      <c r="FV16" s="456">
        <f t="shared" si="73"/>
        <v>6.4</v>
      </c>
      <c r="FW16" s="456">
        <f t="shared" si="74"/>
        <v>5.2</v>
      </c>
      <c r="FX16" s="456" t="str">
        <f t="shared" si="75"/>
        <v/>
      </c>
      <c r="FY16" s="456" t="str">
        <f t="shared" si="76"/>
        <v/>
      </c>
      <c r="FZ16" s="456" t="str">
        <f t="shared" si="77"/>
        <v/>
      </c>
      <c r="GA16" s="456">
        <f t="shared" si="78"/>
        <v>6.5</v>
      </c>
      <c r="GB16" s="459">
        <f t="shared" si="79"/>
        <v>6.3</v>
      </c>
      <c r="GC16" s="457">
        <f t="shared" si="23"/>
        <v>5.34</v>
      </c>
    </row>
    <row r="17" spans="1:185" s="221" customFormat="1" ht="15.75">
      <c r="A17" s="449">
        <f>IF(B17="","",SUBTOTAL(3,$B$11:B17))</f>
        <v>7</v>
      </c>
      <c r="B17" s="198" t="s">
        <v>2030</v>
      </c>
      <c r="C17" s="450" t="str">
        <f>IF($B17="","",VLOOKUP($B17,'DS LOP HKI'!$B$2:$F$2642,2,0))</f>
        <v xml:space="preserve">Trương Văn </v>
      </c>
      <c r="D17" s="451" t="str">
        <f>IF($B17="","",VLOOKUP($B17,'DS LOP HKI'!$B$2:$F$2642,3,0))</f>
        <v>Đạt</v>
      </c>
      <c r="E17" s="154"/>
      <c r="F17" s="152"/>
      <c r="G17" s="156">
        <v>6</v>
      </c>
      <c r="H17" s="181">
        <f>IF(OR($H$6="",$H$7=""),"",IF($B17="","",IF(ISNA(VLOOKUP($B17,'LT01'!$B$11:$R$75,13,FALSE)),"",IF(VLOOKUP($B17,'LT01'!$B$11:$R$75,13,FALSE)="","",VLOOKUP($B17,'LT01'!$B$11:$R$75,13,FALSE)))))</f>
        <v>3.5</v>
      </c>
      <c r="I17" s="182">
        <f>IF(OR($H$6="",$H$7=""),"",IF($B17="","",IF(ISNA(VLOOKUP($B17,'LT01'!$B$11:$R$75,14,FALSE)),"",VLOOKUP($B17,'LT01'!$B$11:$R$75,14,FALSE))))</f>
        <v>4.9000000000000004</v>
      </c>
      <c r="J17" s="183"/>
      <c r="K17" s="182" t="str">
        <f>IF(OR($H$6="",$H$7=""),"",IF($B17="","",IF(ISNA(VLOOKUP($B17,'LT01'!$B$11:$R$75,17,FALSE)),"",VLOOKUP($B17,'LT01'!$B$11:$R$75,17,FALSE))))</f>
        <v/>
      </c>
      <c r="L17" s="185">
        <f>IF(OR($H$6="",$H$7=""),"",IF($B17="","",IF(ISNA(VLOOKUP($B17,'LT02'!$B$11:$R$75,13,FALSE)),"",IF(VLOOKUP($B17,'LT02'!$B$11:$R$75,13,FALSE)="","",VLOOKUP($B17,'LT02'!$B$11:$R$75,13,FALSE)))))</f>
        <v>7</v>
      </c>
      <c r="M17" s="182">
        <f>IF(OR($H$6="",$H$7=""),"",IF($B17="","",IF(ISNA(VLOOKUP($B17,'LT02'!$B$11:$R$75,14,FALSE)),"",VLOOKUP($B17,'LT02'!$B$11:$R$75,14,FALSE))))</f>
        <v>7.4</v>
      </c>
      <c r="N17" s="183"/>
      <c r="O17" s="182" t="str">
        <f>IF(OR($H$6="",$H$7=""),"",IF($B17="","",IF(ISNA(VLOOKUP($B17,'LT02'!$B$11:$R$75,17,FALSE)),"",VLOOKUP($B17,'LT02'!$B$11:$R$75,17,FALSE))))</f>
        <v/>
      </c>
      <c r="P17" s="185">
        <f>IF(OR($H$6="",$H$7=""),"",IF($B17="","",IF(ISNA(VLOOKUP($B17,'LT03'!$B$11:$R$75,13,FALSE)),"",IF(VLOOKUP($B17,'LT03'!$B$11:$R$75,13,FALSE)="","",VLOOKUP($B17,'LT03'!$B$11:$R$75,13,FALSE)))))</f>
        <v>5.0999999999999996</v>
      </c>
      <c r="Q17" s="182">
        <f>IF(OR($H$6="",$H$7=""),"",IF($B17="","",IF(ISNA(VLOOKUP($B17,'LT03'!$B$11:$R$75,14,FALSE)),"",VLOOKUP($B17,'LT03'!$B$11:$R$75,14,FALSE))))</f>
        <v>5.5</v>
      </c>
      <c r="R17" s="183"/>
      <c r="S17" s="182" t="str">
        <f>IF(OR($H$6="",$H$7=""),"",IF($B17="","",IF(ISNA(VLOOKUP($B17,'LT03'!$B$11:$R$75,17,FALSE)),"",VLOOKUP($B17,'LT03'!$B$11:$R$75,17,FALSE))))</f>
        <v/>
      </c>
      <c r="T17" s="185">
        <f>IF(OR($H$6="",$H$7=""),"",IF($B17="","",IF(ISNA(VLOOKUP($B17,'LT04'!$B$11:$R$75,13,FALSE)),"",IF(VLOOKUP($B17,'LT04'!$B$11:$R$75,13,FALSE)="","",VLOOKUP($B17,'LT04'!$B$11:$R$75,13,FALSE)))))</f>
        <v>5.8</v>
      </c>
      <c r="U17" s="182">
        <f>IF(OR($H$6="",$H$7=""),"",IF($B17="","",IF(ISNA(VLOOKUP($B17,'LT04'!$B$11:$R$75,14,FALSE)),"",VLOOKUP($B17,'LT04'!$B$11:$R$75,14,FALSE))))</f>
        <v>5.6</v>
      </c>
      <c r="V17" s="183"/>
      <c r="W17" s="184" t="str">
        <f>IF(OR($H$6="",$H$7=""),"",IF($B17="","",IF(ISNA(VLOOKUP($B17,'LT04'!$B$11:$R$75,17,FALSE)),"",VLOOKUP($B17,'LT04'!$B$11:$R$75,17,FALSE))))</f>
        <v/>
      </c>
      <c r="X17" s="185">
        <f>IF(OR($H$6="",$H$7=""),"",IF($B17="","",IF(ISNA(VLOOKUP($B17,'LT05'!$B$11:$R$75,13,FALSE)),"",IF(VLOOKUP($B17,'LT05'!$B$11:$R$75,13,FALSE)="","",VLOOKUP($B17,'LT05'!$B$11:$R$75,13,FALSE)))))</f>
        <v>5</v>
      </c>
      <c r="Y17" s="182">
        <f>IF(OR($H$6="",$H$7=""),"",IF($B17="","",IF(ISNA(VLOOKUP($B17,'LT05'!$B$11:$R$75,14,FALSE)),"",VLOOKUP($B17,'LT05'!$B$11:$R$75,14,FALSE))))</f>
        <v>6.1</v>
      </c>
      <c r="Z17" s="183"/>
      <c r="AA17" s="182" t="str">
        <f>IF(OR($H$6="",$H$7=""),"",IF($B17="","",IF(ISNA(VLOOKUP($B17,'LT05'!$B$11:$R$75,17,FALSE)),"",VLOOKUP($B17,'LT05'!$B$11:$R$75,17,FALSE))))</f>
        <v/>
      </c>
      <c r="AB17" s="185">
        <f>IF(OR($H$6="",$H$7=""),"",IF($B17="","",IF(ISNA(VLOOKUP($B17,'LT06'!$B$11:$R$75,13,FALSE)),"",IF(VLOOKUP($B17,'LT06'!$B$11:$R$75,13,FALSE)="","",VLOOKUP($B17,'LT06'!$B$11:$R$75,13,FALSE)))))</f>
        <v>3.5</v>
      </c>
      <c r="AC17" s="182">
        <f>IF(OR($H$6="",$H$7=""),"",IF($B17="","",IF(ISNA(VLOOKUP($B17,'LT06'!$B$11:$R$75,14,FALSE)),"",VLOOKUP($B17,'LT06'!$B$11:$R$75,14,FALSE))))</f>
        <v>4.8</v>
      </c>
      <c r="AD17" s="183"/>
      <c r="AE17" s="182" t="str">
        <f>IF(OR($H$6="",$H$7=""),"",IF($B17="","",IF(ISNA(VLOOKUP($B17,'LT06'!$B$11:$R$75,17,FALSE)),"",VLOOKUP($B17,'LT06'!$B$11:$R$75,17,FALSE))))</f>
        <v/>
      </c>
      <c r="AF17" s="185" t="str">
        <f>IF(OR($H$6="",$H$7=""),"",IF($B17="","",IF(ISNA(VLOOKUP($B17,'LT07'!$B$11:$R$75,13,FALSE)),"",IF(VLOOKUP($B17,'LT07'!$B$11:$R$75,13,FALSE)="","",VLOOKUP($B17,'LT07'!$B$11:$R$75,13,FALSE)))))</f>
        <v/>
      </c>
      <c r="AG17" s="182" t="str">
        <f>IF(OR($H$6="",$H$7=""),"",IF($B17="","",IF(ISNA(VLOOKUP($B17,'LT07'!$B$11:$R$75,14,FALSE)),"",VLOOKUP($B17,'LT07'!$B$11:$R$75,14,FALSE))))</f>
        <v/>
      </c>
      <c r="AH17" s="183"/>
      <c r="AI17" s="182" t="str">
        <f>IF(OR($H$6="",$H$7=""),"",IF($B17="","",IF(ISNA(VLOOKUP($B17,'LT07'!$B$11:$R$75,17,FALSE)),"",VLOOKUP($B17,'LT07'!$B$11:$R$75,17,FALSE))))</f>
        <v/>
      </c>
      <c r="AJ17" s="185" t="str">
        <f>IF(OR($H$6="",$H$7=""),"",IF($B17="","",IF(ISNA(VLOOKUP($B17,'LT08'!$B$11:$R$75,13,FALSE)),"",IF(VLOOKUP($B17,'LT08'!$B$11:$R$75,13,FALSE)="","",VLOOKUP($B17,'LT08'!$B$11:$R$75,13,FALSE)))))</f>
        <v/>
      </c>
      <c r="AK17" s="182" t="str">
        <f>IF(OR($H$6="",$H$7=""),"",IF($B17="","",IF(ISNA(VLOOKUP($B17,'LT08'!$B$11:$R$75,14,FALSE)),"",VLOOKUP($B17,'LT08'!$B$11:$R$75,14,FALSE))))</f>
        <v/>
      </c>
      <c r="AL17" s="183"/>
      <c r="AM17" s="182" t="str">
        <f>IF(OR($H$6="",$H$7=""),"",IF($B17="","",IF(ISNA(VLOOKUP($B17,'LT08'!$B$11:$R$75,17,FALSE)),"",VLOOKUP($B17,'LT08'!$B$11:$R$75,17,FALSE))))</f>
        <v/>
      </c>
      <c r="AN17" s="185" t="str">
        <f>IF(OR($H$6="",$H$7=""),"",IF($B17="","",IF(ISNA(VLOOKUP($B17,'LT09'!$B$11:$R$75,13,FALSE)),"",IF(VLOOKUP($B17,'LT09'!$B$11:$R$75,13,FALSE)="","",VLOOKUP($B17,'LT09'!$B$11:$R$75,13,FALSE)))))</f>
        <v/>
      </c>
      <c r="AO17" s="182" t="str">
        <f>IF(OR($H$6="",$H$7=""),"",IF($B17="","",IF(ISNA(VLOOKUP($B17,'LT09'!$B$11:$R$75,14,FALSE)),"",VLOOKUP($B17,'LT09'!$B$11:$R$75,14,FALSE))))</f>
        <v/>
      </c>
      <c r="AP17" s="183"/>
      <c r="AQ17" s="182" t="str">
        <f>IF(OR($H$6="",$H$7=""),"",IF($B17="","",IF(ISNA(VLOOKUP($B17,'LT09'!$B$11:$R$75,17,FALSE)),"",VLOOKUP($B17,'LT09'!$B$11:$R$75,17,FALSE))))</f>
        <v/>
      </c>
      <c r="AR17" s="186"/>
      <c r="AS17" s="182">
        <f>IF(OR($H$6="",$H$7=""),"",IF($B17="","",IF(ISNA(VLOOKUP($B17,'TH01'!$B$11:$R$75,14,FALSE)),"",VLOOKUP($B17,'TH01'!$B$11:$R$75,14,FALSE))))</f>
        <v>6</v>
      </c>
      <c r="AT17" s="183"/>
      <c r="AU17" s="187"/>
      <c r="AV17" s="186"/>
      <c r="AW17" s="182">
        <f>IF(OR($H$6="",$H$7=""),"",IF($B17="","",IF(ISNA(VLOOKUP($B17,'TH02'!$B$11:$R$75,14,FALSE)),"",VLOOKUP($B17,'TH02'!$B$11:$R$75,14,FALSE))))</f>
        <v>6.3</v>
      </c>
      <c r="AX17" s="183"/>
      <c r="AY17" s="187"/>
      <c r="AZ17" s="54">
        <f t="shared" si="24"/>
        <v>5.89</v>
      </c>
      <c r="BA17" s="54" t="str">
        <f t="shared" si="0"/>
        <v/>
      </c>
      <c r="BB17" s="70">
        <v>50</v>
      </c>
      <c r="BC17" s="52" t="str">
        <f t="shared" si="25"/>
        <v>TB</v>
      </c>
      <c r="BD17" s="52" t="str">
        <f t="shared" si="26"/>
        <v/>
      </c>
      <c r="BE17" s="52" t="str">
        <f t="shared" si="1"/>
        <v/>
      </c>
      <c r="BF17" s="149" t="str">
        <f t="shared" si="2"/>
        <v/>
      </c>
      <c r="BG17" s="52">
        <f t="shared" si="3"/>
        <v>18</v>
      </c>
      <c r="BH17" s="52">
        <f t="shared" si="27"/>
        <v>0</v>
      </c>
      <c r="BI17" s="52">
        <f t="shared" si="4"/>
        <v>18</v>
      </c>
      <c r="BJ17" s="52">
        <f t="shared" si="5"/>
        <v>0</v>
      </c>
      <c r="BK17" s="54">
        <f t="shared" si="6"/>
        <v>6.04</v>
      </c>
      <c r="BL17" s="54" t="str">
        <f t="shared" si="7"/>
        <v>BT</v>
      </c>
      <c r="BM17" s="54">
        <f t="shared" si="8"/>
        <v>6.04</v>
      </c>
      <c r="BN17" s="54" t="str">
        <f t="shared" si="9"/>
        <v>BT</v>
      </c>
      <c r="BO17" s="70"/>
      <c r="BP17" s="52">
        <f>IF(ISNA(VLOOKUP(B17,'TICH LUY'!B:D,2,0)),"",VLOOKUP(B17,'TICH LUY'!B:D,2,0)+BI17)</f>
        <v>57</v>
      </c>
      <c r="BQ17" s="52">
        <f>IF(ISNA(VLOOKUP(B17,'TICH LUY'!B:D,3,0)),"",VLOOKUP(B17,'TICH LUY'!B:D,3,0)+BJ17)</f>
        <v>0</v>
      </c>
      <c r="BR17" s="40">
        <f t="shared" si="10"/>
        <v>2</v>
      </c>
      <c r="BS17" s="452">
        <f t="shared" si="11"/>
        <v>3.5</v>
      </c>
      <c r="BT17" s="452">
        <f t="shared" si="12"/>
        <v>7</v>
      </c>
      <c r="BU17" s="452">
        <f t="shared" si="13"/>
        <v>5.0999999999999996</v>
      </c>
      <c r="BV17" s="452">
        <f t="shared" si="14"/>
        <v>5.8</v>
      </c>
      <c r="BW17" s="452">
        <f t="shared" si="15"/>
        <v>5</v>
      </c>
      <c r="BX17" s="452">
        <f t="shared" si="16"/>
        <v>3.5</v>
      </c>
      <c r="BY17" s="452" t="str">
        <f t="shared" si="17"/>
        <v/>
      </c>
      <c r="BZ17" s="452" t="str">
        <f t="shared" si="28"/>
        <v/>
      </c>
      <c r="CA17" s="452" t="str">
        <f t="shared" si="29"/>
        <v/>
      </c>
      <c r="CB17" s="452">
        <f t="shared" si="30"/>
        <v>6</v>
      </c>
      <c r="CC17" s="452">
        <f t="shared" si="18"/>
        <v>6.3</v>
      </c>
      <c r="CD17" s="40">
        <f t="shared" si="31"/>
        <v>0</v>
      </c>
      <c r="CE17" s="453">
        <f t="shared" si="80"/>
        <v>4.9000000000000004</v>
      </c>
      <c r="CF17" s="452">
        <f t="shared" si="32"/>
        <v>7.4</v>
      </c>
      <c r="CG17" s="452">
        <f t="shared" si="81"/>
        <v>5.5</v>
      </c>
      <c r="CH17" s="452">
        <f t="shared" si="82"/>
        <v>5.6</v>
      </c>
      <c r="CI17" s="452">
        <f t="shared" si="83"/>
        <v>6.1</v>
      </c>
      <c r="CJ17" s="452">
        <f t="shared" si="84"/>
        <v>4.8</v>
      </c>
      <c r="CK17" s="452" t="str">
        <f t="shared" si="85"/>
        <v/>
      </c>
      <c r="CL17" s="452" t="str">
        <f t="shared" si="33"/>
        <v/>
      </c>
      <c r="CM17" s="452" t="str">
        <f t="shared" si="34"/>
        <v/>
      </c>
      <c r="CN17" s="452">
        <f t="shared" si="35"/>
        <v>6</v>
      </c>
      <c r="CO17" s="452">
        <f t="shared" si="19"/>
        <v>6.3</v>
      </c>
      <c r="CP17" s="454">
        <f t="shared" si="36"/>
        <v>5.89</v>
      </c>
      <c r="CQ17" s="527">
        <f>IF(OR(ISNA(VLOOKUP($B17,'TICH LUY'!$B$11:$BY$85,54,0)),$B17=""),"",VLOOKUP($B17,'TICH LUY'!$B$11:$BY$85,54,0))</f>
        <v>5.4</v>
      </c>
      <c r="CR17" s="507">
        <f>IF(OR(ISNA(VLOOKUP($B17,'TICH LUY'!$B$11:$BY$85,55,0)),$B17=""),"",VLOOKUP($B17,'TICH LUY'!$B$11:$BY$85,55,0))</f>
        <v>8.1</v>
      </c>
      <c r="CS17" s="507">
        <f>IF(OR(ISNA(VLOOKUP($B17,'TICH LUY'!$B$11:$BY$85,56,0)),$B17=""),"",VLOOKUP($B17,'TICH LUY'!$B$11:$BY$85,56,0))</f>
        <v>5.4</v>
      </c>
      <c r="CT17" s="507">
        <f>IF(OR(ISNA(VLOOKUP($B17,'TICH LUY'!$B$11:$BY$85,57,0)),$B17=""),"",VLOOKUP($B17,'TICH LUY'!$B$11:$BY$85,57,0))</f>
        <v>6.1</v>
      </c>
      <c r="CU17" s="507">
        <f>IF(OR(ISNA(VLOOKUP($B17,'TICH LUY'!$B$11:$BY$85,58,0)),$B17=""),"",VLOOKUP($B17,'TICH LUY'!$B$11:$BY$85,58,0))</f>
        <v>5.9</v>
      </c>
      <c r="CV17" s="507">
        <f>IF(OR(ISNA(VLOOKUP($B17,'TICH LUY'!$B$11:$BY$85,59,0)),$B17=""),"",VLOOKUP($B17,'TICH LUY'!$B$11:$BY$85,59,0))</f>
        <v>5.3</v>
      </c>
      <c r="CW17" s="507">
        <f>IF(OR(ISNA(VLOOKUP($B17,'TICH LUY'!$B$11:$BY$85,60,0)),$B17=""),"",VLOOKUP($B17,'TICH LUY'!$B$11:$BY$85,60,0))</f>
        <v>6.6</v>
      </c>
      <c r="CX17" s="507" t="str">
        <f>IF(OR(ISNA(VLOOKUP($B17,'TICH LUY'!$B$11:$BY$85,61,0)),$B17=""),"",VLOOKUP($B17,'TICH LUY'!$B$11:$BY$85,61,0))</f>
        <v/>
      </c>
      <c r="CY17" s="507" t="str">
        <f>IF(OR(ISNA(VLOOKUP($B17,'TICH LUY'!$B$11:$BY$85,62,0)),$B17=""),"",VLOOKUP($B17,'TICH LUY'!$B$11:$BY$85,62,0))</f>
        <v/>
      </c>
      <c r="CZ17" s="507">
        <f>IF(OR(ISNA(VLOOKUP($B17,'TICH LUY'!$B$11:$BY$85,63,0)),$B17=""),"",VLOOKUP($B17,'TICH LUY'!$B$11:$BY$85,63,0))</f>
        <v>6.8</v>
      </c>
      <c r="DA17" s="507">
        <f>IF(OR(ISNA(VLOOKUP($B17,'TICH LUY'!$B$11:$BY$85,64,0)),$B17=""),"",VLOOKUP($B17,'TICH LUY'!$B$11:$BY$85,64,0))</f>
        <v>5.6</v>
      </c>
      <c r="DB17" s="507">
        <f>IF(OR(ISNA(VLOOKUP($B17,'TICH LUY'!$B$11:$BY$85,65,0)),$B17=""),"",VLOOKUP($B17,'TICH LUY'!$B$11:$BY$85,65,0))</f>
        <v>6.8</v>
      </c>
      <c r="DC17" s="507">
        <f>IF(OR(ISNA(VLOOKUP($B17,'TICH LUY'!$B$11:$BY$85,66,0)),$B17=""),"",VLOOKUP($B17,'TICH LUY'!$B$11:$BY$85,66,0))</f>
        <v>6.1</v>
      </c>
      <c r="DD17" s="507" t="str">
        <f>IF(OR(ISNA(VLOOKUP($B17,'TICH LUY'!$B$11:$BY$85,67,0)),$B17=""),"",VLOOKUP($B17,'TICH LUY'!$B$11:$BY$85,67,0))</f>
        <v/>
      </c>
      <c r="DE17" s="507">
        <f>IF(OR(ISNA(VLOOKUP($B17,'TICH LUY'!$B$11:$BY$85,68,0)),$B17=""),"",VLOOKUP($B17,'TICH LUY'!$B$11:$BY$85,68,0))</f>
        <v>6.8</v>
      </c>
      <c r="DF17" s="507">
        <f>IF(OR(ISNA(VLOOKUP($B17,'TICH LUY'!$B$11:$BY$85,69,0)),$B17=""),"",VLOOKUP($B17,'TICH LUY'!$B$11:$BY$85,69,0))</f>
        <v>5.7</v>
      </c>
      <c r="DG17" s="507">
        <f>IF(OR(ISNA(VLOOKUP($B17,'TICH LUY'!$B$11:$BY$85,70,0)),$B17=""),"",VLOOKUP($B17,'TICH LUY'!$B$11:$BY$85,70,0))</f>
        <v>5.4</v>
      </c>
      <c r="DH17" s="507">
        <f>IF(OR(ISNA(VLOOKUP($B17,'TICH LUY'!$B$11:$BY$85,71,0)),$B17=""),"",VLOOKUP($B17,'TICH LUY'!$B$11:$BY$85,71,0))</f>
        <v>6.1</v>
      </c>
      <c r="DI17" s="507" t="str">
        <f>IF(OR(ISNA(VLOOKUP($B17,'TICH LUY'!$B$11:$BY$85,72,0)),$B17=""),"",VLOOKUP($B17,'TICH LUY'!$B$11:$BY$85,72,0))</f>
        <v/>
      </c>
      <c r="DJ17" s="507" t="str">
        <f>IF(OR(ISNA(VLOOKUP($B17,'TICH LUY'!$B$11:$BY$85,73,0)),$B17=""),"",VLOOKUP($B17,'TICH LUY'!$B$11:$BY$85,73,0))</f>
        <v/>
      </c>
      <c r="DK17" s="507" t="str">
        <f>IF(OR(ISNA(VLOOKUP($B17,'TICH LUY'!$B$11:$BY$85,74,0)),$B17=""),"",VLOOKUP($B17,'TICH LUY'!$B$11:$BY$85,74,0))</f>
        <v/>
      </c>
      <c r="DL17" s="507">
        <f>IF(OR(ISNA(VLOOKUP($B17,'TICH LUY'!$B$11:$BY$85,75,0)),$B17=""),"",VLOOKUP($B17,'TICH LUY'!$B$11:$BY$85,75,0))</f>
        <v>6.6</v>
      </c>
      <c r="DM17" s="529" t="str">
        <f>IF(OR(ISNA(VLOOKUP($B17,'TICH LUY'!$B$11:$BY$85,76,0)),$B17=""),"",VLOOKUP($B17,'TICH LUY'!$B$11:$BY$85,76,0))</f>
        <v/>
      </c>
      <c r="DN17" s="455">
        <f t="shared" si="37"/>
        <v>4.9000000000000004</v>
      </c>
      <c r="DO17" s="456">
        <f t="shared" si="38"/>
        <v>7.4</v>
      </c>
      <c r="DP17" s="456">
        <f t="shared" si="39"/>
        <v>5.5</v>
      </c>
      <c r="DQ17" s="456">
        <f t="shared" si="40"/>
        <v>5.6</v>
      </c>
      <c r="DR17" s="456">
        <f t="shared" si="41"/>
        <v>6.1</v>
      </c>
      <c r="DS17" s="456">
        <f t="shared" si="42"/>
        <v>4.8</v>
      </c>
      <c r="DT17" s="456" t="str">
        <f t="shared" si="43"/>
        <v/>
      </c>
      <c r="DU17" s="456" t="str">
        <f t="shared" si="44"/>
        <v/>
      </c>
      <c r="DV17" s="456" t="str">
        <f t="shared" si="45"/>
        <v/>
      </c>
      <c r="DW17" s="456">
        <f t="shared" si="46"/>
        <v>6</v>
      </c>
      <c r="DX17" s="456">
        <f t="shared" si="47"/>
        <v>6.3</v>
      </c>
      <c r="DY17" s="457">
        <f t="shared" si="48"/>
        <v>6.04</v>
      </c>
      <c r="DZ17" s="453" t="str">
        <f t="shared" si="49"/>
        <v/>
      </c>
      <c r="EA17" s="452" t="str">
        <f t="shared" si="50"/>
        <v/>
      </c>
      <c r="EB17" s="452" t="str">
        <f t="shared" si="51"/>
        <v/>
      </c>
      <c r="EC17" s="452" t="str">
        <f t="shared" si="52"/>
        <v/>
      </c>
      <c r="ED17" s="452" t="str">
        <f t="shared" si="53"/>
        <v/>
      </c>
      <c r="EE17" s="452" t="str">
        <f t="shared" si="54"/>
        <v/>
      </c>
      <c r="EF17" s="452" t="str">
        <f t="shared" si="55"/>
        <v/>
      </c>
      <c r="EG17" s="452" t="str">
        <f t="shared" si="56"/>
        <v/>
      </c>
      <c r="EH17" s="452" t="str">
        <f t="shared" si="57"/>
        <v/>
      </c>
      <c r="EI17" s="453">
        <f t="shared" si="58"/>
        <v>4.9000000000000004</v>
      </c>
      <c r="EJ17" s="452">
        <f t="shared" si="59"/>
        <v>7.4</v>
      </c>
      <c r="EK17" s="452">
        <f t="shared" si="60"/>
        <v>5.5</v>
      </c>
      <c r="EL17" s="452">
        <f t="shared" si="61"/>
        <v>5.6</v>
      </c>
      <c r="EM17" s="452">
        <f t="shared" si="62"/>
        <v>6.1</v>
      </c>
      <c r="EN17" s="452">
        <f t="shared" si="63"/>
        <v>4.8</v>
      </c>
      <c r="EO17" s="452" t="str">
        <f t="shared" si="64"/>
        <v/>
      </c>
      <c r="EP17" s="452" t="str">
        <f t="shared" si="65"/>
        <v/>
      </c>
      <c r="EQ17" s="452" t="str">
        <f t="shared" si="66"/>
        <v/>
      </c>
      <c r="ER17" s="452">
        <f t="shared" si="67"/>
        <v>6</v>
      </c>
      <c r="ES17" s="452">
        <f t="shared" si="21"/>
        <v>6.3</v>
      </c>
      <c r="ET17" s="458" t="str">
        <f t="shared" si="68"/>
        <v/>
      </c>
      <c r="EU17" s="527">
        <f>IF(OR(ISNA(VLOOKUP($B17,'TICH LUY'!$B$11:$BY$85,54,0)),$B17=""),"",VLOOKUP($B17,'TICH LUY'!$B$11:$BY$85,54,0))</f>
        <v>5.4</v>
      </c>
      <c r="EV17" s="507">
        <f>IF(OR(ISNA(VLOOKUP($B17,'TICH LUY'!$B$11:$BY$85,55,0)),$B17=""),"",VLOOKUP($B17,'TICH LUY'!$B$11:$BY$85,55,0))</f>
        <v>8.1</v>
      </c>
      <c r="EW17" s="507">
        <f>IF(OR(ISNA(VLOOKUP($B17,'TICH LUY'!$B$11:$BY$85,56,0)),$B17=""),"",VLOOKUP($B17,'TICH LUY'!$B$11:$BY$85,56,0))</f>
        <v>5.4</v>
      </c>
      <c r="EX17" s="507">
        <f>IF(OR(ISNA(VLOOKUP($B17,'TICH LUY'!$B$11:$BY$85,57,0)),$B17=""),"",VLOOKUP($B17,'TICH LUY'!$B$11:$BY$85,57,0))</f>
        <v>6.1</v>
      </c>
      <c r="EY17" s="507">
        <f>IF(OR(ISNA(VLOOKUP($B17,'TICH LUY'!$B$11:$BY$85,58,0)),$B17=""),"",VLOOKUP($B17,'TICH LUY'!$B$11:$BY$85,58,0))</f>
        <v>5.9</v>
      </c>
      <c r="EZ17" s="507">
        <f>IF(OR(ISNA(VLOOKUP($B17,'TICH LUY'!$B$11:$BY$85,59,0)),$B17=""),"",VLOOKUP($B17,'TICH LUY'!$B$11:$BY$85,59,0))</f>
        <v>5.3</v>
      </c>
      <c r="FA17" s="507">
        <f>IF(OR(ISNA(VLOOKUP($B17,'TICH LUY'!$B$11:$BY$85,60,0)),$B17=""),"",VLOOKUP($B17,'TICH LUY'!$B$11:$BY$85,60,0))</f>
        <v>6.6</v>
      </c>
      <c r="FB17" s="507" t="str">
        <f>IF(OR(ISNA(VLOOKUP($B17,'TICH LUY'!$B$11:$BY$85,61,0)),$B17=""),"",VLOOKUP($B17,'TICH LUY'!$B$11:$BY$85,61,0))</f>
        <v/>
      </c>
      <c r="FC17" s="507" t="str">
        <f>IF(OR(ISNA(VLOOKUP($B17,'TICH LUY'!$B$11:$BY$85,62,0)),$B17=""),"",VLOOKUP($B17,'TICH LUY'!$B$11:$BY$85,62,0))</f>
        <v/>
      </c>
      <c r="FD17" s="507">
        <f>IF(OR(ISNA(VLOOKUP($B17,'TICH LUY'!$B$11:$BY$85,63,0)),$B17=""),"",VLOOKUP($B17,'TICH LUY'!$B$11:$BY$85,63,0))</f>
        <v>6.8</v>
      </c>
      <c r="FE17" s="507">
        <f>IF(OR(ISNA(VLOOKUP($B17,'TICH LUY'!$B$11:$BY$85,64,0)),$B17=""),"",VLOOKUP($B17,'TICH LUY'!$B$11:$BY$85,64,0))</f>
        <v>5.6</v>
      </c>
      <c r="FF17" s="507">
        <f>IF(OR(ISNA(VLOOKUP($B17,'TICH LUY'!$B$11:$BY$85,65,0)),$B17=""),"",VLOOKUP($B17,'TICH LUY'!$B$11:$BY$85,65,0))</f>
        <v>6.8</v>
      </c>
      <c r="FG17" s="507">
        <f>IF(OR(ISNA(VLOOKUP($B17,'TICH LUY'!$B$11:$BY$85,66,0)),$B17=""),"",VLOOKUP($B17,'TICH LUY'!$B$11:$BY$85,66,0))</f>
        <v>6.1</v>
      </c>
      <c r="FH17" s="507" t="str">
        <f>IF(OR(ISNA(VLOOKUP($B17,'TICH LUY'!$B$11:$BY$85,67,0)),$B17=""),"",VLOOKUP($B17,'TICH LUY'!$B$11:$BY$85,67,0))</f>
        <v/>
      </c>
      <c r="FI17" s="507">
        <f>IF(OR(ISNA(VLOOKUP($B17,'TICH LUY'!$B$11:$BY$85,68,0)),$B17=""),"",VLOOKUP($B17,'TICH LUY'!$B$11:$BY$85,68,0))</f>
        <v>6.8</v>
      </c>
      <c r="FJ17" s="507">
        <f>IF(OR(ISNA(VLOOKUP($B17,'TICH LUY'!$B$11:$BY$85,69,0)),$B17=""),"",VLOOKUP($B17,'TICH LUY'!$B$11:$BY$85,69,0))</f>
        <v>5.7</v>
      </c>
      <c r="FK17" s="507">
        <f>IF(OR(ISNA(VLOOKUP($B17,'TICH LUY'!$B$11:$BY$85,70,0)),$B17=""),"",VLOOKUP($B17,'TICH LUY'!$B$11:$BY$85,70,0))</f>
        <v>5.4</v>
      </c>
      <c r="FL17" s="507">
        <f>IF(OR(ISNA(VLOOKUP($B17,'TICH LUY'!$B$11:$BY$85,71,0)),$B17=""),"",VLOOKUP($B17,'TICH LUY'!$B$11:$BY$85,71,0))</f>
        <v>6.1</v>
      </c>
      <c r="FM17" s="507" t="str">
        <f>IF(OR(ISNA(VLOOKUP($B17,'TICH LUY'!$B$11:$BY$85,72,0)),$B17=""),"",VLOOKUP($B17,'TICH LUY'!$B$11:$BY$85,72,0))</f>
        <v/>
      </c>
      <c r="FN17" s="507" t="str">
        <f>IF(OR(ISNA(VLOOKUP($B17,'TICH LUY'!$B$11:$BY$85,73,0)),$B17=""),"",VLOOKUP($B17,'TICH LUY'!$B$11:$BY$85,73,0))</f>
        <v/>
      </c>
      <c r="FO17" s="507" t="str">
        <f>IF(OR(ISNA(VLOOKUP($B17,'TICH LUY'!$B$11:$BY$85,74,0)),$B17=""),"",VLOOKUP($B17,'TICH LUY'!$B$11:$BY$85,74,0))</f>
        <v/>
      </c>
      <c r="FP17" s="507">
        <f>IF(OR(ISNA(VLOOKUP($B17,'TICH LUY'!$B$11:$BY$85,75,0)),$B17=""),"",VLOOKUP($B17,'TICH LUY'!$B$11:$BY$85,75,0))</f>
        <v>6.6</v>
      </c>
      <c r="FQ17" s="529" t="str">
        <f>IF(OR(ISNA(VLOOKUP($B17,'TICH LUY'!$B$11:$BY$85,76,0)),$B17=""),"",VLOOKUP($B17,'TICH LUY'!$B$11:$BY$85,76,0))</f>
        <v/>
      </c>
      <c r="FR17" s="455">
        <f t="shared" si="69"/>
        <v>4.9000000000000004</v>
      </c>
      <c r="FS17" s="456">
        <f t="shared" si="70"/>
        <v>7.4</v>
      </c>
      <c r="FT17" s="456">
        <f t="shared" si="71"/>
        <v>5.5</v>
      </c>
      <c r="FU17" s="456">
        <f t="shared" si="72"/>
        <v>5.6</v>
      </c>
      <c r="FV17" s="456">
        <f t="shared" si="73"/>
        <v>6.1</v>
      </c>
      <c r="FW17" s="456">
        <f t="shared" si="74"/>
        <v>4.8</v>
      </c>
      <c r="FX17" s="456" t="str">
        <f t="shared" si="75"/>
        <v/>
      </c>
      <c r="FY17" s="456" t="str">
        <f t="shared" si="76"/>
        <v/>
      </c>
      <c r="FZ17" s="456" t="str">
        <f t="shared" si="77"/>
        <v/>
      </c>
      <c r="GA17" s="456">
        <f t="shared" si="78"/>
        <v>6</v>
      </c>
      <c r="GB17" s="459">
        <f t="shared" si="79"/>
        <v>6.3</v>
      </c>
      <c r="GC17" s="457">
        <f t="shared" si="23"/>
        <v>6.04</v>
      </c>
    </row>
    <row r="18" spans="1:185" s="221" customFormat="1" ht="15.75">
      <c r="A18" s="449">
        <f>IF(B18="","",SUBTOTAL(3,$B$11:B18))</f>
        <v>8</v>
      </c>
      <c r="B18" s="198" t="s">
        <v>2032</v>
      </c>
      <c r="C18" s="450" t="str">
        <f>IF($B18="","",VLOOKUP($B18,'DS LOP HKI'!$B$2:$F$2642,2,0))</f>
        <v>Nguyễn Thành</v>
      </c>
      <c r="D18" s="451" t="str">
        <f>IF($B18="","",VLOOKUP($B18,'DS LOP HKI'!$B$2:$F$2642,3,0))</f>
        <v>Đông</v>
      </c>
      <c r="E18" s="154"/>
      <c r="F18" s="152"/>
      <c r="G18" s="156">
        <v>1</v>
      </c>
      <c r="H18" s="181">
        <f>IF(OR($H$6="",$H$7=""),"",IF($B18="","",IF(ISNA(VLOOKUP($B18,'LT01'!$B$11:$R$75,13,FALSE)),"",IF(VLOOKUP($B18,'LT01'!$B$11:$R$75,13,FALSE)="","",VLOOKUP($B18,'LT01'!$B$11:$R$75,13,FALSE)))))</f>
        <v>3</v>
      </c>
      <c r="I18" s="182">
        <f>IF(OR($H$6="",$H$7=""),"",IF($B18="","",IF(ISNA(VLOOKUP($B18,'LT01'!$B$11:$R$75,14,FALSE)),"",VLOOKUP($B18,'LT01'!$B$11:$R$75,14,FALSE))))</f>
        <v>4.4000000000000004</v>
      </c>
      <c r="J18" s="183"/>
      <c r="K18" s="182" t="str">
        <f>IF(OR($H$6="",$H$7=""),"",IF($B18="","",IF(ISNA(VLOOKUP($B18,'LT01'!$B$11:$R$75,17,FALSE)),"",VLOOKUP($B18,'LT01'!$B$11:$R$75,17,FALSE))))</f>
        <v/>
      </c>
      <c r="L18" s="185">
        <f>IF(OR($H$6="",$H$7=""),"",IF($B18="","",IF(ISNA(VLOOKUP($B18,'LT02'!$B$11:$R$75,13,FALSE)),"",IF(VLOOKUP($B18,'LT02'!$B$11:$R$75,13,FALSE)="","",VLOOKUP($B18,'LT02'!$B$11:$R$75,13,FALSE)))))</f>
        <v>5.8</v>
      </c>
      <c r="M18" s="182">
        <f>IF(OR($H$6="",$H$7=""),"",IF($B18="","",IF(ISNA(VLOOKUP($B18,'LT02'!$B$11:$R$75,14,FALSE)),"",VLOOKUP($B18,'LT02'!$B$11:$R$75,14,FALSE))))</f>
        <v>6.4</v>
      </c>
      <c r="N18" s="183"/>
      <c r="O18" s="182" t="str">
        <f>IF(OR($H$6="",$H$7=""),"",IF($B18="","",IF(ISNA(VLOOKUP($B18,'LT02'!$B$11:$R$75,17,FALSE)),"",VLOOKUP($B18,'LT02'!$B$11:$R$75,17,FALSE))))</f>
        <v/>
      </c>
      <c r="P18" s="185">
        <f>IF(OR($H$6="",$H$7=""),"",IF($B18="","",IF(ISNA(VLOOKUP($B18,'LT03'!$B$11:$R$75,13,FALSE)),"",IF(VLOOKUP($B18,'LT03'!$B$11:$R$75,13,FALSE)="","",VLOOKUP($B18,'LT03'!$B$11:$R$75,13,FALSE)))))</f>
        <v>4.0999999999999996</v>
      </c>
      <c r="Q18" s="182">
        <f>IF(OR($H$6="",$H$7=""),"",IF($B18="","",IF(ISNA(VLOOKUP($B18,'LT03'!$B$11:$R$75,14,FALSE)),"",VLOOKUP($B18,'LT03'!$B$11:$R$75,14,FALSE))))</f>
        <v>5.0999999999999996</v>
      </c>
      <c r="R18" s="183"/>
      <c r="S18" s="182" t="str">
        <f>IF(OR($H$6="",$H$7=""),"",IF($B18="","",IF(ISNA(VLOOKUP($B18,'LT03'!$B$11:$R$75,17,FALSE)),"",VLOOKUP($B18,'LT03'!$B$11:$R$75,17,FALSE))))</f>
        <v/>
      </c>
      <c r="T18" s="185">
        <f>IF(OR($H$6="",$H$7=""),"",IF($B18="","",IF(ISNA(VLOOKUP($B18,'LT04'!$B$11:$R$75,13,FALSE)),"",IF(VLOOKUP($B18,'LT04'!$B$11:$R$75,13,FALSE)="","",VLOOKUP($B18,'LT04'!$B$11:$R$75,13,FALSE)))))</f>
        <v>5.8</v>
      </c>
      <c r="U18" s="182">
        <f>IF(OR($H$6="",$H$7=""),"",IF($B18="","",IF(ISNA(VLOOKUP($B18,'LT04'!$B$11:$R$75,14,FALSE)),"",VLOOKUP($B18,'LT04'!$B$11:$R$75,14,FALSE))))</f>
        <v>6.3</v>
      </c>
      <c r="V18" s="183"/>
      <c r="W18" s="184" t="str">
        <f>IF(OR($H$6="",$H$7=""),"",IF($B18="","",IF(ISNA(VLOOKUP($B18,'LT04'!$B$11:$R$75,17,FALSE)),"",VLOOKUP($B18,'LT04'!$B$11:$R$75,17,FALSE))))</f>
        <v/>
      </c>
      <c r="X18" s="185">
        <f>IF(OR($H$6="",$H$7=""),"",IF($B18="","",IF(ISNA(VLOOKUP($B18,'LT05'!$B$11:$R$75,13,FALSE)),"",IF(VLOOKUP($B18,'LT05'!$B$11:$R$75,13,FALSE)="","",VLOOKUP($B18,'LT05'!$B$11:$R$75,13,FALSE)))))</f>
        <v>5.3</v>
      </c>
      <c r="Y18" s="182">
        <f>IF(OR($H$6="",$H$7=""),"",IF($B18="","",IF(ISNA(VLOOKUP($B18,'LT05'!$B$11:$R$75,14,FALSE)),"",VLOOKUP($B18,'LT05'!$B$11:$R$75,14,FALSE))))</f>
        <v>5</v>
      </c>
      <c r="Z18" s="183"/>
      <c r="AA18" s="182" t="str">
        <f>IF(OR($H$6="",$H$7=""),"",IF($B18="","",IF(ISNA(VLOOKUP($B18,'LT05'!$B$11:$R$75,17,FALSE)),"",VLOOKUP($B18,'LT05'!$B$11:$R$75,17,FALSE))))</f>
        <v/>
      </c>
      <c r="AB18" s="185">
        <f>IF(OR($H$6="",$H$7=""),"",IF($B18="","",IF(ISNA(VLOOKUP($B18,'LT06'!$B$11:$R$75,13,FALSE)),"",IF(VLOOKUP($B18,'LT06'!$B$11:$R$75,13,FALSE)="","",VLOOKUP($B18,'LT06'!$B$11:$R$75,13,FALSE)))))</f>
        <v>4.5</v>
      </c>
      <c r="AC18" s="182">
        <f>IF(OR($H$6="",$H$7=""),"",IF($B18="","",IF(ISNA(VLOOKUP($B18,'LT06'!$B$11:$R$75,14,FALSE)),"",VLOOKUP($B18,'LT06'!$B$11:$R$75,14,FALSE))))</f>
        <v>5.2</v>
      </c>
      <c r="AD18" s="183"/>
      <c r="AE18" s="182" t="str">
        <f>IF(OR($H$6="",$H$7=""),"",IF($B18="","",IF(ISNA(VLOOKUP($B18,'LT06'!$B$11:$R$75,17,FALSE)),"",VLOOKUP($B18,'LT06'!$B$11:$R$75,17,FALSE))))</f>
        <v/>
      </c>
      <c r="AF18" s="185" t="str">
        <f>IF(OR($H$6="",$H$7=""),"",IF($B18="","",IF(ISNA(VLOOKUP($B18,'LT07'!$B$11:$R$75,13,FALSE)),"",IF(VLOOKUP($B18,'LT07'!$B$11:$R$75,13,FALSE)="","",VLOOKUP($B18,'LT07'!$B$11:$R$75,13,FALSE)))))</f>
        <v/>
      </c>
      <c r="AG18" s="182" t="str">
        <f>IF(OR($H$6="",$H$7=""),"",IF($B18="","",IF(ISNA(VLOOKUP($B18,'LT07'!$B$11:$R$75,14,FALSE)),"",VLOOKUP($B18,'LT07'!$B$11:$R$75,14,FALSE))))</f>
        <v/>
      </c>
      <c r="AH18" s="183"/>
      <c r="AI18" s="182" t="str">
        <f>IF(OR($H$6="",$H$7=""),"",IF($B18="","",IF(ISNA(VLOOKUP($B18,'LT07'!$B$11:$R$75,17,FALSE)),"",VLOOKUP($B18,'LT07'!$B$11:$R$75,17,FALSE))))</f>
        <v/>
      </c>
      <c r="AJ18" s="185" t="str">
        <f>IF(OR($H$6="",$H$7=""),"",IF($B18="","",IF(ISNA(VLOOKUP($B18,'LT08'!$B$11:$R$75,13,FALSE)),"",IF(VLOOKUP($B18,'LT08'!$B$11:$R$75,13,FALSE)="","",VLOOKUP($B18,'LT08'!$B$11:$R$75,13,FALSE)))))</f>
        <v/>
      </c>
      <c r="AK18" s="182" t="str">
        <f>IF(OR($H$6="",$H$7=""),"",IF($B18="","",IF(ISNA(VLOOKUP($B18,'LT08'!$B$11:$R$75,14,FALSE)),"",VLOOKUP($B18,'LT08'!$B$11:$R$75,14,FALSE))))</f>
        <v/>
      </c>
      <c r="AL18" s="183"/>
      <c r="AM18" s="182" t="str">
        <f>IF(OR($H$6="",$H$7=""),"",IF($B18="","",IF(ISNA(VLOOKUP($B18,'LT08'!$B$11:$R$75,17,FALSE)),"",VLOOKUP($B18,'LT08'!$B$11:$R$75,17,FALSE))))</f>
        <v/>
      </c>
      <c r="AN18" s="185" t="str">
        <f>IF(OR($H$6="",$H$7=""),"",IF($B18="","",IF(ISNA(VLOOKUP($B18,'LT09'!$B$11:$R$75,13,FALSE)),"",IF(VLOOKUP($B18,'LT09'!$B$11:$R$75,13,FALSE)="","",VLOOKUP($B18,'LT09'!$B$11:$R$75,13,FALSE)))))</f>
        <v/>
      </c>
      <c r="AO18" s="182" t="str">
        <f>IF(OR($H$6="",$H$7=""),"",IF($B18="","",IF(ISNA(VLOOKUP($B18,'LT09'!$B$11:$R$75,14,FALSE)),"",VLOOKUP($B18,'LT09'!$B$11:$R$75,14,FALSE))))</f>
        <v/>
      </c>
      <c r="AP18" s="183"/>
      <c r="AQ18" s="182" t="str">
        <f>IF(OR($H$6="",$H$7=""),"",IF($B18="","",IF(ISNA(VLOOKUP($B18,'LT09'!$B$11:$R$75,17,FALSE)),"",VLOOKUP($B18,'LT09'!$B$11:$R$75,17,FALSE))))</f>
        <v/>
      </c>
      <c r="AR18" s="186"/>
      <c r="AS18" s="182">
        <f>IF(OR($H$6="",$H$7=""),"",IF($B18="","",IF(ISNA(VLOOKUP($B18,'TH01'!$B$11:$R$75,14,FALSE)),"",VLOOKUP($B18,'TH01'!$B$11:$R$75,14,FALSE))))</f>
        <v>6.5</v>
      </c>
      <c r="AT18" s="183"/>
      <c r="AU18" s="187"/>
      <c r="AV18" s="186"/>
      <c r="AW18" s="182">
        <f>IF(OR($H$6="",$H$7=""),"",IF($B18="","",IF(ISNA(VLOOKUP($B18,'TH02'!$B$11:$R$75,14,FALSE)),"",VLOOKUP($B18,'TH02'!$B$11:$R$75,14,FALSE))))</f>
        <v>7</v>
      </c>
      <c r="AX18" s="183"/>
      <c r="AY18" s="187"/>
      <c r="AZ18" s="54">
        <f t="shared" si="24"/>
        <v>5.74</v>
      </c>
      <c r="BA18" s="54" t="str">
        <f t="shared" si="0"/>
        <v/>
      </c>
      <c r="BB18" s="70">
        <v>54</v>
      </c>
      <c r="BC18" s="52" t="str">
        <f t="shared" si="25"/>
        <v>TB</v>
      </c>
      <c r="BD18" s="52" t="str">
        <f t="shared" si="26"/>
        <v/>
      </c>
      <c r="BE18" s="52" t="str">
        <f t="shared" si="1"/>
        <v/>
      </c>
      <c r="BF18" s="149" t="str">
        <f t="shared" si="2"/>
        <v/>
      </c>
      <c r="BG18" s="52">
        <f t="shared" si="3"/>
        <v>18</v>
      </c>
      <c r="BH18" s="52">
        <f t="shared" si="27"/>
        <v>0</v>
      </c>
      <c r="BI18" s="52">
        <f t="shared" si="4"/>
        <v>18</v>
      </c>
      <c r="BJ18" s="52">
        <f t="shared" si="5"/>
        <v>0</v>
      </c>
      <c r="BK18" s="54">
        <f t="shared" si="6"/>
        <v>5.78</v>
      </c>
      <c r="BL18" s="54" t="str">
        <f t="shared" si="7"/>
        <v>BT</v>
      </c>
      <c r="BM18" s="54">
        <f t="shared" si="8"/>
        <v>5.78</v>
      </c>
      <c r="BN18" s="54" t="str">
        <f t="shared" si="9"/>
        <v>BT</v>
      </c>
      <c r="BO18" s="70"/>
      <c r="BP18" s="52">
        <f>IF(ISNA(VLOOKUP(B18,'TICH LUY'!B:D,2,0)),"",VLOOKUP(B18,'TICH LUY'!B:D,2,0)+BI18)</f>
        <v>57</v>
      </c>
      <c r="BQ18" s="52">
        <f>IF(ISNA(VLOOKUP(B18,'TICH LUY'!B:D,3,0)),"",VLOOKUP(B18,'TICH LUY'!B:D,3,0)+BJ18)</f>
        <v>0</v>
      </c>
      <c r="BR18" s="40">
        <f t="shared" si="10"/>
        <v>3</v>
      </c>
      <c r="BS18" s="452">
        <f t="shared" si="11"/>
        <v>3</v>
      </c>
      <c r="BT18" s="452">
        <f t="shared" si="12"/>
        <v>5.8</v>
      </c>
      <c r="BU18" s="452">
        <f t="shared" si="13"/>
        <v>4.0999999999999996</v>
      </c>
      <c r="BV18" s="452">
        <f t="shared" si="14"/>
        <v>5.8</v>
      </c>
      <c r="BW18" s="452">
        <f t="shared" si="15"/>
        <v>5.3</v>
      </c>
      <c r="BX18" s="452">
        <f t="shared" si="16"/>
        <v>4.5</v>
      </c>
      <c r="BY18" s="452" t="str">
        <f t="shared" si="17"/>
        <v/>
      </c>
      <c r="BZ18" s="452" t="str">
        <f t="shared" si="28"/>
        <v/>
      </c>
      <c r="CA18" s="452" t="str">
        <f t="shared" si="29"/>
        <v/>
      </c>
      <c r="CB18" s="452">
        <f t="shared" si="30"/>
        <v>6.5</v>
      </c>
      <c r="CC18" s="452">
        <f t="shared" si="18"/>
        <v>7</v>
      </c>
      <c r="CD18" s="40">
        <f t="shared" si="31"/>
        <v>0</v>
      </c>
      <c r="CE18" s="453">
        <f t="shared" si="80"/>
        <v>4.4000000000000004</v>
      </c>
      <c r="CF18" s="452">
        <f t="shared" si="32"/>
        <v>6.4</v>
      </c>
      <c r="CG18" s="452">
        <f t="shared" si="81"/>
        <v>5.0999999999999996</v>
      </c>
      <c r="CH18" s="452">
        <f t="shared" si="82"/>
        <v>6.3</v>
      </c>
      <c r="CI18" s="452">
        <f t="shared" si="83"/>
        <v>5</v>
      </c>
      <c r="CJ18" s="452">
        <f t="shared" si="84"/>
        <v>5.2</v>
      </c>
      <c r="CK18" s="452" t="str">
        <f t="shared" si="85"/>
        <v/>
      </c>
      <c r="CL18" s="452" t="str">
        <f t="shared" si="33"/>
        <v/>
      </c>
      <c r="CM18" s="452" t="str">
        <f t="shared" si="34"/>
        <v/>
      </c>
      <c r="CN18" s="452">
        <f t="shared" si="35"/>
        <v>6.5</v>
      </c>
      <c r="CO18" s="452">
        <f t="shared" si="19"/>
        <v>7</v>
      </c>
      <c r="CP18" s="454">
        <f t="shared" si="36"/>
        <v>5.74</v>
      </c>
      <c r="CQ18" s="527">
        <f>IF(OR(ISNA(VLOOKUP($B18,'TICH LUY'!$B$11:$BY$85,54,0)),$B18=""),"",VLOOKUP($B18,'TICH LUY'!$B$11:$BY$85,54,0))</f>
        <v>6</v>
      </c>
      <c r="CR18" s="507">
        <f>IF(OR(ISNA(VLOOKUP($B18,'TICH LUY'!$B$11:$BY$85,55,0)),$B18=""),"",VLOOKUP($B18,'TICH LUY'!$B$11:$BY$85,55,0))</f>
        <v>6.1</v>
      </c>
      <c r="CS18" s="507">
        <f>IF(OR(ISNA(VLOOKUP($B18,'TICH LUY'!$B$11:$BY$85,56,0)),$B18=""),"",VLOOKUP($B18,'TICH LUY'!$B$11:$BY$85,56,0))</f>
        <v>7.3</v>
      </c>
      <c r="CT18" s="507">
        <f>IF(OR(ISNA(VLOOKUP($B18,'TICH LUY'!$B$11:$BY$85,57,0)),$B18=""),"",VLOOKUP($B18,'TICH LUY'!$B$11:$BY$85,57,0))</f>
        <v>5.5</v>
      </c>
      <c r="CU18" s="507">
        <f>IF(OR(ISNA(VLOOKUP($B18,'TICH LUY'!$B$11:$BY$85,58,0)),$B18=""),"",VLOOKUP($B18,'TICH LUY'!$B$11:$BY$85,58,0))</f>
        <v>5.4</v>
      </c>
      <c r="CV18" s="507">
        <f>IF(OR(ISNA(VLOOKUP($B18,'TICH LUY'!$B$11:$BY$85,59,0)),$B18=""),"",VLOOKUP($B18,'TICH LUY'!$B$11:$BY$85,59,0))</f>
        <v>5</v>
      </c>
      <c r="CW18" s="507">
        <f>IF(OR(ISNA(VLOOKUP($B18,'TICH LUY'!$B$11:$BY$85,60,0)),$B18=""),"",VLOOKUP($B18,'TICH LUY'!$B$11:$BY$85,60,0))</f>
        <v>6.2</v>
      </c>
      <c r="CX18" s="507" t="str">
        <f>IF(OR(ISNA(VLOOKUP($B18,'TICH LUY'!$B$11:$BY$85,61,0)),$B18=""),"",VLOOKUP($B18,'TICH LUY'!$B$11:$BY$85,61,0))</f>
        <v/>
      </c>
      <c r="CY18" s="507" t="str">
        <f>IF(OR(ISNA(VLOOKUP($B18,'TICH LUY'!$B$11:$BY$85,62,0)),$B18=""),"",VLOOKUP($B18,'TICH LUY'!$B$11:$BY$85,62,0))</f>
        <v/>
      </c>
      <c r="CZ18" s="507">
        <f>IF(OR(ISNA(VLOOKUP($B18,'TICH LUY'!$B$11:$BY$85,63,0)),$B18=""),"",VLOOKUP($B18,'TICH LUY'!$B$11:$BY$85,63,0))</f>
        <v>6.1</v>
      </c>
      <c r="DA18" s="507">
        <f>IF(OR(ISNA(VLOOKUP($B18,'TICH LUY'!$B$11:$BY$85,64,0)),$B18=""),"",VLOOKUP($B18,'TICH LUY'!$B$11:$BY$85,64,0))</f>
        <v>6.2</v>
      </c>
      <c r="DB18" s="507">
        <f>IF(OR(ISNA(VLOOKUP($B18,'TICH LUY'!$B$11:$BY$85,65,0)),$B18=""),"",VLOOKUP($B18,'TICH LUY'!$B$11:$BY$85,65,0))</f>
        <v>5.9</v>
      </c>
      <c r="DC18" s="507" t="str">
        <f>IF(OR(ISNA(VLOOKUP($B18,'TICH LUY'!$B$11:$BY$85,66,0)),$B18=""),"",VLOOKUP($B18,'TICH LUY'!$B$11:$BY$85,66,0))</f>
        <v/>
      </c>
      <c r="DD18" s="507">
        <f>IF(OR(ISNA(VLOOKUP($B18,'TICH LUY'!$B$11:$BY$85,67,0)),$B18=""),"",VLOOKUP($B18,'TICH LUY'!$B$11:$BY$85,67,0))</f>
        <v>6.5</v>
      </c>
      <c r="DE18" s="507">
        <f>IF(OR(ISNA(VLOOKUP($B18,'TICH LUY'!$B$11:$BY$85,68,0)),$B18=""),"",VLOOKUP($B18,'TICH LUY'!$B$11:$BY$85,68,0))</f>
        <v>6.1</v>
      </c>
      <c r="DF18" s="507">
        <f>IF(OR(ISNA(VLOOKUP($B18,'TICH LUY'!$B$11:$BY$85,69,0)),$B18=""),"",VLOOKUP($B18,'TICH LUY'!$B$11:$BY$85,69,0))</f>
        <v>6.2</v>
      </c>
      <c r="DG18" s="507">
        <f>IF(OR(ISNA(VLOOKUP($B18,'TICH LUY'!$B$11:$BY$85,70,0)),$B18=""),"",VLOOKUP($B18,'TICH LUY'!$B$11:$BY$85,70,0))</f>
        <v>4.2</v>
      </c>
      <c r="DH18" s="507">
        <f>IF(OR(ISNA(VLOOKUP($B18,'TICH LUY'!$B$11:$BY$85,71,0)),$B18=""),"",VLOOKUP($B18,'TICH LUY'!$B$11:$BY$85,71,0))</f>
        <v>5.2</v>
      </c>
      <c r="DI18" s="507" t="str">
        <f>IF(OR(ISNA(VLOOKUP($B18,'TICH LUY'!$B$11:$BY$85,72,0)),$B18=""),"",VLOOKUP($B18,'TICH LUY'!$B$11:$BY$85,72,0))</f>
        <v/>
      </c>
      <c r="DJ18" s="507" t="str">
        <f>IF(OR(ISNA(VLOOKUP($B18,'TICH LUY'!$B$11:$BY$85,73,0)),$B18=""),"",VLOOKUP($B18,'TICH LUY'!$B$11:$BY$85,73,0))</f>
        <v/>
      </c>
      <c r="DK18" s="507" t="str">
        <f>IF(OR(ISNA(VLOOKUP($B18,'TICH LUY'!$B$11:$BY$85,74,0)),$B18=""),"",VLOOKUP($B18,'TICH LUY'!$B$11:$BY$85,74,0))</f>
        <v/>
      </c>
      <c r="DL18" s="507">
        <f>IF(OR(ISNA(VLOOKUP($B18,'TICH LUY'!$B$11:$BY$85,75,0)),$B18=""),"",VLOOKUP($B18,'TICH LUY'!$B$11:$BY$85,75,0))</f>
        <v>5.7</v>
      </c>
      <c r="DM18" s="529" t="str">
        <f>IF(OR(ISNA(VLOOKUP($B18,'TICH LUY'!$B$11:$BY$85,76,0)),$B18=""),"",VLOOKUP($B18,'TICH LUY'!$B$11:$BY$85,76,0))</f>
        <v/>
      </c>
      <c r="DN18" s="455">
        <f t="shared" si="37"/>
        <v>4.4000000000000004</v>
      </c>
      <c r="DO18" s="456">
        <f t="shared" si="38"/>
        <v>6.4</v>
      </c>
      <c r="DP18" s="456">
        <f t="shared" si="39"/>
        <v>5.0999999999999996</v>
      </c>
      <c r="DQ18" s="456">
        <f t="shared" si="40"/>
        <v>6.3</v>
      </c>
      <c r="DR18" s="456">
        <f t="shared" si="41"/>
        <v>5</v>
      </c>
      <c r="DS18" s="456">
        <f t="shared" si="42"/>
        <v>5.2</v>
      </c>
      <c r="DT18" s="456" t="str">
        <f t="shared" si="43"/>
        <v/>
      </c>
      <c r="DU18" s="456" t="str">
        <f t="shared" si="44"/>
        <v/>
      </c>
      <c r="DV18" s="456" t="str">
        <f t="shared" si="45"/>
        <v/>
      </c>
      <c r="DW18" s="456">
        <f t="shared" si="46"/>
        <v>6.5</v>
      </c>
      <c r="DX18" s="456">
        <f t="shared" si="47"/>
        <v>7</v>
      </c>
      <c r="DY18" s="457">
        <f t="shared" si="48"/>
        <v>5.78</v>
      </c>
      <c r="DZ18" s="453" t="str">
        <f t="shared" si="49"/>
        <v/>
      </c>
      <c r="EA18" s="452" t="str">
        <f t="shared" si="50"/>
        <v/>
      </c>
      <c r="EB18" s="452" t="str">
        <f t="shared" si="51"/>
        <v/>
      </c>
      <c r="EC18" s="452" t="str">
        <f t="shared" si="52"/>
        <v/>
      </c>
      <c r="ED18" s="452" t="str">
        <f t="shared" si="53"/>
        <v/>
      </c>
      <c r="EE18" s="452" t="str">
        <f t="shared" si="54"/>
        <v/>
      </c>
      <c r="EF18" s="452" t="str">
        <f t="shared" si="55"/>
        <v/>
      </c>
      <c r="EG18" s="452" t="str">
        <f t="shared" si="56"/>
        <v/>
      </c>
      <c r="EH18" s="452" t="str">
        <f t="shared" si="57"/>
        <v/>
      </c>
      <c r="EI18" s="453">
        <f t="shared" si="58"/>
        <v>4.4000000000000004</v>
      </c>
      <c r="EJ18" s="452">
        <f t="shared" si="59"/>
        <v>6.4</v>
      </c>
      <c r="EK18" s="452">
        <f t="shared" si="60"/>
        <v>5.0999999999999996</v>
      </c>
      <c r="EL18" s="452">
        <f t="shared" si="61"/>
        <v>6.3</v>
      </c>
      <c r="EM18" s="452">
        <f t="shared" si="62"/>
        <v>5</v>
      </c>
      <c r="EN18" s="452">
        <f t="shared" si="63"/>
        <v>5.2</v>
      </c>
      <c r="EO18" s="452" t="str">
        <f t="shared" si="64"/>
        <v/>
      </c>
      <c r="EP18" s="452" t="str">
        <f t="shared" si="65"/>
        <v/>
      </c>
      <c r="EQ18" s="452" t="str">
        <f t="shared" si="66"/>
        <v/>
      </c>
      <c r="ER18" s="452">
        <f t="shared" si="67"/>
        <v>6.5</v>
      </c>
      <c r="ES18" s="452">
        <f t="shared" si="21"/>
        <v>7</v>
      </c>
      <c r="ET18" s="458" t="str">
        <f t="shared" si="68"/>
        <v/>
      </c>
      <c r="EU18" s="527">
        <f>IF(OR(ISNA(VLOOKUP($B18,'TICH LUY'!$B$11:$BY$85,54,0)),$B18=""),"",VLOOKUP($B18,'TICH LUY'!$B$11:$BY$85,54,0))</f>
        <v>6</v>
      </c>
      <c r="EV18" s="507">
        <f>IF(OR(ISNA(VLOOKUP($B18,'TICH LUY'!$B$11:$BY$85,55,0)),$B18=""),"",VLOOKUP($B18,'TICH LUY'!$B$11:$BY$85,55,0))</f>
        <v>6.1</v>
      </c>
      <c r="EW18" s="507">
        <f>IF(OR(ISNA(VLOOKUP($B18,'TICH LUY'!$B$11:$BY$85,56,0)),$B18=""),"",VLOOKUP($B18,'TICH LUY'!$B$11:$BY$85,56,0))</f>
        <v>7.3</v>
      </c>
      <c r="EX18" s="507">
        <f>IF(OR(ISNA(VLOOKUP($B18,'TICH LUY'!$B$11:$BY$85,57,0)),$B18=""),"",VLOOKUP($B18,'TICH LUY'!$B$11:$BY$85,57,0))</f>
        <v>5.5</v>
      </c>
      <c r="EY18" s="507">
        <f>IF(OR(ISNA(VLOOKUP($B18,'TICH LUY'!$B$11:$BY$85,58,0)),$B18=""),"",VLOOKUP($B18,'TICH LUY'!$B$11:$BY$85,58,0))</f>
        <v>5.4</v>
      </c>
      <c r="EZ18" s="507">
        <f>IF(OR(ISNA(VLOOKUP($B18,'TICH LUY'!$B$11:$BY$85,59,0)),$B18=""),"",VLOOKUP($B18,'TICH LUY'!$B$11:$BY$85,59,0))</f>
        <v>5</v>
      </c>
      <c r="FA18" s="507">
        <f>IF(OR(ISNA(VLOOKUP($B18,'TICH LUY'!$B$11:$BY$85,60,0)),$B18=""),"",VLOOKUP($B18,'TICH LUY'!$B$11:$BY$85,60,0))</f>
        <v>6.2</v>
      </c>
      <c r="FB18" s="507" t="str">
        <f>IF(OR(ISNA(VLOOKUP($B18,'TICH LUY'!$B$11:$BY$85,61,0)),$B18=""),"",VLOOKUP($B18,'TICH LUY'!$B$11:$BY$85,61,0))</f>
        <v/>
      </c>
      <c r="FC18" s="507" t="str">
        <f>IF(OR(ISNA(VLOOKUP($B18,'TICH LUY'!$B$11:$BY$85,62,0)),$B18=""),"",VLOOKUP($B18,'TICH LUY'!$B$11:$BY$85,62,0))</f>
        <v/>
      </c>
      <c r="FD18" s="507">
        <f>IF(OR(ISNA(VLOOKUP($B18,'TICH LUY'!$B$11:$BY$85,63,0)),$B18=""),"",VLOOKUP($B18,'TICH LUY'!$B$11:$BY$85,63,0))</f>
        <v>6.1</v>
      </c>
      <c r="FE18" s="507">
        <f>IF(OR(ISNA(VLOOKUP($B18,'TICH LUY'!$B$11:$BY$85,64,0)),$B18=""),"",VLOOKUP($B18,'TICH LUY'!$B$11:$BY$85,64,0))</f>
        <v>6.2</v>
      </c>
      <c r="FF18" s="507">
        <f>IF(OR(ISNA(VLOOKUP($B18,'TICH LUY'!$B$11:$BY$85,65,0)),$B18=""),"",VLOOKUP($B18,'TICH LUY'!$B$11:$BY$85,65,0))</f>
        <v>5.9</v>
      </c>
      <c r="FG18" s="507" t="str">
        <f>IF(OR(ISNA(VLOOKUP($B18,'TICH LUY'!$B$11:$BY$85,66,0)),$B18=""),"",VLOOKUP($B18,'TICH LUY'!$B$11:$BY$85,66,0))</f>
        <v/>
      </c>
      <c r="FH18" s="507">
        <f>IF(OR(ISNA(VLOOKUP($B18,'TICH LUY'!$B$11:$BY$85,67,0)),$B18=""),"",VLOOKUP($B18,'TICH LUY'!$B$11:$BY$85,67,0))</f>
        <v>6.5</v>
      </c>
      <c r="FI18" s="507">
        <f>IF(OR(ISNA(VLOOKUP($B18,'TICH LUY'!$B$11:$BY$85,68,0)),$B18=""),"",VLOOKUP($B18,'TICH LUY'!$B$11:$BY$85,68,0))</f>
        <v>6.1</v>
      </c>
      <c r="FJ18" s="507">
        <f>IF(OR(ISNA(VLOOKUP($B18,'TICH LUY'!$B$11:$BY$85,69,0)),$B18=""),"",VLOOKUP($B18,'TICH LUY'!$B$11:$BY$85,69,0))</f>
        <v>6.2</v>
      </c>
      <c r="FK18" s="507">
        <f>IF(OR(ISNA(VLOOKUP($B18,'TICH LUY'!$B$11:$BY$85,70,0)),$B18=""),"",VLOOKUP($B18,'TICH LUY'!$B$11:$BY$85,70,0))</f>
        <v>4.2</v>
      </c>
      <c r="FL18" s="507">
        <f>IF(OR(ISNA(VLOOKUP($B18,'TICH LUY'!$B$11:$BY$85,71,0)),$B18=""),"",VLOOKUP($B18,'TICH LUY'!$B$11:$BY$85,71,0))</f>
        <v>5.2</v>
      </c>
      <c r="FM18" s="507" t="str">
        <f>IF(OR(ISNA(VLOOKUP($B18,'TICH LUY'!$B$11:$BY$85,72,0)),$B18=""),"",VLOOKUP($B18,'TICH LUY'!$B$11:$BY$85,72,0))</f>
        <v/>
      </c>
      <c r="FN18" s="507" t="str">
        <f>IF(OR(ISNA(VLOOKUP($B18,'TICH LUY'!$B$11:$BY$85,73,0)),$B18=""),"",VLOOKUP($B18,'TICH LUY'!$B$11:$BY$85,73,0))</f>
        <v/>
      </c>
      <c r="FO18" s="507" t="str">
        <f>IF(OR(ISNA(VLOOKUP($B18,'TICH LUY'!$B$11:$BY$85,74,0)),$B18=""),"",VLOOKUP($B18,'TICH LUY'!$B$11:$BY$85,74,0))</f>
        <v/>
      </c>
      <c r="FP18" s="507">
        <f>IF(OR(ISNA(VLOOKUP($B18,'TICH LUY'!$B$11:$BY$85,75,0)),$B18=""),"",VLOOKUP($B18,'TICH LUY'!$B$11:$BY$85,75,0))</f>
        <v>5.7</v>
      </c>
      <c r="FQ18" s="529" t="str">
        <f>IF(OR(ISNA(VLOOKUP($B18,'TICH LUY'!$B$11:$BY$85,76,0)),$B18=""),"",VLOOKUP($B18,'TICH LUY'!$B$11:$BY$85,76,0))</f>
        <v/>
      </c>
      <c r="FR18" s="455">
        <f t="shared" si="69"/>
        <v>4.4000000000000004</v>
      </c>
      <c r="FS18" s="456">
        <f t="shared" si="70"/>
        <v>6.4</v>
      </c>
      <c r="FT18" s="456">
        <f t="shared" si="71"/>
        <v>5.0999999999999996</v>
      </c>
      <c r="FU18" s="456">
        <f t="shared" si="72"/>
        <v>6.3</v>
      </c>
      <c r="FV18" s="456">
        <f t="shared" si="73"/>
        <v>5</v>
      </c>
      <c r="FW18" s="456">
        <f t="shared" si="74"/>
        <v>5.2</v>
      </c>
      <c r="FX18" s="456" t="str">
        <f t="shared" si="75"/>
        <v/>
      </c>
      <c r="FY18" s="456" t="str">
        <f t="shared" si="76"/>
        <v/>
      </c>
      <c r="FZ18" s="456" t="str">
        <f t="shared" si="77"/>
        <v/>
      </c>
      <c r="GA18" s="456">
        <f t="shared" si="78"/>
        <v>6.5</v>
      </c>
      <c r="GB18" s="459">
        <f t="shared" si="79"/>
        <v>7</v>
      </c>
      <c r="GC18" s="457">
        <f t="shared" si="23"/>
        <v>5.78</v>
      </c>
    </row>
    <row r="19" spans="1:185" s="221" customFormat="1" ht="15.75">
      <c r="A19" s="449">
        <f>IF(B19="","",SUBTOTAL(3,$B$11:B19))</f>
        <v>9</v>
      </c>
      <c r="B19" s="198" t="s">
        <v>2034</v>
      </c>
      <c r="C19" s="450" t="str">
        <f>IF($B19="","",VLOOKUP($B19,'DS LOP HKI'!$B$2:$F$2642,2,0))</f>
        <v>Lê Hoàng</v>
      </c>
      <c r="D19" s="451" t="str">
        <f>IF($B19="","",VLOOKUP($B19,'DS LOP HKI'!$B$2:$F$2642,3,0))</f>
        <v>Giang</v>
      </c>
      <c r="E19" s="154"/>
      <c r="F19" s="152"/>
      <c r="G19" s="156">
        <v>3</v>
      </c>
      <c r="H19" s="181">
        <f>IF(OR($H$6="",$H$7=""),"",IF($B19="","",IF(ISNA(VLOOKUP($B19,'LT01'!$B$11:$R$75,13,FALSE)),"",IF(VLOOKUP($B19,'LT01'!$B$11:$R$75,13,FALSE)="","",VLOOKUP($B19,'LT01'!$B$11:$R$75,13,FALSE)))))</f>
        <v>2.9</v>
      </c>
      <c r="I19" s="182">
        <f>IF(OR($H$6="",$H$7=""),"",IF($B19="","",IF(ISNA(VLOOKUP($B19,'LT01'!$B$11:$R$75,14,FALSE)),"",VLOOKUP($B19,'LT01'!$B$11:$R$75,14,FALSE))))</f>
        <v>4.8</v>
      </c>
      <c r="J19" s="183"/>
      <c r="K19" s="182" t="str">
        <f>IF(OR($H$6="",$H$7=""),"",IF($B19="","",IF(ISNA(VLOOKUP($B19,'LT01'!$B$11:$R$75,17,FALSE)),"",VLOOKUP($B19,'LT01'!$B$11:$R$75,17,FALSE))))</f>
        <v/>
      </c>
      <c r="L19" s="185">
        <f>IF(OR($H$6="",$H$7=""),"",IF($B19="","",IF(ISNA(VLOOKUP($B19,'LT02'!$B$11:$R$75,13,FALSE)),"",IF(VLOOKUP($B19,'LT02'!$B$11:$R$75,13,FALSE)="","",VLOOKUP($B19,'LT02'!$B$11:$R$75,13,FALSE)))))</f>
        <v>5.8</v>
      </c>
      <c r="M19" s="182">
        <f>IF(OR($H$6="",$H$7=""),"",IF($B19="","",IF(ISNA(VLOOKUP($B19,'LT02'!$B$11:$R$75,14,FALSE)),"",VLOOKUP($B19,'LT02'!$B$11:$R$75,14,FALSE))))</f>
        <v>5.7</v>
      </c>
      <c r="N19" s="183"/>
      <c r="O19" s="182" t="str">
        <f>IF(OR($H$6="",$H$7=""),"",IF($B19="","",IF(ISNA(VLOOKUP($B19,'LT02'!$B$11:$R$75,17,FALSE)),"",VLOOKUP($B19,'LT02'!$B$11:$R$75,17,FALSE))))</f>
        <v/>
      </c>
      <c r="P19" s="185">
        <f>IF(OR($H$6="",$H$7=""),"",IF($B19="","",IF(ISNA(VLOOKUP($B19,'LT03'!$B$11:$R$75,13,FALSE)),"",IF(VLOOKUP($B19,'LT03'!$B$11:$R$75,13,FALSE)="","",VLOOKUP($B19,'LT03'!$B$11:$R$75,13,FALSE)))))</f>
        <v>3.5</v>
      </c>
      <c r="Q19" s="182">
        <f>IF(OR($H$6="",$H$7=""),"",IF($B19="","",IF(ISNA(VLOOKUP($B19,'LT03'!$B$11:$R$75,14,FALSE)),"",VLOOKUP($B19,'LT03'!$B$11:$R$75,14,FALSE))))</f>
        <v>4.2</v>
      </c>
      <c r="R19" s="183"/>
      <c r="S19" s="182" t="str">
        <f>IF(OR($H$6="",$H$7=""),"",IF($B19="","",IF(ISNA(VLOOKUP($B19,'LT03'!$B$11:$R$75,17,FALSE)),"",VLOOKUP($B19,'LT03'!$B$11:$R$75,17,FALSE))))</f>
        <v/>
      </c>
      <c r="T19" s="185">
        <f>IF(OR($H$6="",$H$7=""),"",IF($B19="","",IF(ISNA(VLOOKUP($B19,'LT04'!$B$11:$R$75,13,FALSE)),"",IF(VLOOKUP($B19,'LT04'!$B$11:$R$75,13,FALSE)="","",VLOOKUP($B19,'LT04'!$B$11:$R$75,13,FALSE)))))</f>
        <v>3.3</v>
      </c>
      <c r="U19" s="182">
        <f>IF(OR($H$6="",$H$7=""),"",IF($B19="","",IF(ISNA(VLOOKUP($B19,'LT04'!$B$11:$R$75,14,FALSE)),"",VLOOKUP($B19,'LT04'!$B$11:$R$75,14,FALSE))))</f>
        <v>4.0999999999999996</v>
      </c>
      <c r="V19" s="183"/>
      <c r="W19" s="184" t="str">
        <f>IF(OR($H$6="",$H$7=""),"",IF($B19="","",IF(ISNA(VLOOKUP($B19,'LT04'!$B$11:$R$75,17,FALSE)),"",VLOOKUP($B19,'LT04'!$B$11:$R$75,17,FALSE))))</f>
        <v/>
      </c>
      <c r="X19" s="185">
        <f>IF(OR($H$6="",$H$7=""),"",IF($B19="","",IF(ISNA(VLOOKUP($B19,'LT05'!$B$11:$R$75,13,FALSE)),"",IF(VLOOKUP($B19,'LT05'!$B$11:$R$75,13,FALSE)="","",VLOOKUP($B19,'LT05'!$B$11:$R$75,13,FALSE)))))</f>
        <v>6.5</v>
      </c>
      <c r="Y19" s="182">
        <f>IF(OR($H$6="",$H$7=""),"",IF($B19="","",IF(ISNA(VLOOKUP($B19,'LT05'!$B$11:$R$75,14,FALSE)),"",VLOOKUP($B19,'LT05'!$B$11:$R$75,14,FALSE))))</f>
        <v>4.0999999999999996</v>
      </c>
      <c r="Z19" s="183"/>
      <c r="AA19" s="182" t="str">
        <f>IF(OR($H$6="",$H$7=""),"",IF($B19="","",IF(ISNA(VLOOKUP($B19,'LT05'!$B$11:$R$75,17,FALSE)),"",VLOOKUP($B19,'LT05'!$B$11:$R$75,17,FALSE))))</f>
        <v/>
      </c>
      <c r="AB19" s="185">
        <f>IF(OR($H$6="",$H$7=""),"",IF($B19="","",IF(ISNA(VLOOKUP($B19,'LT06'!$B$11:$R$75,13,FALSE)),"",IF(VLOOKUP($B19,'LT06'!$B$11:$R$75,13,FALSE)="","",VLOOKUP($B19,'LT06'!$B$11:$R$75,13,FALSE)))))</f>
        <v>0.5</v>
      </c>
      <c r="AC19" s="182">
        <f>IF(OR($H$6="",$H$7=""),"",IF($B19="","",IF(ISNA(VLOOKUP($B19,'LT06'!$B$11:$R$75,14,FALSE)),"",VLOOKUP($B19,'LT06'!$B$11:$R$75,14,FALSE))))</f>
        <v>2.6</v>
      </c>
      <c r="AD19" s="183"/>
      <c r="AE19" s="182" t="str">
        <f>IF(OR($H$6="",$H$7=""),"",IF($B19="","",IF(ISNA(VLOOKUP($B19,'LT06'!$B$11:$R$75,17,FALSE)),"",VLOOKUP($B19,'LT06'!$B$11:$R$75,17,FALSE))))</f>
        <v/>
      </c>
      <c r="AF19" s="185" t="str">
        <f>IF(OR($H$6="",$H$7=""),"",IF($B19="","",IF(ISNA(VLOOKUP($B19,'LT07'!$B$11:$R$75,13,FALSE)),"",IF(VLOOKUP($B19,'LT07'!$B$11:$R$75,13,FALSE)="","",VLOOKUP($B19,'LT07'!$B$11:$R$75,13,FALSE)))))</f>
        <v/>
      </c>
      <c r="AG19" s="182" t="str">
        <f>IF(OR($H$6="",$H$7=""),"",IF($B19="","",IF(ISNA(VLOOKUP($B19,'LT07'!$B$11:$R$75,14,FALSE)),"",VLOOKUP($B19,'LT07'!$B$11:$R$75,14,FALSE))))</f>
        <v/>
      </c>
      <c r="AH19" s="183"/>
      <c r="AI19" s="182" t="str">
        <f>IF(OR($H$6="",$H$7=""),"",IF($B19="","",IF(ISNA(VLOOKUP($B19,'LT07'!$B$11:$R$75,17,FALSE)),"",VLOOKUP($B19,'LT07'!$B$11:$R$75,17,FALSE))))</f>
        <v/>
      </c>
      <c r="AJ19" s="185" t="str">
        <f>IF(OR($H$6="",$H$7=""),"",IF($B19="","",IF(ISNA(VLOOKUP($B19,'LT08'!$B$11:$R$75,13,FALSE)),"",IF(VLOOKUP($B19,'LT08'!$B$11:$R$75,13,FALSE)="","",VLOOKUP($B19,'LT08'!$B$11:$R$75,13,FALSE)))))</f>
        <v/>
      </c>
      <c r="AK19" s="182" t="str">
        <f>IF(OR($H$6="",$H$7=""),"",IF($B19="","",IF(ISNA(VLOOKUP($B19,'LT08'!$B$11:$R$75,14,FALSE)),"",VLOOKUP($B19,'LT08'!$B$11:$R$75,14,FALSE))))</f>
        <v/>
      </c>
      <c r="AL19" s="183"/>
      <c r="AM19" s="182" t="str">
        <f>IF(OR($H$6="",$H$7=""),"",IF($B19="","",IF(ISNA(VLOOKUP($B19,'LT08'!$B$11:$R$75,17,FALSE)),"",VLOOKUP($B19,'LT08'!$B$11:$R$75,17,FALSE))))</f>
        <v/>
      </c>
      <c r="AN19" s="185" t="str">
        <f>IF(OR($H$6="",$H$7=""),"",IF($B19="","",IF(ISNA(VLOOKUP($B19,'LT09'!$B$11:$R$75,13,FALSE)),"",IF(VLOOKUP($B19,'LT09'!$B$11:$R$75,13,FALSE)="","",VLOOKUP($B19,'LT09'!$B$11:$R$75,13,FALSE)))))</f>
        <v/>
      </c>
      <c r="AO19" s="182" t="str">
        <f>IF(OR($H$6="",$H$7=""),"",IF($B19="","",IF(ISNA(VLOOKUP($B19,'LT09'!$B$11:$R$75,14,FALSE)),"",VLOOKUP($B19,'LT09'!$B$11:$R$75,14,FALSE))))</f>
        <v/>
      </c>
      <c r="AP19" s="183"/>
      <c r="AQ19" s="182" t="str">
        <f>IF(OR($H$6="",$H$7=""),"",IF($B19="","",IF(ISNA(VLOOKUP($B19,'LT09'!$B$11:$R$75,17,FALSE)),"",VLOOKUP($B19,'LT09'!$B$11:$R$75,17,FALSE))))</f>
        <v/>
      </c>
      <c r="AR19" s="186"/>
      <c r="AS19" s="182">
        <f>IF(OR($H$6="",$H$7=""),"",IF($B19="","",IF(ISNA(VLOOKUP($B19,'TH01'!$B$11:$R$75,14,FALSE)),"",VLOOKUP($B19,'TH01'!$B$11:$R$75,14,FALSE))))</f>
        <v>4.5</v>
      </c>
      <c r="AT19" s="183"/>
      <c r="AU19" s="187"/>
      <c r="AV19" s="186"/>
      <c r="AW19" s="182">
        <f>IF(OR($H$6="",$H$7=""),"",IF($B19="","",IF(ISNA(VLOOKUP($B19,'TH02'!$B$11:$R$75,14,FALSE)),"",VLOOKUP($B19,'TH02'!$B$11:$R$75,14,FALSE))))</f>
        <v>6.8</v>
      </c>
      <c r="AX19" s="183"/>
      <c r="AY19" s="187"/>
      <c r="AZ19" s="54">
        <f t="shared" si="24"/>
        <v>4.6399999999999997</v>
      </c>
      <c r="BA19" s="54" t="str">
        <f t="shared" si="0"/>
        <v/>
      </c>
      <c r="BB19" s="70">
        <v>50</v>
      </c>
      <c r="BC19" s="52" t="str">
        <f t="shared" si="25"/>
        <v>TBY</v>
      </c>
      <c r="BD19" s="52" t="str">
        <f t="shared" si="26"/>
        <v/>
      </c>
      <c r="BE19" s="52" t="str">
        <f t="shared" si="1"/>
        <v/>
      </c>
      <c r="BF19" s="149" t="str">
        <f t="shared" si="2"/>
        <v/>
      </c>
      <c r="BG19" s="52">
        <f t="shared" si="3"/>
        <v>16</v>
      </c>
      <c r="BH19" s="52">
        <f t="shared" si="27"/>
        <v>2</v>
      </c>
      <c r="BI19" s="52">
        <f t="shared" si="4"/>
        <v>16</v>
      </c>
      <c r="BJ19" s="52">
        <f t="shared" si="5"/>
        <v>2</v>
      </c>
      <c r="BK19" s="54">
        <f t="shared" si="6"/>
        <v>5.46</v>
      </c>
      <c r="BL19" s="54" t="str">
        <f t="shared" si="7"/>
        <v>Y</v>
      </c>
      <c r="BM19" s="54">
        <f t="shared" si="8"/>
        <v>5.46</v>
      </c>
      <c r="BN19" s="54" t="str">
        <f t="shared" si="9"/>
        <v>Y</v>
      </c>
      <c r="BO19" s="70"/>
      <c r="BP19" s="52">
        <f>IF(ISNA(VLOOKUP(B19,'TICH LUY'!B:D,2,0)),"",VLOOKUP(B19,'TICH LUY'!B:D,2,0)+BI19)</f>
        <v>51</v>
      </c>
      <c r="BQ19" s="52">
        <f>IF(ISNA(VLOOKUP(B19,'TICH LUY'!B:D,3,0)),"",VLOOKUP(B19,'TICH LUY'!B:D,3,0)+BJ19)</f>
        <v>6</v>
      </c>
      <c r="BR19" s="40">
        <f t="shared" si="10"/>
        <v>5</v>
      </c>
      <c r="BS19" s="452">
        <f t="shared" si="11"/>
        <v>2.9</v>
      </c>
      <c r="BT19" s="452">
        <f t="shared" si="12"/>
        <v>5.8</v>
      </c>
      <c r="BU19" s="452">
        <f t="shared" si="13"/>
        <v>3.5</v>
      </c>
      <c r="BV19" s="452">
        <f t="shared" si="14"/>
        <v>3.3</v>
      </c>
      <c r="BW19" s="452">
        <f t="shared" si="15"/>
        <v>6.5</v>
      </c>
      <c r="BX19" s="452">
        <f t="shared" si="16"/>
        <v>0.5</v>
      </c>
      <c r="BY19" s="452" t="str">
        <f t="shared" si="17"/>
        <v/>
      </c>
      <c r="BZ19" s="452" t="str">
        <f t="shared" si="28"/>
        <v/>
      </c>
      <c r="CA19" s="452" t="str">
        <f t="shared" si="29"/>
        <v/>
      </c>
      <c r="CB19" s="452">
        <f t="shared" si="30"/>
        <v>4.5</v>
      </c>
      <c r="CC19" s="452">
        <f t="shared" si="18"/>
        <v>6.8</v>
      </c>
      <c r="CD19" s="40">
        <f t="shared" si="31"/>
        <v>1</v>
      </c>
      <c r="CE19" s="453">
        <f t="shared" si="80"/>
        <v>4.8</v>
      </c>
      <c r="CF19" s="452">
        <f t="shared" si="32"/>
        <v>5.7</v>
      </c>
      <c r="CG19" s="452">
        <f t="shared" si="81"/>
        <v>4.2</v>
      </c>
      <c r="CH19" s="452">
        <f t="shared" si="82"/>
        <v>4.0999999999999996</v>
      </c>
      <c r="CI19" s="452">
        <f t="shared" si="83"/>
        <v>4.0999999999999996</v>
      </c>
      <c r="CJ19" s="452">
        <f t="shared" si="84"/>
        <v>2.6</v>
      </c>
      <c r="CK19" s="452" t="str">
        <f t="shared" si="85"/>
        <v/>
      </c>
      <c r="CL19" s="452" t="str">
        <f t="shared" si="33"/>
        <v/>
      </c>
      <c r="CM19" s="452" t="str">
        <f t="shared" si="34"/>
        <v/>
      </c>
      <c r="CN19" s="452">
        <f t="shared" si="35"/>
        <v>4.5</v>
      </c>
      <c r="CO19" s="452">
        <f t="shared" si="19"/>
        <v>6.8</v>
      </c>
      <c r="CP19" s="454">
        <f t="shared" si="36"/>
        <v>4.6399999999999997</v>
      </c>
      <c r="CQ19" s="527">
        <f>IF(OR(ISNA(VLOOKUP($B19,'TICH LUY'!$B$11:$BY$85,54,0)),$B19=""),"",VLOOKUP($B19,'TICH LUY'!$B$11:$BY$85,54,0))</f>
        <v>5.9</v>
      </c>
      <c r="CR19" s="507">
        <f>IF(OR(ISNA(VLOOKUP($B19,'TICH LUY'!$B$11:$BY$85,55,0)),$B19=""),"",VLOOKUP($B19,'TICH LUY'!$B$11:$BY$85,55,0))</f>
        <v>5.8</v>
      </c>
      <c r="CS19" s="507">
        <f>IF(OR(ISNA(VLOOKUP($B19,'TICH LUY'!$B$11:$BY$85,56,0)),$B19=""),"",VLOOKUP($B19,'TICH LUY'!$B$11:$BY$85,56,0))</f>
        <v>5</v>
      </c>
      <c r="CT19" s="507">
        <f>IF(OR(ISNA(VLOOKUP($B19,'TICH LUY'!$B$11:$BY$85,57,0)),$B19=""),"",VLOOKUP($B19,'TICH LUY'!$B$11:$BY$85,57,0))</f>
        <v>5.5</v>
      </c>
      <c r="CU19" s="507">
        <f>IF(OR(ISNA(VLOOKUP($B19,'TICH LUY'!$B$11:$BY$85,58,0)),$B19=""),"",VLOOKUP($B19,'TICH LUY'!$B$11:$BY$85,58,0))</f>
        <v>5.2</v>
      </c>
      <c r="CV19" s="507">
        <f>IF(OR(ISNA(VLOOKUP($B19,'TICH LUY'!$B$11:$BY$85,59,0)),$B19=""),"",VLOOKUP($B19,'TICH LUY'!$B$11:$BY$85,59,0))</f>
        <v>6.7</v>
      </c>
      <c r="CW19" s="507">
        <f>IF(OR(ISNA(VLOOKUP($B19,'TICH LUY'!$B$11:$BY$85,60,0)),$B19=""),"",VLOOKUP($B19,'TICH LUY'!$B$11:$BY$85,60,0))</f>
        <v>6.6</v>
      </c>
      <c r="CX19" s="507" t="str">
        <f>IF(OR(ISNA(VLOOKUP($B19,'TICH LUY'!$B$11:$BY$85,61,0)),$B19=""),"",VLOOKUP($B19,'TICH LUY'!$B$11:$BY$85,61,0))</f>
        <v/>
      </c>
      <c r="CY19" s="507" t="str">
        <f>IF(OR(ISNA(VLOOKUP($B19,'TICH LUY'!$B$11:$BY$85,62,0)),$B19=""),"",VLOOKUP($B19,'TICH LUY'!$B$11:$BY$85,62,0))</f>
        <v/>
      </c>
      <c r="CZ19" s="507" t="str">
        <f>IF(OR(ISNA(VLOOKUP($B19,'TICH LUY'!$B$11:$BY$85,63,0)),$B19=""),"",VLOOKUP($B19,'TICH LUY'!$B$11:$BY$85,63,0))</f>
        <v/>
      </c>
      <c r="DA19" s="507">
        <f>IF(OR(ISNA(VLOOKUP($B19,'TICH LUY'!$B$11:$BY$85,64,0)),$B19=""),"",VLOOKUP($B19,'TICH LUY'!$B$11:$BY$85,64,0))</f>
        <v>4.7</v>
      </c>
      <c r="DB19" s="507" t="str">
        <f>IF(OR(ISNA(VLOOKUP($B19,'TICH LUY'!$B$11:$BY$85,65,0)),$B19=""),"",VLOOKUP($B19,'TICH LUY'!$B$11:$BY$85,65,0))</f>
        <v/>
      </c>
      <c r="DC19" s="507">
        <f>IF(OR(ISNA(VLOOKUP($B19,'TICH LUY'!$B$11:$BY$85,66,0)),$B19=""),"",VLOOKUP($B19,'TICH LUY'!$B$11:$BY$85,66,0))</f>
        <v>5.8</v>
      </c>
      <c r="DD19" s="507">
        <f>IF(OR(ISNA(VLOOKUP($B19,'TICH LUY'!$B$11:$BY$85,67,0)),$B19=""),"",VLOOKUP($B19,'TICH LUY'!$B$11:$BY$85,67,0))</f>
        <v>4.5</v>
      </c>
      <c r="DE19" s="507">
        <f>IF(OR(ISNA(VLOOKUP($B19,'TICH LUY'!$B$11:$BY$85,68,0)),$B19=""),"",VLOOKUP($B19,'TICH LUY'!$B$11:$BY$85,68,0))</f>
        <v>5.8</v>
      </c>
      <c r="DF19" s="507">
        <f>IF(OR(ISNA(VLOOKUP($B19,'TICH LUY'!$B$11:$BY$85,69,0)),$B19=""),"",VLOOKUP($B19,'TICH LUY'!$B$11:$BY$85,69,0))</f>
        <v>5.6</v>
      </c>
      <c r="DG19" s="507" t="str">
        <f>IF(OR(ISNA(VLOOKUP($B19,'TICH LUY'!$B$11:$BY$85,70,0)),$B19=""),"",VLOOKUP($B19,'TICH LUY'!$B$11:$BY$85,70,0))</f>
        <v/>
      </c>
      <c r="DH19" s="507">
        <f>IF(OR(ISNA(VLOOKUP($B19,'TICH LUY'!$B$11:$BY$85,71,0)),$B19=""),"",VLOOKUP($B19,'TICH LUY'!$B$11:$BY$85,71,0))</f>
        <v>5.9</v>
      </c>
      <c r="DI19" s="507" t="str">
        <f>IF(OR(ISNA(VLOOKUP($B19,'TICH LUY'!$B$11:$BY$85,72,0)),$B19=""),"",VLOOKUP($B19,'TICH LUY'!$B$11:$BY$85,72,0))</f>
        <v/>
      </c>
      <c r="DJ19" s="507" t="str">
        <f>IF(OR(ISNA(VLOOKUP($B19,'TICH LUY'!$B$11:$BY$85,73,0)),$B19=""),"",VLOOKUP($B19,'TICH LUY'!$B$11:$BY$85,73,0))</f>
        <v/>
      </c>
      <c r="DK19" s="507" t="str">
        <f>IF(OR(ISNA(VLOOKUP($B19,'TICH LUY'!$B$11:$BY$85,74,0)),$B19=""),"",VLOOKUP($B19,'TICH LUY'!$B$11:$BY$85,74,0))</f>
        <v/>
      </c>
      <c r="DL19" s="507">
        <f>IF(OR(ISNA(VLOOKUP($B19,'TICH LUY'!$B$11:$BY$85,75,0)),$B19=""),"",VLOOKUP($B19,'TICH LUY'!$B$11:$BY$85,75,0))</f>
        <v>6.3</v>
      </c>
      <c r="DM19" s="529" t="str">
        <f>IF(OR(ISNA(VLOOKUP($B19,'TICH LUY'!$B$11:$BY$85,76,0)),$B19=""),"",VLOOKUP($B19,'TICH LUY'!$B$11:$BY$85,76,0))</f>
        <v/>
      </c>
      <c r="DN19" s="455">
        <f t="shared" si="37"/>
        <v>4.8</v>
      </c>
      <c r="DO19" s="456">
        <f t="shared" si="38"/>
        <v>5.7</v>
      </c>
      <c r="DP19" s="456">
        <f t="shared" si="39"/>
        <v>4.2</v>
      </c>
      <c r="DQ19" s="456">
        <f t="shared" si="40"/>
        <v>4.0999999999999996</v>
      </c>
      <c r="DR19" s="456">
        <f t="shared" si="41"/>
        <v>4.0999999999999996</v>
      </c>
      <c r="DS19" s="456" t="str">
        <f t="shared" si="42"/>
        <v/>
      </c>
      <c r="DT19" s="456" t="str">
        <f t="shared" si="43"/>
        <v/>
      </c>
      <c r="DU19" s="456" t="str">
        <f t="shared" si="44"/>
        <v/>
      </c>
      <c r="DV19" s="456" t="str">
        <f t="shared" si="45"/>
        <v/>
      </c>
      <c r="DW19" s="456">
        <f t="shared" si="46"/>
        <v>4.5</v>
      </c>
      <c r="DX19" s="456">
        <f t="shared" si="47"/>
        <v>6.8</v>
      </c>
      <c r="DY19" s="457">
        <f t="shared" si="48"/>
        <v>5.46</v>
      </c>
      <c r="DZ19" s="453" t="str">
        <f t="shared" si="49"/>
        <v/>
      </c>
      <c r="EA19" s="452" t="str">
        <f t="shared" si="50"/>
        <v/>
      </c>
      <c r="EB19" s="452" t="str">
        <f t="shared" si="51"/>
        <v/>
      </c>
      <c r="EC19" s="452" t="str">
        <f t="shared" si="52"/>
        <v/>
      </c>
      <c r="ED19" s="452" t="str">
        <f t="shared" si="53"/>
        <v/>
      </c>
      <c r="EE19" s="452" t="str">
        <f t="shared" si="54"/>
        <v/>
      </c>
      <c r="EF19" s="452" t="str">
        <f t="shared" si="55"/>
        <v/>
      </c>
      <c r="EG19" s="452" t="str">
        <f t="shared" si="56"/>
        <v/>
      </c>
      <c r="EH19" s="452" t="str">
        <f t="shared" si="57"/>
        <v/>
      </c>
      <c r="EI19" s="453">
        <f t="shared" si="58"/>
        <v>4.8</v>
      </c>
      <c r="EJ19" s="452">
        <f t="shared" si="59"/>
        <v>5.7</v>
      </c>
      <c r="EK19" s="452">
        <f t="shared" si="60"/>
        <v>4.2</v>
      </c>
      <c r="EL19" s="452">
        <f t="shared" si="61"/>
        <v>4.0999999999999996</v>
      </c>
      <c r="EM19" s="452">
        <f t="shared" si="62"/>
        <v>4.0999999999999996</v>
      </c>
      <c r="EN19" s="452">
        <f t="shared" si="63"/>
        <v>2.6</v>
      </c>
      <c r="EO19" s="452" t="str">
        <f t="shared" si="64"/>
        <v/>
      </c>
      <c r="EP19" s="452" t="str">
        <f t="shared" si="65"/>
        <v/>
      </c>
      <c r="EQ19" s="452" t="str">
        <f t="shared" si="66"/>
        <v/>
      </c>
      <c r="ER19" s="452">
        <f t="shared" si="67"/>
        <v>4.5</v>
      </c>
      <c r="ES19" s="452">
        <f t="shared" si="21"/>
        <v>6.8</v>
      </c>
      <c r="ET19" s="458" t="str">
        <f t="shared" si="68"/>
        <v/>
      </c>
      <c r="EU19" s="527">
        <f>IF(OR(ISNA(VLOOKUP($B19,'TICH LUY'!$B$11:$BY$85,54,0)),$B19=""),"",VLOOKUP($B19,'TICH LUY'!$B$11:$BY$85,54,0))</f>
        <v>5.9</v>
      </c>
      <c r="EV19" s="507">
        <f>IF(OR(ISNA(VLOOKUP($B19,'TICH LUY'!$B$11:$BY$85,55,0)),$B19=""),"",VLOOKUP($B19,'TICH LUY'!$B$11:$BY$85,55,0))</f>
        <v>5.8</v>
      </c>
      <c r="EW19" s="507">
        <f>IF(OR(ISNA(VLOOKUP($B19,'TICH LUY'!$B$11:$BY$85,56,0)),$B19=""),"",VLOOKUP($B19,'TICH LUY'!$B$11:$BY$85,56,0))</f>
        <v>5</v>
      </c>
      <c r="EX19" s="507">
        <f>IF(OR(ISNA(VLOOKUP($B19,'TICH LUY'!$B$11:$BY$85,57,0)),$B19=""),"",VLOOKUP($B19,'TICH LUY'!$B$11:$BY$85,57,0))</f>
        <v>5.5</v>
      </c>
      <c r="EY19" s="507">
        <f>IF(OR(ISNA(VLOOKUP($B19,'TICH LUY'!$B$11:$BY$85,58,0)),$B19=""),"",VLOOKUP($B19,'TICH LUY'!$B$11:$BY$85,58,0))</f>
        <v>5.2</v>
      </c>
      <c r="EZ19" s="507">
        <f>IF(OR(ISNA(VLOOKUP($B19,'TICH LUY'!$B$11:$BY$85,59,0)),$B19=""),"",VLOOKUP($B19,'TICH LUY'!$B$11:$BY$85,59,0))</f>
        <v>6.7</v>
      </c>
      <c r="FA19" s="507">
        <f>IF(OR(ISNA(VLOOKUP($B19,'TICH LUY'!$B$11:$BY$85,60,0)),$B19=""),"",VLOOKUP($B19,'TICH LUY'!$B$11:$BY$85,60,0))</f>
        <v>6.6</v>
      </c>
      <c r="FB19" s="507" t="str">
        <f>IF(OR(ISNA(VLOOKUP($B19,'TICH LUY'!$B$11:$BY$85,61,0)),$B19=""),"",VLOOKUP($B19,'TICH LUY'!$B$11:$BY$85,61,0))</f>
        <v/>
      </c>
      <c r="FC19" s="507" t="str">
        <f>IF(OR(ISNA(VLOOKUP($B19,'TICH LUY'!$B$11:$BY$85,62,0)),$B19=""),"",VLOOKUP($B19,'TICH LUY'!$B$11:$BY$85,62,0))</f>
        <v/>
      </c>
      <c r="FD19" s="507" t="str">
        <f>IF(OR(ISNA(VLOOKUP($B19,'TICH LUY'!$B$11:$BY$85,63,0)),$B19=""),"",VLOOKUP($B19,'TICH LUY'!$B$11:$BY$85,63,0))</f>
        <v/>
      </c>
      <c r="FE19" s="507">
        <f>IF(OR(ISNA(VLOOKUP($B19,'TICH LUY'!$B$11:$BY$85,64,0)),$B19=""),"",VLOOKUP($B19,'TICH LUY'!$B$11:$BY$85,64,0))</f>
        <v>4.7</v>
      </c>
      <c r="FF19" s="507" t="str">
        <f>IF(OR(ISNA(VLOOKUP($B19,'TICH LUY'!$B$11:$BY$85,65,0)),$B19=""),"",VLOOKUP($B19,'TICH LUY'!$B$11:$BY$85,65,0))</f>
        <v/>
      </c>
      <c r="FG19" s="507">
        <f>IF(OR(ISNA(VLOOKUP($B19,'TICH LUY'!$B$11:$BY$85,66,0)),$B19=""),"",VLOOKUP($B19,'TICH LUY'!$B$11:$BY$85,66,0))</f>
        <v>5.8</v>
      </c>
      <c r="FH19" s="507">
        <f>IF(OR(ISNA(VLOOKUP($B19,'TICH LUY'!$B$11:$BY$85,67,0)),$B19=""),"",VLOOKUP($B19,'TICH LUY'!$B$11:$BY$85,67,0))</f>
        <v>4.5</v>
      </c>
      <c r="FI19" s="507">
        <f>IF(OR(ISNA(VLOOKUP($B19,'TICH LUY'!$B$11:$BY$85,68,0)),$B19=""),"",VLOOKUP($B19,'TICH LUY'!$B$11:$BY$85,68,0))</f>
        <v>5.8</v>
      </c>
      <c r="FJ19" s="507">
        <f>IF(OR(ISNA(VLOOKUP($B19,'TICH LUY'!$B$11:$BY$85,69,0)),$B19=""),"",VLOOKUP($B19,'TICH LUY'!$B$11:$BY$85,69,0))</f>
        <v>5.6</v>
      </c>
      <c r="FK19" s="507" t="str">
        <f>IF(OR(ISNA(VLOOKUP($B19,'TICH LUY'!$B$11:$BY$85,70,0)),$B19=""),"",VLOOKUP($B19,'TICH LUY'!$B$11:$BY$85,70,0))</f>
        <v/>
      </c>
      <c r="FL19" s="507">
        <f>IF(OR(ISNA(VLOOKUP($B19,'TICH LUY'!$B$11:$BY$85,71,0)),$B19=""),"",VLOOKUP($B19,'TICH LUY'!$B$11:$BY$85,71,0))</f>
        <v>5.9</v>
      </c>
      <c r="FM19" s="507" t="str">
        <f>IF(OR(ISNA(VLOOKUP($B19,'TICH LUY'!$B$11:$BY$85,72,0)),$B19=""),"",VLOOKUP($B19,'TICH LUY'!$B$11:$BY$85,72,0))</f>
        <v/>
      </c>
      <c r="FN19" s="507" t="str">
        <f>IF(OR(ISNA(VLOOKUP($B19,'TICH LUY'!$B$11:$BY$85,73,0)),$B19=""),"",VLOOKUP($B19,'TICH LUY'!$B$11:$BY$85,73,0))</f>
        <v/>
      </c>
      <c r="FO19" s="507" t="str">
        <f>IF(OR(ISNA(VLOOKUP($B19,'TICH LUY'!$B$11:$BY$85,74,0)),$B19=""),"",VLOOKUP($B19,'TICH LUY'!$B$11:$BY$85,74,0))</f>
        <v/>
      </c>
      <c r="FP19" s="507">
        <f>IF(OR(ISNA(VLOOKUP($B19,'TICH LUY'!$B$11:$BY$85,75,0)),$B19=""),"",VLOOKUP($B19,'TICH LUY'!$B$11:$BY$85,75,0))</f>
        <v>6.3</v>
      </c>
      <c r="FQ19" s="529" t="str">
        <f>IF(OR(ISNA(VLOOKUP($B19,'TICH LUY'!$B$11:$BY$85,76,0)),$B19=""),"",VLOOKUP($B19,'TICH LUY'!$B$11:$BY$85,76,0))</f>
        <v/>
      </c>
      <c r="FR19" s="455">
        <f t="shared" si="69"/>
        <v>4.8</v>
      </c>
      <c r="FS19" s="456">
        <f t="shared" si="70"/>
        <v>5.7</v>
      </c>
      <c r="FT19" s="456">
        <f t="shared" si="71"/>
        <v>4.2</v>
      </c>
      <c r="FU19" s="456">
        <f t="shared" si="72"/>
        <v>4.0999999999999996</v>
      </c>
      <c r="FV19" s="456">
        <f t="shared" si="73"/>
        <v>4.0999999999999996</v>
      </c>
      <c r="FW19" s="456" t="str">
        <f t="shared" si="74"/>
        <v/>
      </c>
      <c r="FX19" s="456" t="str">
        <f t="shared" si="75"/>
        <v/>
      </c>
      <c r="FY19" s="456" t="str">
        <f t="shared" si="76"/>
        <v/>
      </c>
      <c r="FZ19" s="456" t="str">
        <f t="shared" si="77"/>
        <v/>
      </c>
      <c r="GA19" s="456">
        <f t="shared" si="78"/>
        <v>4.5</v>
      </c>
      <c r="GB19" s="459">
        <f t="shared" si="79"/>
        <v>6.8</v>
      </c>
      <c r="GC19" s="457">
        <f t="shared" si="23"/>
        <v>5.46</v>
      </c>
    </row>
    <row r="20" spans="1:185" s="221" customFormat="1" ht="15.75">
      <c r="A20" s="449">
        <f>IF(B20="","",SUBTOTAL(3,$B$11:B20))</f>
        <v>10</v>
      </c>
      <c r="B20" s="198" t="s">
        <v>2036</v>
      </c>
      <c r="C20" s="450" t="str">
        <f>IF($B20="","",VLOOKUP($B20,'DS LOP HKI'!$B$2:$F$2642,2,0))</f>
        <v>Lê Công</v>
      </c>
      <c r="D20" s="451" t="str">
        <f>IF($B20="","",VLOOKUP($B20,'DS LOP HKI'!$B$2:$F$2642,3,0))</f>
        <v>Hậu</v>
      </c>
      <c r="E20" s="154"/>
      <c r="F20" s="152"/>
      <c r="G20" s="156">
        <v>3</v>
      </c>
      <c r="H20" s="181">
        <f>IF(OR($H$6="",$H$7=""),"",IF($B20="","",IF(ISNA(VLOOKUP($B20,'LT01'!$B$11:$R$75,13,FALSE)),"",IF(VLOOKUP($B20,'LT01'!$B$11:$R$75,13,FALSE)="","",VLOOKUP($B20,'LT01'!$B$11:$R$75,13,FALSE)))))</f>
        <v>2.9</v>
      </c>
      <c r="I20" s="182">
        <f>IF(OR($H$6="",$H$7=""),"",IF($B20="","",IF(ISNA(VLOOKUP($B20,'LT01'!$B$11:$R$75,14,FALSE)),"",VLOOKUP($B20,'LT01'!$B$11:$R$75,14,FALSE))))</f>
        <v>4.3</v>
      </c>
      <c r="J20" s="183"/>
      <c r="K20" s="182" t="str">
        <f>IF(OR($H$6="",$H$7=""),"",IF($B20="","",IF(ISNA(VLOOKUP($B20,'LT01'!$B$11:$R$75,17,FALSE)),"",VLOOKUP($B20,'LT01'!$B$11:$R$75,17,FALSE))))</f>
        <v/>
      </c>
      <c r="L20" s="185">
        <f>IF(OR($H$6="",$H$7=""),"",IF($B20="","",IF(ISNA(VLOOKUP($B20,'LT02'!$B$11:$R$75,13,FALSE)),"",IF(VLOOKUP($B20,'LT02'!$B$11:$R$75,13,FALSE)="","",VLOOKUP($B20,'LT02'!$B$11:$R$75,13,FALSE)))))</f>
        <v>5.8</v>
      </c>
      <c r="M20" s="182">
        <f>IF(OR($H$6="",$H$7=""),"",IF($B20="","",IF(ISNA(VLOOKUP($B20,'LT02'!$B$11:$R$75,14,FALSE)),"",VLOOKUP($B20,'LT02'!$B$11:$R$75,14,FALSE))))</f>
        <v>6</v>
      </c>
      <c r="N20" s="183"/>
      <c r="O20" s="182" t="str">
        <f>IF(OR($H$6="",$H$7=""),"",IF($B20="","",IF(ISNA(VLOOKUP($B20,'LT02'!$B$11:$R$75,17,FALSE)),"",VLOOKUP($B20,'LT02'!$B$11:$R$75,17,FALSE))))</f>
        <v/>
      </c>
      <c r="P20" s="185">
        <f>IF(OR($H$6="",$H$7=""),"",IF($B20="","",IF(ISNA(VLOOKUP($B20,'LT03'!$B$11:$R$75,13,FALSE)),"",IF(VLOOKUP($B20,'LT03'!$B$11:$R$75,13,FALSE)="","",VLOOKUP($B20,'LT03'!$B$11:$R$75,13,FALSE)))))</f>
        <v>2.1</v>
      </c>
      <c r="Q20" s="182">
        <f>IF(OR($H$6="",$H$7=""),"",IF($B20="","",IF(ISNA(VLOOKUP($B20,'LT03'!$B$11:$R$75,14,FALSE)),"",VLOOKUP($B20,'LT03'!$B$11:$R$75,14,FALSE))))</f>
        <v>3.1</v>
      </c>
      <c r="R20" s="183"/>
      <c r="S20" s="182" t="str">
        <f>IF(OR($H$6="",$H$7=""),"",IF($B20="","",IF(ISNA(VLOOKUP($B20,'LT03'!$B$11:$R$75,17,FALSE)),"",VLOOKUP($B20,'LT03'!$B$11:$R$75,17,FALSE))))</f>
        <v/>
      </c>
      <c r="T20" s="185">
        <f>IF(OR($H$6="",$H$7=""),"",IF($B20="","",IF(ISNA(VLOOKUP($B20,'LT04'!$B$11:$R$75,13,FALSE)),"",IF(VLOOKUP($B20,'LT04'!$B$11:$R$75,13,FALSE)="","",VLOOKUP($B20,'LT04'!$B$11:$R$75,13,FALSE)))))</f>
        <v>2.2999999999999998</v>
      </c>
      <c r="U20" s="182">
        <f>IF(OR($H$6="",$H$7=""),"",IF($B20="","",IF(ISNA(VLOOKUP($B20,'LT04'!$B$11:$R$75,14,FALSE)),"",VLOOKUP($B20,'LT04'!$B$11:$R$75,14,FALSE))))</f>
        <v>4.5</v>
      </c>
      <c r="V20" s="183"/>
      <c r="W20" s="184" t="str">
        <f>IF(OR($H$6="",$H$7=""),"",IF($B20="","",IF(ISNA(VLOOKUP($B20,'LT04'!$B$11:$R$75,17,FALSE)),"",VLOOKUP($B20,'LT04'!$B$11:$R$75,17,FALSE))))</f>
        <v/>
      </c>
      <c r="X20" s="185">
        <f>IF(OR($H$6="",$H$7=""),"",IF($B20="","",IF(ISNA(VLOOKUP($B20,'LT05'!$B$11:$R$75,13,FALSE)),"",IF(VLOOKUP($B20,'LT05'!$B$11:$R$75,13,FALSE)="","",VLOOKUP($B20,'LT05'!$B$11:$R$75,13,FALSE)))))</f>
        <v>6.8</v>
      </c>
      <c r="Y20" s="182">
        <f>IF(OR($H$6="",$H$7=""),"",IF($B20="","",IF(ISNA(VLOOKUP($B20,'LT05'!$B$11:$R$75,14,FALSE)),"",VLOOKUP($B20,'LT05'!$B$11:$R$75,14,FALSE))))</f>
        <v>7</v>
      </c>
      <c r="Z20" s="183"/>
      <c r="AA20" s="182" t="str">
        <f>IF(OR($H$6="",$H$7=""),"",IF($B20="","",IF(ISNA(VLOOKUP($B20,'LT05'!$B$11:$R$75,17,FALSE)),"",VLOOKUP($B20,'LT05'!$B$11:$R$75,17,FALSE))))</f>
        <v/>
      </c>
      <c r="AB20" s="185">
        <f>IF(OR($H$6="",$H$7=""),"",IF($B20="","",IF(ISNA(VLOOKUP($B20,'LT06'!$B$11:$R$75,13,FALSE)),"",IF(VLOOKUP($B20,'LT06'!$B$11:$R$75,13,FALSE)="","",VLOOKUP($B20,'LT06'!$B$11:$R$75,13,FALSE)))))</f>
        <v>2.5</v>
      </c>
      <c r="AC20" s="182">
        <f>IF(OR($H$6="",$H$7=""),"",IF($B20="","",IF(ISNA(VLOOKUP($B20,'LT06'!$B$11:$R$75,14,FALSE)),"",VLOOKUP($B20,'LT06'!$B$11:$R$75,14,FALSE))))</f>
        <v>3.7</v>
      </c>
      <c r="AD20" s="183"/>
      <c r="AE20" s="182" t="str">
        <f>IF(OR($H$6="",$H$7=""),"",IF($B20="","",IF(ISNA(VLOOKUP($B20,'LT06'!$B$11:$R$75,17,FALSE)),"",VLOOKUP($B20,'LT06'!$B$11:$R$75,17,FALSE))))</f>
        <v/>
      </c>
      <c r="AF20" s="185" t="str">
        <f>IF(OR($H$6="",$H$7=""),"",IF($B20="","",IF(ISNA(VLOOKUP($B20,'LT07'!$B$11:$R$75,13,FALSE)),"",IF(VLOOKUP($B20,'LT07'!$B$11:$R$75,13,FALSE)="","",VLOOKUP($B20,'LT07'!$B$11:$R$75,13,FALSE)))))</f>
        <v/>
      </c>
      <c r="AG20" s="182" t="str">
        <f>IF(OR($H$6="",$H$7=""),"",IF($B20="","",IF(ISNA(VLOOKUP($B20,'LT07'!$B$11:$R$75,14,FALSE)),"",VLOOKUP($B20,'LT07'!$B$11:$R$75,14,FALSE))))</f>
        <v/>
      </c>
      <c r="AH20" s="183"/>
      <c r="AI20" s="182" t="str">
        <f>IF(OR($H$6="",$H$7=""),"",IF($B20="","",IF(ISNA(VLOOKUP($B20,'LT07'!$B$11:$R$75,17,FALSE)),"",VLOOKUP($B20,'LT07'!$B$11:$R$75,17,FALSE))))</f>
        <v/>
      </c>
      <c r="AJ20" s="185" t="str">
        <f>IF(OR($H$6="",$H$7=""),"",IF($B20="","",IF(ISNA(VLOOKUP($B20,'LT08'!$B$11:$R$75,13,FALSE)),"",IF(VLOOKUP($B20,'LT08'!$B$11:$R$75,13,FALSE)="","",VLOOKUP($B20,'LT08'!$B$11:$R$75,13,FALSE)))))</f>
        <v/>
      </c>
      <c r="AK20" s="182" t="str">
        <f>IF(OR($H$6="",$H$7=""),"",IF($B20="","",IF(ISNA(VLOOKUP($B20,'LT08'!$B$11:$R$75,14,FALSE)),"",VLOOKUP($B20,'LT08'!$B$11:$R$75,14,FALSE))))</f>
        <v/>
      </c>
      <c r="AL20" s="183"/>
      <c r="AM20" s="182" t="str">
        <f>IF(OR($H$6="",$H$7=""),"",IF($B20="","",IF(ISNA(VLOOKUP($B20,'LT08'!$B$11:$R$75,17,FALSE)),"",VLOOKUP($B20,'LT08'!$B$11:$R$75,17,FALSE))))</f>
        <v/>
      </c>
      <c r="AN20" s="185" t="str">
        <f>IF(OR($H$6="",$H$7=""),"",IF($B20="","",IF(ISNA(VLOOKUP($B20,'LT09'!$B$11:$R$75,13,FALSE)),"",IF(VLOOKUP($B20,'LT09'!$B$11:$R$75,13,FALSE)="","",VLOOKUP($B20,'LT09'!$B$11:$R$75,13,FALSE)))))</f>
        <v/>
      </c>
      <c r="AO20" s="182" t="str">
        <f>IF(OR($H$6="",$H$7=""),"",IF($B20="","",IF(ISNA(VLOOKUP($B20,'LT09'!$B$11:$R$75,14,FALSE)),"",VLOOKUP($B20,'LT09'!$B$11:$R$75,14,FALSE))))</f>
        <v/>
      </c>
      <c r="AP20" s="183"/>
      <c r="AQ20" s="182" t="str">
        <f>IF(OR($H$6="",$H$7=""),"",IF($B20="","",IF(ISNA(VLOOKUP($B20,'LT09'!$B$11:$R$75,17,FALSE)),"",VLOOKUP($B20,'LT09'!$B$11:$R$75,17,FALSE))))</f>
        <v/>
      </c>
      <c r="AR20" s="186"/>
      <c r="AS20" s="182">
        <f>IF(OR($H$6="",$H$7=""),"",IF($B20="","",IF(ISNA(VLOOKUP($B20,'TH01'!$B$11:$R$75,14,FALSE)),"",VLOOKUP($B20,'TH01'!$B$11:$R$75,14,FALSE))))</f>
        <v>6.8</v>
      </c>
      <c r="AT20" s="183"/>
      <c r="AU20" s="187"/>
      <c r="AV20" s="186"/>
      <c r="AW20" s="182">
        <f>IF(OR($H$6="",$H$7=""),"",IF($B20="","",IF(ISNA(VLOOKUP($B20,'TH02'!$B$11:$R$75,14,FALSE)),"",VLOOKUP($B20,'TH02'!$B$11:$R$75,14,FALSE))))</f>
        <v>8</v>
      </c>
      <c r="AX20" s="183"/>
      <c r="AY20" s="187"/>
      <c r="AZ20" s="54">
        <f t="shared" si="24"/>
        <v>5.33</v>
      </c>
      <c r="BA20" s="54" t="str">
        <f t="shared" si="0"/>
        <v/>
      </c>
      <c r="BB20" s="70">
        <v>51</v>
      </c>
      <c r="BC20" s="52" t="str">
        <f t="shared" si="25"/>
        <v>TBY</v>
      </c>
      <c r="BD20" s="52" t="str">
        <f t="shared" si="26"/>
        <v/>
      </c>
      <c r="BE20" s="52" t="str">
        <f t="shared" si="1"/>
        <v/>
      </c>
      <c r="BF20" s="149" t="str">
        <f t="shared" si="2"/>
        <v/>
      </c>
      <c r="BG20" s="52">
        <f t="shared" si="3"/>
        <v>13</v>
      </c>
      <c r="BH20" s="52">
        <f t="shared" si="27"/>
        <v>5</v>
      </c>
      <c r="BI20" s="52">
        <f t="shared" si="4"/>
        <v>13</v>
      </c>
      <c r="BJ20" s="52">
        <f t="shared" si="5"/>
        <v>5</v>
      </c>
      <c r="BK20" s="54">
        <f t="shared" si="6"/>
        <v>5.98</v>
      </c>
      <c r="BL20" s="54" t="str">
        <f t="shared" si="7"/>
        <v>BT</v>
      </c>
      <c r="BM20" s="54">
        <f t="shared" si="8"/>
        <v>5.98</v>
      </c>
      <c r="BN20" s="54" t="str">
        <f t="shared" si="9"/>
        <v>BT</v>
      </c>
      <c r="BO20" s="70"/>
      <c r="BP20" s="52">
        <f>IF(ISNA(VLOOKUP(B20,'TICH LUY'!B:D,2,0)),"",VLOOKUP(B20,'TICH LUY'!B:D,2,0)+BI20)</f>
        <v>50</v>
      </c>
      <c r="BQ20" s="52">
        <f>IF(ISNA(VLOOKUP(B20,'TICH LUY'!B:D,3,0)),"",VLOOKUP(B20,'TICH LUY'!B:D,3,0)+BJ20)</f>
        <v>7</v>
      </c>
      <c r="BR20" s="40">
        <f t="shared" si="10"/>
        <v>4</v>
      </c>
      <c r="BS20" s="452">
        <f t="shared" si="11"/>
        <v>2.9</v>
      </c>
      <c r="BT20" s="452">
        <f t="shared" si="12"/>
        <v>5.8</v>
      </c>
      <c r="BU20" s="452">
        <f t="shared" si="13"/>
        <v>2.1</v>
      </c>
      <c r="BV20" s="452">
        <f t="shared" si="14"/>
        <v>2.2999999999999998</v>
      </c>
      <c r="BW20" s="452">
        <f t="shared" si="15"/>
        <v>6.8</v>
      </c>
      <c r="BX20" s="452">
        <f t="shared" si="16"/>
        <v>2.5</v>
      </c>
      <c r="BY20" s="452" t="str">
        <f t="shared" si="17"/>
        <v/>
      </c>
      <c r="BZ20" s="452" t="str">
        <f t="shared" si="28"/>
        <v/>
      </c>
      <c r="CA20" s="452" t="str">
        <f t="shared" si="29"/>
        <v/>
      </c>
      <c r="CB20" s="452">
        <f t="shared" si="30"/>
        <v>6.8</v>
      </c>
      <c r="CC20" s="452">
        <f t="shared" si="18"/>
        <v>8</v>
      </c>
      <c r="CD20" s="40">
        <f t="shared" si="31"/>
        <v>2</v>
      </c>
      <c r="CE20" s="453">
        <f t="shared" si="80"/>
        <v>4.3</v>
      </c>
      <c r="CF20" s="452">
        <f t="shared" si="32"/>
        <v>6</v>
      </c>
      <c r="CG20" s="452">
        <f t="shared" si="81"/>
        <v>3.1</v>
      </c>
      <c r="CH20" s="452">
        <f t="shared" si="82"/>
        <v>4.5</v>
      </c>
      <c r="CI20" s="452">
        <f t="shared" si="83"/>
        <v>7</v>
      </c>
      <c r="CJ20" s="452">
        <f t="shared" si="84"/>
        <v>3.7</v>
      </c>
      <c r="CK20" s="452" t="str">
        <f t="shared" si="85"/>
        <v/>
      </c>
      <c r="CL20" s="452" t="str">
        <f t="shared" si="33"/>
        <v/>
      </c>
      <c r="CM20" s="452" t="str">
        <f t="shared" si="34"/>
        <v/>
      </c>
      <c r="CN20" s="452">
        <f t="shared" si="35"/>
        <v>6.8</v>
      </c>
      <c r="CO20" s="452">
        <f t="shared" si="19"/>
        <v>8</v>
      </c>
      <c r="CP20" s="454">
        <f t="shared" si="36"/>
        <v>5.33</v>
      </c>
      <c r="CQ20" s="527">
        <f>IF(OR(ISNA(VLOOKUP($B20,'TICH LUY'!$B$11:$BY$85,54,0)),$B20=""),"",VLOOKUP($B20,'TICH LUY'!$B$11:$BY$85,54,0))</f>
        <v>5</v>
      </c>
      <c r="CR20" s="507">
        <f>IF(OR(ISNA(VLOOKUP($B20,'TICH LUY'!$B$11:$BY$85,55,0)),$B20=""),"",VLOOKUP($B20,'TICH LUY'!$B$11:$BY$85,55,0))</f>
        <v>5.5</v>
      </c>
      <c r="CS20" s="507">
        <f>IF(OR(ISNA(VLOOKUP($B20,'TICH LUY'!$B$11:$BY$85,56,0)),$B20=""),"",VLOOKUP($B20,'TICH LUY'!$B$11:$BY$85,56,0))</f>
        <v>5</v>
      </c>
      <c r="CT20" s="507">
        <f>IF(OR(ISNA(VLOOKUP($B20,'TICH LUY'!$B$11:$BY$85,57,0)),$B20=""),"",VLOOKUP($B20,'TICH LUY'!$B$11:$BY$85,57,0))</f>
        <v>5.2</v>
      </c>
      <c r="CU20" s="507">
        <f>IF(OR(ISNA(VLOOKUP($B20,'TICH LUY'!$B$11:$BY$85,58,0)),$B20=""),"",VLOOKUP($B20,'TICH LUY'!$B$11:$BY$85,58,0))</f>
        <v>5.9</v>
      </c>
      <c r="CV20" s="507">
        <f>IF(OR(ISNA(VLOOKUP($B20,'TICH LUY'!$B$11:$BY$85,59,0)),$B20=""),"",VLOOKUP($B20,'TICH LUY'!$B$11:$BY$85,59,0))</f>
        <v>6.8</v>
      </c>
      <c r="CW20" s="507">
        <f>IF(OR(ISNA(VLOOKUP($B20,'TICH LUY'!$B$11:$BY$85,60,0)),$B20=""),"",VLOOKUP($B20,'TICH LUY'!$B$11:$BY$85,60,0))</f>
        <v>6.4</v>
      </c>
      <c r="CX20" s="507" t="str">
        <f>IF(OR(ISNA(VLOOKUP($B20,'TICH LUY'!$B$11:$BY$85,61,0)),$B20=""),"",VLOOKUP($B20,'TICH LUY'!$B$11:$BY$85,61,0))</f>
        <v/>
      </c>
      <c r="CY20" s="507" t="str">
        <f>IF(OR(ISNA(VLOOKUP($B20,'TICH LUY'!$B$11:$BY$85,62,0)),$B20=""),"",VLOOKUP($B20,'TICH LUY'!$B$11:$BY$85,62,0))</f>
        <v/>
      </c>
      <c r="CZ20" s="507">
        <f>IF(OR(ISNA(VLOOKUP($B20,'TICH LUY'!$B$11:$BY$85,63,0)),$B20=""),"",VLOOKUP($B20,'TICH LUY'!$B$11:$BY$85,63,0))</f>
        <v>5.5</v>
      </c>
      <c r="DA20" s="507">
        <f>IF(OR(ISNA(VLOOKUP($B20,'TICH LUY'!$B$11:$BY$85,64,0)),$B20=""),"",VLOOKUP($B20,'TICH LUY'!$B$11:$BY$85,64,0))</f>
        <v>5.4</v>
      </c>
      <c r="DB20" s="507" t="str">
        <f>IF(OR(ISNA(VLOOKUP($B20,'TICH LUY'!$B$11:$BY$85,65,0)),$B20=""),"",VLOOKUP($B20,'TICH LUY'!$B$11:$BY$85,65,0))</f>
        <v/>
      </c>
      <c r="DC20" s="507">
        <f>IF(OR(ISNA(VLOOKUP($B20,'TICH LUY'!$B$11:$BY$85,66,0)),$B20=""),"",VLOOKUP($B20,'TICH LUY'!$B$11:$BY$85,66,0))</f>
        <v>6.1</v>
      </c>
      <c r="DD20" s="507">
        <f>IF(OR(ISNA(VLOOKUP($B20,'TICH LUY'!$B$11:$BY$85,67,0)),$B20=""),"",VLOOKUP($B20,'TICH LUY'!$B$11:$BY$85,67,0))</f>
        <v>5.7</v>
      </c>
      <c r="DE20" s="507">
        <f>IF(OR(ISNA(VLOOKUP($B20,'TICH LUY'!$B$11:$BY$85,68,0)),$B20=""),"",VLOOKUP($B20,'TICH LUY'!$B$11:$BY$85,68,0))</f>
        <v>7.1</v>
      </c>
      <c r="DF20" s="507">
        <f>IF(OR(ISNA(VLOOKUP($B20,'TICH LUY'!$B$11:$BY$85,69,0)),$B20=""),"",VLOOKUP($B20,'TICH LUY'!$B$11:$BY$85,69,0))</f>
        <v>6</v>
      </c>
      <c r="DG20" s="507" t="str">
        <f>IF(OR(ISNA(VLOOKUP($B20,'TICH LUY'!$B$11:$BY$85,70,0)),$B20=""),"",VLOOKUP($B20,'TICH LUY'!$B$11:$BY$85,70,0))</f>
        <v/>
      </c>
      <c r="DH20" s="507">
        <f>IF(OR(ISNA(VLOOKUP($B20,'TICH LUY'!$B$11:$BY$85,71,0)),$B20=""),"",VLOOKUP($B20,'TICH LUY'!$B$11:$BY$85,71,0))</f>
        <v>6.4</v>
      </c>
      <c r="DI20" s="507" t="str">
        <f>IF(OR(ISNA(VLOOKUP($B20,'TICH LUY'!$B$11:$BY$85,72,0)),$B20=""),"",VLOOKUP($B20,'TICH LUY'!$B$11:$BY$85,72,0))</f>
        <v/>
      </c>
      <c r="DJ20" s="507" t="str">
        <f>IF(OR(ISNA(VLOOKUP($B20,'TICH LUY'!$B$11:$BY$85,73,0)),$B20=""),"",VLOOKUP($B20,'TICH LUY'!$B$11:$BY$85,73,0))</f>
        <v/>
      </c>
      <c r="DK20" s="507" t="str">
        <f>IF(OR(ISNA(VLOOKUP($B20,'TICH LUY'!$B$11:$BY$85,74,0)),$B20=""),"",VLOOKUP($B20,'TICH LUY'!$B$11:$BY$85,74,0))</f>
        <v/>
      </c>
      <c r="DL20" s="507">
        <f>IF(OR(ISNA(VLOOKUP($B20,'TICH LUY'!$B$11:$BY$85,75,0)),$B20=""),"",VLOOKUP($B20,'TICH LUY'!$B$11:$BY$85,75,0))</f>
        <v>6.8</v>
      </c>
      <c r="DM20" s="529" t="str">
        <f>IF(OR(ISNA(VLOOKUP($B20,'TICH LUY'!$B$11:$BY$85,76,0)),$B20=""),"",VLOOKUP($B20,'TICH LUY'!$B$11:$BY$85,76,0))</f>
        <v/>
      </c>
      <c r="DN20" s="455">
        <f t="shared" si="37"/>
        <v>4.3</v>
      </c>
      <c r="DO20" s="456">
        <f t="shared" si="38"/>
        <v>6</v>
      </c>
      <c r="DP20" s="456" t="str">
        <f t="shared" si="39"/>
        <v/>
      </c>
      <c r="DQ20" s="456">
        <f t="shared" si="40"/>
        <v>4.5</v>
      </c>
      <c r="DR20" s="456">
        <f t="shared" si="41"/>
        <v>7</v>
      </c>
      <c r="DS20" s="456" t="str">
        <f t="shared" si="42"/>
        <v/>
      </c>
      <c r="DT20" s="456" t="str">
        <f t="shared" si="43"/>
        <v/>
      </c>
      <c r="DU20" s="456" t="str">
        <f t="shared" si="44"/>
        <v/>
      </c>
      <c r="DV20" s="456" t="str">
        <f t="shared" si="45"/>
        <v/>
      </c>
      <c r="DW20" s="456">
        <f t="shared" si="46"/>
        <v>6.8</v>
      </c>
      <c r="DX20" s="456">
        <f t="shared" si="47"/>
        <v>8</v>
      </c>
      <c r="DY20" s="457">
        <f t="shared" si="48"/>
        <v>5.98</v>
      </c>
      <c r="DZ20" s="453" t="str">
        <f t="shared" si="49"/>
        <v/>
      </c>
      <c r="EA20" s="452" t="str">
        <f t="shared" si="50"/>
        <v/>
      </c>
      <c r="EB20" s="452" t="str">
        <f t="shared" si="51"/>
        <v/>
      </c>
      <c r="EC20" s="452" t="str">
        <f t="shared" si="52"/>
        <v/>
      </c>
      <c r="ED20" s="452" t="str">
        <f t="shared" si="53"/>
        <v/>
      </c>
      <c r="EE20" s="452" t="str">
        <f t="shared" si="54"/>
        <v/>
      </c>
      <c r="EF20" s="452" t="str">
        <f t="shared" si="55"/>
        <v/>
      </c>
      <c r="EG20" s="452" t="str">
        <f t="shared" si="56"/>
        <v/>
      </c>
      <c r="EH20" s="452" t="str">
        <f t="shared" si="57"/>
        <v/>
      </c>
      <c r="EI20" s="453">
        <f t="shared" si="58"/>
        <v>4.3</v>
      </c>
      <c r="EJ20" s="452">
        <f t="shared" si="59"/>
        <v>6</v>
      </c>
      <c r="EK20" s="452">
        <f t="shared" si="60"/>
        <v>3.1</v>
      </c>
      <c r="EL20" s="452">
        <f t="shared" si="61"/>
        <v>4.5</v>
      </c>
      <c r="EM20" s="452">
        <f t="shared" si="62"/>
        <v>7</v>
      </c>
      <c r="EN20" s="452">
        <f t="shared" si="63"/>
        <v>3.7</v>
      </c>
      <c r="EO20" s="452" t="str">
        <f t="shared" si="64"/>
        <v/>
      </c>
      <c r="EP20" s="452" t="str">
        <f t="shared" si="65"/>
        <v/>
      </c>
      <c r="EQ20" s="452" t="str">
        <f t="shared" si="66"/>
        <v/>
      </c>
      <c r="ER20" s="452">
        <f t="shared" si="67"/>
        <v>6.8</v>
      </c>
      <c r="ES20" s="452">
        <f t="shared" si="21"/>
        <v>8</v>
      </c>
      <c r="ET20" s="458" t="str">
        <f t="shared" si="68"/>
        <v/>
      </c>
      <c r="EU20" s="527">
        <f>IF(OR(ISNA(VLOOKUP($B20,'TICH LUY'!$B$11:$BY$85,54,0)),$B20=""),"",VLOOKUP($B20,'TICH LUY'!$B$11:$BY$85,54,0))</f>
        <v>5</v>
      </c>
      <c r="EV20" s="507">
        <f>IF(OR(ISNA(VLOOKUP($B20,'TICH LUY'!$B$11:$BY$85,55,0)),$B20=""),"",VLOOKUP($B20,'TICH LUY'!$B$11:$BY$85,55,0))</f>
        <v>5.5</v>
      </c>
      <c r="EW20" s="507">
        <f>IF(OR(ISNA(VLOOKUP($B20,'TICH LUY'!$B$11:$BY$85,56,0)),$B20=""),"",VLOOKUP($B20,'TICH LUY'!$B$11:$BY$85,56,0))</f>
        <v>5</v>
      </c>
      <c r="EX20" s="507">
        <f>IF(OR(ISNA(VLOOKUP($B20,'TICH LUY'!$B$11:$BY$85,57,0)),$B20=""),"",VLOOKUP($B20,'TICH LUY'!$B$11:$BY$85,57,0))</f>
        <v>5.2</v>
      </c>
      <c r="EY20" s="507">
        <f>IF(OR(ISNA(VLOOKUP($B20,'TICH LUY'!$B$11:$BY$85,58,0)),$B20=""),"",VLOOKUP($B20,'TICH LUY'!$B$11:$BY$85,58,0))</f>
        <v>5.9</v>
      </c>
      <c r="EZ20" s="507">
        <f>IF(OR(ISNA(VLOOKUP($B20,'TICH LUY'!$B$11:$BY$85,59,0)),$B20=""),"",VLOOKUP($B20,'TICH LUY'!$B$11:$BY$85,59,0))</f>
        <v>6.8</v>
      </c>
      <c r="FA20" s="507">
        <f>IF(OR(ISNA(VLOOKUP($B20,'TICH LUY'!$B$11:$BY$85,60,0)),$B20=""),"",VLOOKUP($B20,'TICH LUY'!$B$11:$BY$85,60,0))</f>
        <v>6.4</v>
      </c>
      <c r="FB20" s="507" t="str">
        <f>IF(OR(ISNA(VLOOKUP($B20,'TICH LUY'!$B$11:$BY$85,61,0)),$B20=""),"",VLOOKUP($B20,'TICH LUY'!$B$11:$BY$85,61,0))</f>
        <v/>
      </c>
      <c r="FC20" s="507" t="str">
        <f>IF(OR(ISNA(VLOOKUP($B20,'TICH LUY'!$B$11:$BY$85,62,0)),$B20=""),"",VLOOKUP($B20,'TICH LUY'!$B$11:$BY$85,62,0))</f>
        <v/>
      </c>
      <c r="FD20" s="507">
        <f>IF(OR(ISNA(VLOOKUP($B20,'TICH LUY'!$B$11:$BY$85,63,0)),$B20=""),"",VLOOKUP($B20,'TICH LUY'!$B$11:$BY$85,63,0))</f>
        <v>5.5</v>
      </c>
      <c r="FE20" s="507">
        <f>IF(OR(ISNA(VLOOKUP($B20,'TICH LUY'!$B$11:$BY$85,64,0)),$B20=""),"",VLOOKUP($B20,'TICH LUY'!$B$11:$BY$85,64,0))</f>
        <v>5.4</v>
      </c>
      <c r="FF20" s="507" t="str">
        <f>IF(OR(ISNA(VLOOKUP($B20,'TICH LUY'!$B$11:$BY$85,65,0)),$B20=""),"",VLOOKUP($B20,'TICH LUY'!$B$11:$BY$85,65,0))</f>
        <v/>
      </c>
      <c r="FG20" s="507">
        <f>IF(OR(ISNA(VLOOKUP($B20,'TICH LUY'!$B$11:$BY$85,66,0)),$B20=""),"",VLOOKUP($B20,'TICH LUY'!$B$11:$BY$85,66,0))</f>
        <v>6.1</v>
      </c>
      <c r="FH20" s="507">
        <f>IF(OR(ISNA(VLOOKUP($B20,'TICH LUY'!$B$11:$BY$85,67,0)),$B20=""),"",VLOOKUP($B20,'TICH LUY'!$B$11:$BY$85,67,0))</f>
        <v>5.7</v>
      </c>
      <c r="FI20" s="507">
        <f>IF(OR(ISNA(VLOOKUP($B20,'TICH LUY'!$B$11:$BY$85,68,0)),$B20=""),"",VLOOKUP($B20,'TICH LUY'!$B$11:$BY$85,68,0))</f>
        <v>7.1</v>
      </c>
      <c r="FJ20" s="507">
        <f>IF(OR(ISNA(VLOOKUP($B20,'TICH LUY'!$B$11:$BY$85,69,0)),$B20=""),"",VLOOKUP($B20,'TICH LUY'!$B$11:$BY$85,69,0))</f>
        <v>6</v>
      </c>
      <c r="FK20" s="507" t="str">
        <f>IF(OR(ISNA(VLOOKUP($B20,'TICH LUY'!$B$11:$BY$85,70,0)),$B20=""),"",VLOOKUP($B20,'TICH LUY'!$B$11:$BY$85,70,0))</f>
        <v/>
      </c>
      <c r="FL20" s="507">
        <f>IF(OR(ISNA(VLOOKUP($B20,'TICH LUY'!$B$11:$BY$85,71,0)),$B20=""),"",VLOOKUP($B20,'TICH LUY'!$B$11:$BY$85,71,0))</f>
        <v>6.4</v>
      </c>
      <c r="FM20" s="507" t="str">
        <f>IF(OR(ISNA(VLOOKUP($B20,'TICH LUY'!$B$11:$BY$85,72,0)),$B20=""),"",VLOOKUP($B20,'TICH LUY'!$B$11:$BY$85,72,0))</f>
        <v/>
      </c>
      <c r="FN20" s="507" t="str">
        <f>IF(OR(ISNA(VLOOKUP($B20,'TICH LUY'!$B$11:$BY$85,73,0)),$B20=""),"",VLOOKUP($B20,'TICH LUY'!$B$11:$BY$85,73,0))</f>
        <v/>
      </c>
      <c r="FO20" s="507" t="str">
        <f>IF(OR(ISNA(VLOOKUP($B20,'TICH LUY'!$B$11:$BY$85,74,0)),$B20=""),"",VLOOKUP($B20,'TICH LUY'!$B$11:$BY$85,74,0))</f>
        <v/>
      </c>
      <c r="FP20" s="507">
        <f>IF(OR(ISNA(VLOOKUP($B20,'TICH LUY'!$B$11:$BY$85,75,0)),$B20=""),"",VLOOKUP($B20,'TICH LUY'!$B$11:$BY$85,75,0))</f>
        <v>6.8</v>
      </c>
      <c r="FQ20" s="529" t="str">
        <f>IF(OR(ISNA(VLOOKUP($B20,'TICH LUY'!$B$11:$BY$85,76,0)),$B20=""),"",VLOOKUP($B20,'TICH LUY'!$B$11:$BY$85,76,0))</f>
        <v/>
      </c>
      <c r="FR20" s="455">
        <f t="shared" si="69"/>
        <v>4.3</v>
      </c>
      <c r="FS20" s="456">
        <f t="shared" si="70"/>
        <v>6</v>
      </c>
      <c r="FT20" s="456" t="str">
        <f t="shared" si="71"/>
        <v/>
      </c>
      <c r="FU20" s="456">
        <f t="shared" si="72"/>
        <v>4.5</v>
      </c>
      <c r="FV20" s="456">
        <f t="shared" si="73"/>
        <v>7</v>
      </c>
      <c r="FW20" s="456" t="str">
        <f t="shared" si="74"/>
        <v/>
      </c>
      <c r="FX20" s="456" t="str">
        <f t="shared" si="75"/>
        <v/>
      </c>
      <c r="FY20" s="456" t="str">
        <f t="shared" si="76"/>
        <v/>
      </c>
      <c r="FZ20" s="456" t="str">
        <f t="shared" si="77"/>
        <v/>
      </c>
      <c r="GA20" s="456">
        <f t="shared" si="78"/>
        <v>6.8</v>
      </c>
      <c r="GB20" s="459">
        <f t="shared" si="79"/>
        <v>8</v>
      </c>
      <c r="GC20" s="457">
        <f t="shared" si="23"/>
        <v>5.98</v>
      </c>
    </row>
    <row r="21" spans="1:185" s="221" customFormat="1" ht="15.75">
      <c r="A21" s="449">
        <f>IF(B21="","",SUBTOTAL(3,$B$11:B21))</f>
        <v>11</v>
      </c>
      <c r="B21" s="198" t="s">
        <v>2039</v>
      </c>
      <c r="C21" s="450" t="str">
        <f>IF($B21="","",VLOOKUP($B21,'DS LOP HKI'!$B$2:$F$2642,2,0))</f>
        <v>Lê Minh</v>
      </c>
      <c r="D21" s="451" t="str">
        <f>IF($B21="","",VLOOKUP($B21,'DS LOP HKI'!$B$2:$F$2642,3,0))</f>
        <v>Hiếu</v>
      </c>
      <c r="E21" s="154"/>
      <c r="F21" s="152"/>
      <c r="G21" s="156">
        <v>2</v>
      </c>
      <c r="H21" s="181">
        <f>IF(OR($H$6="",$H$7=""),"",IF($B21="","",IF(ISNA(VLOOKUP($B21,'LT01'!$B$11:$R$75,13,FALSE)),"",IF(VLOOKUP($B21,'LT01'!$B$11:$R$75,13,FALSE)="","",VLOOKUP($B21,'LT01'!$B$11:$R$75,13,FALSE)))))</f>
        <v>2.6</v>
      </c>
      <c r="I21" s="182">
        <f>IF(OR($H$6="",$H$7=""),"",IF($B21="","",IF(ISNA(VLOOKUP($B21,'LT01'!$B$11:$R$75,14,FALSE)),"",VLOOKUP($B21,'LT01'!$B$11:$R$75,14,FALSE))))</f>
        <v>4.3</v>
      </c>
      <c r="J21" s="183"/>
      <c r="K21" s="182" t="str">
        <f>IF(OR($H$6="",$H$7=""),"",IF($B21="","",IF(ISNA(VLOOKUP($B21,'LT01'!$B$11:$R$75,17,FALSE)),"",VLOOKUP($B21,'LT01'!$B$11:$R$75,17,FALSE))))</f>
        <v/>
      </c>
      <c r="L21" s="185">
        <f>IF(OR($H$6="",$H$7=""),"",IF($B21="","",IF(ISNA(VLOOKUP($B21,'LT02'!$B$11:$R$75,13,FALSE)),"",IF(VLOOKUP($B21,'LT02'!$B$11:$R$75,13,FALSE)="","",VLOOKUP($B21,'LT02'!$B$11:$R$75,13,FALSE)))))</f>
        <v>6.3</v>
      </c>
      <c r="M21" s="182">
        <f>IF(OR($H$6="",$H$7=""),"",IF($B21="","",IF(ISNA(VLOOKUP($B21,'LT02'!$B$11:$R$75,14,FALSE)),"",VLOOKUP($B21,'LT02'!$B$11:$R$75,14,FALSE))))</f>
        <v>6.2</v>
      </c>
      <c r="N21" s="183"/>
      <c r="O21" s="182" t="str">
        <f>IF(OR($H$6="",$H$7=""),"",IF($B21="","",IF(ISNA(VLOOKUP($B21,'LT02'!$B$11:$R$75,17,FALSE)),"",VLOOKUP($B21,'LT02'!$B$11:$R$75,17,FALSE))))</f>
        <v/>
      </c>
      <c r="P21" s="185">
        <f>IF(OR($H$6="",$H$7=""),"",IF($B21="","",IF(ISNA(VLOOKUP($B21,'LT03'!$B$11:$R$75,13,FALSE)),"",IF(VLOOKUP($B21,'LT03'!$B$11:$R$75,13,FALSE)="","",VLOOKUP($B21,'LT03'!$B$11:$R$75,13,FALSE)))))</f>
        <v>4.3</v>
      </c>
      <c r="Q21" s="182">
        <f>IF(OR($H$6="",$H$7=""),"",IF($B21="","",IF(ISNA(VLOOKUP($B21,'LT03'!$B$11:$R$75,14,FALSE)),"",VLOOKUP($B21,'LT03'!$B$11:$R$75,14,FALSE))))</f>
        <v>5.0999999999999996</v>
      </c>
      <c r="R21" s="183"/>
      <c r="S21" s="182" t="str">
        <f>IF(OR($H$6="",$H$7=""),"",IF($B21="","",IF(ISNA(VLOOKUP($B21,'LT03'!$B$11:$R$75,17,FALSE)),"",VLOOKUP($B21,'LT03'!$B$11:$R$75,17,FALSE))))</f>
        <v/>
      </c>
      <c r="T21" s="185">
        <f>IF(OR($H$6="",$H$7=""),"",IF($B21="","",IF(ISNA(VLOOKUP($B21,'LT04'!$B$11:$R$75,13,FALSE)),"",IF(VLOOKUP($B21,'LT04'!$B$11:$R$75,13,FALSE)="","",VLOOKUP($B21,'LT04'!$B$11:$R$75,13,FALSE)))))</f>
        <v>3.5</v>
      </c>
      <c r="U21" s="182">
        <f>IF(OR($H$6="",$H$7=""),"",IF($B21="","",IF(ISNA(VLOOKUP($B21,'LT04'!$B$11:$R$75,14,FALSE)),"",VLOOKUP($B21,'LT04'!$B$11:$R$75,14,FALSE))))</f>
        <v>4.3</v>
      </c>
      <c r="V21" s="183"/>
      <c r="W21" s="184" t="str">
        <f>IF(OR($H$6="",$H$7=""),"",IF($B21="","",IF(ISNA(VLOOKUP($B21,'LT04'!$B$11:$R$75,17,FALSE)),"",VLOOKUP($B21,'LT04'!$B$11:$R$75,17,FALSE))))</f>
        <v/>
      </c>
      <c r="X21" s="185">
        <f>IF(OR($H$6="",$H$7=""),"",IF($B21="","",IF(ISNA(VLOOKUP($B21,'LT05'!$B$11:$R$75,13,FALSE)),"",IF(VLOOKUP($B21,'LT05'!$B$11:$R$75,13,FALSE)="","",VLOOKUP($B21,'LT05'!$B$11:$R$75,13,FALSE)))))</f>
        <v>7.5</v>
      </c>
      <c r="Y21" s="182">
        <f>IF(OR($H$6="",$H$7=""),"",IF($B21="","",IF(ISNA(VLOOKUP($B21,'LT05'!$B$11:$R$75,14,FALSE)),"",VLOOKUP($B21,'LT05'!$B$11:$R$75,14,FALSE))))</f>
        <v>5.7</v>
      </c>
      <c r="Z21" s="183"/>
      <c r="AA21" s="182" t="str">
        <f>IF(OR($H$6="",$H$7=""),"",IF($B21="","",IF(ISNA(VLOOKUP($B21,'LT05'!$B$11:$R$75,17,FALSE)),"",VLOOKUP($B21,'LT05'!$B$11:$R$75,17,FALSE))))</f>
        <v/>
      </c>
      <c r="AB21" s="185">
        <f>IF(OR($H$6="",$H$7=""),"",IF($B21="","",IF(ISNA(VLOOKUP($B21,'LT06'!$B$11:$R$75,13,FALSE)),"",IF(VLOOKUP($B21,'LT06'!$B$11:$R$75,13,FALSE)="","",VLOOKUP($B21,'LT06'!$B$11:$R$75,13,FALSE)))))</f>
        <v>4</v>
      </c>
      <c r="AC21" s="182">
        <f>IF(OR($H$6="",$H$7=""),"",IF($B21="","",IF(ISNA(VLOOKUP($B21,'LT06'!$B$11:$R$75,14,FALSE)),"",VLOOKUP($B21,'LT06'!$B$11:$R$75,14,FALSE))))</f>
        <v>4.9000000000000004</v>
      </c>
      <c r="AD21" s="183"/>
      <c r="AE21" s="182" t="str">
        <f>IF(OR($H$6="",$H$7=""),"",IF($B21="","",IF(ISNA(VLOOKUP($B21,'LT06'!$B$11:$R$75,17,FALSE)),"",VLOOKUP($B21,'LT06'!$B$11:$R$75,17,FALSE))))</f>
        <v/>
      </c>
      <c r="AF21" s="185" t="str">
        <f>IF(OR($H$6="",$H$7=""),"",IF($B21="","",IF(ISNA(VLOOKUP($B21,'LT07'!$B$11:$R$75,13,FALSE)),"",IF(VLOOKUP($B21,'LT07'!$B$11:$R$75,13,FALSE)="","",VLOOKUP($B21,'LT07'!$B$11:$R$75,13,FALSE)))))</f>
        <v/>
      </c>
      <c r="AG21" s="182" t="str">
        <f>IF(OR($H$6="",$H$7=""),"",IF($B21="","",IF(ISNA(VLOOKUP($B21,'LT07'!$B$11:$R$75,14,FALSE)),"",VLOOKUP($B21,'LT07'!$B$11:$R$75,14,FALSE))))</f>
        <v/>
      </c>
      <c r="AH21" s="183"/>
      <c r="AI21" s="182" t="str">
        <f>IF(OR($H$6="",$H$7=""),"",IF($B21="","",IF(ISNA(VLOOKUP($B21,'LT07'!$B$11:$R$75,17,FALSE)),"",VLOOKUP($B21,'LT07'!$B$11:$R$75,17,FALSE))))</f>
        <v/>
      </c>
      <c r="AJ21" s="185" t="str">
        <f>IF(OR($H$6="",$H$7=""),"",IF($B21="","",IF(ISNA(VLOOKUP($B21,'LT08'!$B$11:$R$75,13,FALSE)),"",IF(VLOOKUP($B21,'LT08'!$B$11:$R$75,13,FALSE)="","",VLOOKUP($B21,'LT08'!$B$11:$R$75,13,FALSE)))))</f>
        <v/>
      </c>
      <c r="AK21" s="182" t="str">
        <f>IF(OR($H$6="",$H$7=""),"",IF($B21="","",IF(ISNA(VLOOKUP($B21,'LT08'!$B$11:$R$75,14,FALSE)),"",VLOOKUP($B21,'LT08'!$B$11:$R$75,14,FALSE))))</f>
        <v/>
      </c>
      <c r="AL21" s="183"/>
      <c r="AM21" s="182" t="str">
        <f>IF(OR($H$6="",$H$7=""),"",IF($B21="","",IF(ISNA(VLOOKUP($B21,'LT08'!$B$11:$R$75,17,FALSE)),"",VLOOKUP($B21,'LT08'!$B$11:$R$75,17,FALSE))))</f>
        <v/>
      </c>
      <c r="AN21" s="185" t="str">
        <f>IF(OR($H$6="",$H$7=""),"",IF($B21="","",IF(ISNA(VLOOKUP($B21,'LT09'!$B$11:$R$75,13,FALSE)),"",IF(VLOOKUP($B21,'LT09'!$B$11:$R$75,13,FALSE)="","",VLOOKUP($B21,'LT09'!$B$11:$R$75,13,FALSE)))))</f>
        <v/>
      </c>
      <c r="AO21" s="182" t="str">
        <f>IF(OR($H$6="",$H$7=""),"",IF($B21="","",IF(ISNA(VLOOKUP($B21,'LT09'!$B$11:$R$75,14,FALSE)),"",VLOOKUP($B21,'LT09'!$B$11:$R$75,14,FALSE))))</f>
        <v/>
      </c>
      <c r="AP21" s="183"/>
      <c r="AQ21" s="182" t="str">
        <f>IF(OR($H$6="",$H$7=""),"",IF($B21="","",IF(ISNA(VLOOKUP($B21,'LT09'!$B$11:$R$75,17,FALSE)),"",VLOOKUP($B21,'LT09'!$B$11:$R$75,17,FALSE))))</f>
        <v/>
      </c>
      <c r="AR21" s="186"/>
      <c r="AS21" s="182">
        <f>IF(OR($H$6="",$H$7=""),"",IF($B21="","",IF(ISNA(VLOOKUP($B21,'TH01'!$B$11:$R$75,14,FALSE)),"",VLOOKUP($B21,'TH01'!$B$11:$R$75,14,FALSE))))</f>
        <v>5</v>
      </c>
      <c r="AT21" s="183"/>
      <c r="AU21" s="187"/>
      <c r="AV21" s="186"/>
      <c r="AW21" s="182">
        <f>IF(OR($H$6="",$H$7=""),"",IF($B21="","",IF(ISNA(VLOOKUP($B21,'TH02'!$B$11:$R$75,14,FALSE)),"",VLOOKUP($B21,'TH02'!$B$11:$R$75,14,FALSE))))</f>
        <v>6</v>
      </c>
      <c r="AX21" s="183"/>
      <c r="AY21" s="187"/>
      <c r="AZ21" s="54">
        <f t="shared" si="24"/>
        <v>5.24</v>
      </c>
      <c r="BA21" s="54" t="str">
        <f t="shared" si="0"/>
        <v/>
      </c>
      <c r="BB21" s="70">
        <v>53</v>
      </c>
      <c r="BC21" s="52" t="str">
        <f t="shared" si="25"/>
        <v>TBY</v>
      </c>
      <c r="BD21" s="52" t="str">
        <f t="shared" si="26"/>
        <v/>
      </c>
      <c r="BE21" s="52" t="str">
        <f t="shared" si="1"/>
        <v/>
      </c>
      <c r="BF21" s="149" t="str">
        <f t="shared" si="2"/>
        <v/>
      </c>
      <c r="BG21" s="52">
        <f t="shared" si="3"/>
        <v>18</v>
      </c>
      <c r="BH21" s="52">
        <f t="shared" si="27"/>
        <v>0</v>
      </c>
      <c r="BI21" s="52">
        <f t="shared" si="4"/>
        <v>18</v>
      </c>
      <c r="BJ21" s="52">
        <f t="shared" si="5"/>
        <v>0</v>
      </c>
      <c r="BK21" s="54">
        <f t="shared" si="6"/>
        <v>5.57</v>
      </c>
      <c r="BL21" s="54" t="str">
        <f t="shared" si="7"/>
        <v>BT</v>
      </c>
      <c r="BM21" s="54">
        <f t="shared" si="8"/>
        <v>5.57</v>
      </c>
      <c r="BN21" s="54" t="str">
        <f t="shared" si="9"/>
        <v>BT</v>
      </c>
      <c r="BO21" s="70"/>
      <c r="BP21" s="52">
        <f>IF(ISNA(VLOOKUP(B21,'TICH LUY'!B:D,2,0)),"",VLOOKUP(B21,'TICH LUY'!B:D,2,0)+BI21)</f>
        <v>55</v>
      </c>
      <c r="BQ21" s="52">
        <f>IF(ISNA(VLOOKUP(B21,'TICH LUY'!B:D,3,0)),"",VLOOKUP(B21,'TICH LUY'!B:D,3,0)+BJ21)</f>
        <v>2</v>
      </c>
      <c r="BR21" s="40">
        <f t="shared" si="10"/>
        <v>4</v>
      </c>
      <c r="BS21" s="452">
        <f t="shared" si="11"/>
        <v>2.6</v>
      </c>
      <c r="BT21" s="452">
        <f t="shared" si="12"/>
        <v>6.3</v>
      </c>
      <c r="BU21" s="452">
        <f t="shared" si="13"/>
        <v>4.3</v>
      </c>
      <c r="BV21" s="452">
        <f t="shared" si="14"/>
        <v>3.5</v>
      </c>
      <c r="BW21" s="452">
        <f t="shared" si="15"/>
        <v>7.5</v>
      </c>
      <c r="BX21" s="452">
        <f t="shared" si="16"/>
        <v>4</v>
      </c>
      <c r="BY21" s="452" t="str">
        <f t="shared" si="17"/>
        <v/>
      </c>
      <c r="BZ21" s="452" t="str">
        <f t="shared" si="28"/>
        <v/>
      </c>
      <c r="CA21" s="452" t="str">
        <f t="shared" si="29"/>
        <v/>
      </c>
      <c r="CB21" s="452">
        <f t="shared" si="30"/>
        <v>5</v>
      </c>
      <c r="CC21" s="452">
        <f t="shared" si="18"/>
        <v>6</v>
      </c>
      <c r="CD21" s="40">
        <f t="shared" si="31"/>
        <v>0</v>
      </c>
      <c r="CE21" s="453">
        <f t="shared" si="80"/>
        <v>4.3</v>
      </c>
      <c r="CF21" s="452">
        <f t="shared" si="32"/>
        <v>6.2</v>
      </c>
      <c r="CG21" s="452">
        <f t="shared" si="81"/>
        <v>5.0999999999999996</v>
      </c>
      <c r="CH21" s="452">
        <f t="shared" si="82"/>
        <v>4.3</v>
      </c>
      <c r="CI21" s="452">
        <f t="shared" si="83"/>
        <v>5.7</v>
      </c>
      <c r="CJ21" s="452">
        <f t="shared" si="84"/>
        <v>4.9000000000000004</v>
      </c>
      <c r="CK21" s="452" t="str">
        <f t="shared" si="85"/>
        <v/>
      </c>
      <c r="CL21" s="452" t="str">
        <f t="shared" si="33"/>
        <v/>
      </c>
      <c r="CM21" s="452" t="str">
        <f t="shared" si="34"/>
        <v/>
      </c>
      <c r="CN21" s="452">
        <f t="shared" si="35"/>
        <v>5</v>
      </c>
      <c r="CO21" s="452">
        <f t="shared" si="19"/>
        <v>6</v>
      </c>
      <c r="CP21" s="454">
        <f t="shared" si="36"/>
        <v>5.24</v>
      </c>
      <c r="CQ21" s="527">
        <f>IF(OR(ISNA(VLOOKUP($B21,'TICH LUY'!$B$11:$BY$85,54,0)),$B21=""),"",VLOOKUP($B21,'TICH LUY'!$B$11:$BY$85,54,0))</f>
        <v>5.2</v>
      </c>
      <c r="CR21" s="507">
        <f>IF(OR(ISNA(VLOOKUP($B21,'TICH LUY'!$B$11:$BY$85,55,0)),$B21=""),"",VLOOKUP($B21,'TICH LUY'!$B$11:$BY$85,55,0))</f>
        <v>6.8</v>
      </c>
      <c r="CS21" s="507">
        <f>IF(OR(ISNA(VLOOKUP($B21,'TICH LUY'!$B$11:$BY$85,56,0)),$B21=""),"",VLOOKUP($B21,'TICH LUY'!$B$11:$BY$85,56,0))</f>
        <v>6.1</v>
      </c>
      <c r="CT21" s="507">
        <f>IF(OR(ISNA(VLOOKUP($B21,'TICH LUY'!$B$11:$BY$85,57,0)),$B21=""),"",VLOOKUP($B21,'TICH LUY'!$B$11:$BY$85,57,0))</f>
        <v>5.9</v>
      </c>
      <c r="CU21" s="507">
        <f>IF(OR(ISNA(VLOOKUP($B21,'TICH LUY'!$B$11:$BY$85,58,0)),$B21=""),"",VLOOKUP($B21,'TICH LUY'!$B$11:$BY$85,58,0))</f>
        <v>5</v>
      </c>
      <c r="CV21" s="507">
        <f>IF(OR(ISNA(VLOOKUP($B21,'TICH LUY'!$B$11:$BY$85,59,0)),$B21=""),"",VLOOKUP($B21,'TICH LUY'!$B$11:$BY$85,59,0))</f>
        <v>5.5</v>
      </c>
      <c r="CW21" s="507" t="str">
        <f>IF(OR(ISNA(VLOOKUP($B21,'TICH LUY'!$B$11:$BY$85,60,0)),$B21=""),"",VLOOKUP($B21,'TICH LUY'!$B$11:$BY$85,60,0))</f>
        <v/>
      </c>
      <c r="CX21" s="507" t="str">
        <f>IF(OR(ISNA(VLOOKUP($B21,'TICH LUY'!$B$11:$BY$85,61,0)),$B21=""),"",VLOOKUP($B21,'TICH LUY'!$B$11:$BY$85,61,0))</f>
        <v/>
      </c>
      <c r="CY21" s="507" t="str">
        <f>IF(OR(ISNA(VLOOKUP($B21,'TICH LUY'!$B$11:$BY$85,62,0)),$B21=""),"",VLOOKUP($B21,'TICH LUY'!$B$11:$BY$85,62,0))</f>
        <v/>
      </c>
      <c r="CZ21" s="507">
        <f>IF(OR(ISNA(VLOOKUP($B21,'TICH LUY'!$B$11:$BY$85,63,0)),$B21=""),"",VLOOKUP($B21,'TICH LUY'!$B$11:$BY$85,63,0))</f>
        <v>5.5</v>
      </c>
      <c r="DA21" s="507">
        <f>IF(OR(ISNA(VLOOKUP($B21,'TICH LUY'!$B$11:$BY$85,64,0)),$B21=""),"",VLOOKUP($B21,'TICH LUY'!$B$11:$BY$85,64,0))</f>
        <v>4.8</v>
      </c>
      <c r="DB21" s="507" t="str">
        <f>IF(OR(ISNA(VLOOKUP($B21,'TICH LUY'!$B$11:$BY$85,65,0)),$B21=""),"",VLOOKUP($B21,'TICH LUY'!$B$11:$BY$85,65,0))</f>
        <v/>
      </c>
      <c r="DC21" s="507">
        <f>IF(OR(ISNA(VLOOKUP($B21,'TICH LUY'!$B$11:$BY$85,66,0)),$B21=""),"",VLOOKUP($B21,'TICH LUY'!$B$11:$BY$85,66,0))</f>
        <v>8.6999999999999993</v>
      </c>
      <c r="DD21" s="507">
        <f>IF(OR(ISNA(VLOOKUP($B21,'TICH LUY'!$B$11:$BY$85,67,0)),$B21=""),"",VLOOKUP($B21,'TICH LUY'!$B$11:$BY$85,67,0))</f>
        <v>5.4</v>
      </c>
      <c r="DE21" s="507">
        <f>IF(OR(ISNA(VLOOKUP($B21,'TICH LUY'!$B$11:$BY$85,68,0)),$B21=""),"",VLOOKUP($B21,'TICH LUY'!$B$11:$BY$85,68,0))</f>
        <v>6</v>
      </c>
      <c r="DF21" s="507">
        <f>IF(OR(ISNA(VLOOKUP($B21,'TICH LUY'!$B$11:$BY$85,69,0)),$B21=""),"",VLOOKUP($B21,'TICH LUY'!$B$11:$BY$85,69,0))</f>
        <v>6.3</v>
      </c>
      <c r="DG21" s="507">
        <f>IF(OR(ISNA(VLOOKUP($B21,'TICH LUY'!$B$11:$BY$85,70,0)),$B21=""),"",VLOOKUP($B21,'TICH LUY'!$B$11:$BY$85,70,0))</f>
        <v>4.5</v>
      </c>
      <c r="DH21" s="507">
        <f>IF(OR(ISNA(VLOOKUP($B21,'TICH LUY'!$B$11:$BY$85,71,0)),$B21=""),"",VLOOKUP($B21,'TICH LUY'!$B$11:$BY$85,71,0))</f>
        <v>6.2</v>
      </c>
      <c r="DI21" s="507" t="str">
        <f>IF(OR(ISNA(VLOOKUP($B21,'TICH LUY'!$B$11:$BY$85,72,0)),$B21=""),"",VLOOKUP($B21,'TICH LUY'!$B$11:$BY$85,72,0))</f>
        <v/>
      </c>
      <c r="DJ21" s="507" t="str">
        <f>IF(OR(ISNA(VLOOKUP($B21,'TICH LUY'!$B$11:$BY$85,73,0)),$B21=""),"",VLOOKUP($B21,'TICH LUY'!$B$11:$BY$85,73,0))</f>
        <v/>
      </c>
      <c r="DK21" s="507" t="str">
        <f>IF(OR(ISNA(VLOOKUP($B21,'TICH LUY'!$B$11:$BY$85,74,0)),$B21=""),"",VLOOKUP($B21,'TICH LUY'!$B$11:$BY$85,74,0))</f>
        <v/>
      </c>
      <c r="DL21" s="507">
        <f>IF(OR(ISNA(VLOOKUP($B21,'TICH LUY'!$B$11:$BY$85,75,0)),$B21=""),"",VLOOKUP($B21,'TICH LUY'!$B$11:$BY$85,75,0))</f>
        <v>5</v>
      </c>
      <c r="DM21" s="529" t="str">
        <f>IF(OR(ISNA(VLOOKUP($B21,'TICH LUY'!$B$11:$BY$85,76,0)),$B21=""),"",VLOOKUP($B21,'TICH LUY'!$B$11:$BY$85,76,0))</f>
        <v/>
      </c>
      <c r="DN21" s="455">
        <f t="shared" si="37"/>
        <v>4.3</v>
      </c>
      <c r="DO21" s="456">
        <f t="shared" si="38"/>
        <v>6.2</v>
      </c>
      <c r="DP21" s="456">
        <f t="shared" si="39"/>
        <v>5.0999999999999996</v>
      </c>
      <c r="DQ21" s="456">
        <f t="shared" si="40"/>
        <v>4.3</v>
      </c>
      <c r="DR21" s="456">
        <f t="shared" si="41"/>
        <v>5.7</v>
      </c>
      <c r="DS21" s="456">
        <f t="shared" si="42"/>
        <v>4.9000000000000004</v>
      </c>
      <c r="DT21" s="456" t="str">
        <f t="shared" si="43"/>
        <v/>
      </c>
      <c r="DU21" s="456" t="str">
        <f t="shared" si="44"/>
        <v/>
      </c>
      <c r="DV21" s="456" t="str">
        <f t="shared" si="45"/>
        <v/>
      </c>
      <c r="DW21" s="456">
        <f t="shared" si="46"/>
        <v>5</v>
      </c>
      <c r="DX21" s="456">
        <f t="shared" si="47"/>
        <v>6</v>
      </c>
      <c r="DY21" s="457">
        <f t="shared" si="48"/>
        <v>5.57</v>
      </c>
      <c r="DZ21" s="453" t="str">
        <f t="shared" si="49"/>
        <v/>
      </c>
      <c r="EA21" s="452" t="str">
        <f t="shared" si="50"/>
        <v/>
      </c>
      <c r="EB21" s="452" t="str">
        <f t="shared" si="51"/>
        <v/>
      </c>
      <c r="EC21" s="452" t="str">
        <f t="shared" si="52"/>
        <v/>
      </c>
      <c r="ED21" s="452" t="str">
        <f t="shared" si="53"/>
        <v/>
      </c>
      <c r="EE21" s="452" t="str">
        <f t="shared" si="54"/>
        <v/>
      </c>
      <c r="EF21" s="452" t="str">
        <f t="shared" si="55"/>
        <v/>
      </c>
      <c r="EG21" s="452" t="str">
        <f t="shared" si="56"/>
        <v/>
      </c>
      <c r="EH21" s="452" t="str">
        <f t="shared" si="57"/>
        <v/>
      </c>
      <c r="EI21" s="453">
        <f t="shared" si="58"/>
        <v>4.3</v>
      </c>
      <c r="EJ21" s="452">
        <f t="shared" si="59"/>
        <v>6.2</v>
      </c>
      <c r="EK21" s="452">
        <f t="shared" si="60"/>
        <v>5.0999999999999996</v>
      </c>
      <c r="EL21" s="452">
        <f t="shared" si="61"/>
        <v>4.3</v>
      </c>
      <c r="EM21" s="452">
        <f t="shared" si="62"/>
        <v>5.7</v>
      </c>
      <c r="EN21" s="452">
        <f t="shared" si="63"/>
        <v>4.9000000000000004</v>
      </c>
      <c r="EO21" s="452" t="str">
        <f t="shared" si="64"/>
        <v/>
      </c>
      <c r="EP21" s="452" t="str">
        <f t="shared" si="65"/>
        <v/>
      </c>
      <c r="EQ21" s="452" t="str">
        <f t="shared" si="66"/>
        <v/>
      </c>
      <c r="ER21" s="452">
        <f t="shared" si="67"/>
        <v>5</v>
      </c>
      <c r="ES21" s="452">
        <f t="shared" si="21"/>
        <v>6</v>
      </c>
      <c r="ET21" s="458" t="str">
        <f t="shared" si="68"/>
        <v/>
      </c>
      <c r="EU21" s="527">
        <f>IF(OR(ISNA(VLOOKUP($B21,'TICH LUY'!$B$11:$BY$85,54,0)),$B21=""),"",VLOOKUP($B21,'TICH LUY'!$B$11:$BY$85,54,0))</f>
        <v>5.2</v>
      </c>
      <c r="EV21" s="507">
        <f>IF(OR(ISNA(VLOOKUP($B21,'TICH LUY'!$B$11:$BY$85,55,0)),$B21=""),"",VLOOKUP($B21,'TICH LUY'!$B$11:$BY$85,55,0))</f>
        <v>6.8</v>
      </c>
      <c r="EW21" s="507">
        <f>IF(OR(ISNA(VLOOKUP($B21,'TICH LUY'!$B$11:$BY$85,56,0)),$B21=""),"",VLOOKUP($B21,'TICH LUY'!$B$11:$BY$85,56,0))</f>
        <v>6.1</v>
      </c>
      <c r="EX21" s="507">
        <f>IF(OR(ISNA(VLOOKUP($B21,'TICH LUY'!$B$11:$BY$85,57,0)),$B21=""),"",VLOOKUP($B21,'TICH LUY'!$B$11:$BY$85,57,0))</f>
        <v>5.9</v>
      </c>
      <c r="EY21" s="507">
        <f>IF(OR(ISNA(VLOOKUP($B21,'TICH LUY'!$B$11:$BY$85,58,0)),$B21=""),"",VLOOKUP($B21,'TICH LUY'!$B$11:$BY$85,58,0))</f>
        <v>5</v>
      </c>
      <c r="EZ21" s="507">
        <f>IF(OR(ISNA(VLOOKUP($B21,'TICH LUY'!$B$11:$BY$85,59,0)),$B21=""),"",VLOOKUP($B21,'TICH LUY'!$B$11:$BY$85,59,0))</f>
        <v>5.5</v>
      </c>
      <c r="FA21" s="507" t="str">
        <f>IF(OR(ISNA(VLOOKUP($B21,'TICH LUY'!$B$11:$BY$85,60,0)),$B21=""),"",VLOOKUP($B21,'TICH LUY'!$B$11:$BY$85,60,0))</f>
        <v/>
      </c>
      <c r="FB21" s="507" t="str">
        <f>IF(OR(ISNA(VLOOKUP($B21,'TICH LUY'!$B$11:$BY$85,61,0)),$B21=""),"",VLOOKUP($B21,'TICH LUY'!$B$11:$BY$85,61,0))</f>
        <v/>
      </c>
      <c r="FC21" s="507" t="str">
        <f>IF(OR(ISNA(VLOOKUP($B21,'TICH LUY'!$B$11:$BY$85,62,0)),$B21=""),"",VLOOKUP($B21,'TICH LUY'!$B$11:$BY$85,62,0))</f>
        <v/>
      </c>
      <c r="FD21" s="507">
        <f>IF(OR(ISNA(VLOOKUP($B21,'TICH LUY'!$B$11:$BY$85,63,0)),$B21=""),"",VLOOKUP($B21,'TICH LUY'!$B$11:$BY$85,63,0))</f>
        <v>5.5</v>
      </c>
      <c r="FE21" s="507">
        <f>IF(OR(ISNA(VLOOKUP($B21,'TICH LUY'!$B$11:$BY$85,64,0)),$B21=""),"",VLOOKUP($B21,'TICH LUY'!$B$11:$BY$85,64,0))</f>
        <v>4.8</v>
      </c>
      <c r="FF21" s="507" t="str">
        <f>IF(OR(ISNA(VLOOKUP($B21,'TICH LUY'!$B$11:$BY$85,65,0)),$B21=""),"",VLOOKUP($B21,'TICH LUY'!$B$11:$BY$85,65,0))</f>
        <v/>
      </c>
      <c r="FG21" s="507">
        <f>IF(OR(ISNA(VLOOKUP($B21,'TICH LUY'!$B$11:$BY$85,66,0)),$B21=""),"",VLOOKUP($B21,'TICH LUY'!$B$11:$BY$85,66,0))</f>
        <v>8.6999999999999993</v>
      </c>
      <c r="FH21" s="507">
        <f>IF(OR(ISNA(VLOOKUP($B21,'TICH LUY'!$B$11:$BY$85,67,0)),$B21=""),"",VLOOKUP($B21,'TICH LUY'!$B$11:$BY$85,67,0))</f>
        <v>5.4</v>
      </c>
      <c r="FI21" s="507">
        <f>IF(OR(ISNA(VLOOKUP($B21,'TICH LUY'!$B$11:$BY$85,68,0)),$B21=""),"",VLOOKUP($B21,'TICH LUY'!$B$11:$BY$85,68,0))</f>
        <v>6</v>
      </c>
      <c r="FJ21" s="507">
        <f>IF(OR(ISNA(VLOOKUP($B21,'TICH LUY'!$B$11:$BY$85,69,0)),$B21=""),"",VLOOKUP($B21,'TICH LUY'!$B$11:$BY$85,69,0))</f>
        <v>6.3</v>
      </c>
      <c r="FK21" s="507">
        <f>IF(OR(ISNA(VLOOKUP($B21,'TICH LUY'!$B$11:$BY$85,70,0)),$B21=""),"",VLOOKUP($B21,'TICH LUY'!$B$11:$BY$85,70,0))</f>
        <v>4.5</v>
      </c>
      <c r="FL21" s="507">
        <f>IF(OR(ISNA(VLOOKUP($B21,'TICH LUY'!$B$11:$BY$85,71,0)),$B21=""),"",VLOOKUP($B21,'TICH LUY'!$B$11:$BY$85,71,0))</f>
        <v>6.2</v>
      </c>
      <c r="FM21" s="507" t="str">
        <f>IF(OR(ISNA(VLOOKUP($B21,'TICH LUY'!$B$11:$BY$85,72,0)),$B21=""),"",VLOOKUP($B21,'TICH LUY'!$B$11:$BY$85,72,0))</f>
        <v/>
      </c>
      <c r="FN21" s="507" t="str">
        <f>IF(OR(ISNA(VLOOKUP($B21,'TICH LUY'!$B$11:$BY$85,73,0)),$B21=""),"",VLOOKUP($B21,'TICH LUY'!$B$11:$BY$85,73,0))</f>
        <v/>
      </c>
      <c r="FO21" s="507" t="str">
        <f>IF(OR(ISNA(VLOOKUP($B21,'TICH LUY'!$B$11:$BY$85,74,0)),$B21=""),"",VLOOKUP($B21,'TICH LUY'!$B$11:$BY$85,74,0))</f>
        <v/>
      </c>
      <c r="FP21" s="507">
        <f>IF(OR(ISNA(VLOOKUP($B21,'TICH LUY'!$B$11:$BY$85,75,0)),$B21=""),"",VLOOKUP($B21,'TICH LUY'!$B$11:$BY$85,75,0))</f>
        <v>5</v>
      </c>
      <c r="FQ21" s="529" t="str">
        <f>IF(OR(ISNA(VLOOKUP($B21,'TICH LUY'!$B$11:$BY$85,76,0)),$B21=""),"",VLOOKUP($B21,'TICH LUY'!$B$11:$BY$85,76,0))</f>
        <v/>
      </c>
      <c r="FR21" s="455">
        <f t="shared" si="69"/>
        <v>4.3</v>
      </c>
      <c r="FS21" s="456">
        <f t="shared" si="70"/>
        <v>6.2</v>
      </c>
      <c r="FT21" s="456">
        <f t="shared" si="71"/>
        <v>5.0999999999999996</v>
      </c>
      <c r="FU21" s="456">
        <f t="shared" si="72"/>
        <v>4.3</v>
      </c>
      <c r="FV21" s="456">
        <f t="shared" si="73"/>
        <v>5.7</v>
      </c>
      <c r="FW21" s="456">
        <f t="shared" si="74"/>
        <v>4.9000000000000004</v>
      </c>
      <c r="FX21" s="456" t="str">
        <f t="shared" si="75"/>
        <v/>
      </c>
      <c r="FY21" s="456" t="str">
        <f t="shared" si="76"/>
        <v/>
      </c>
      <c r="FZ21" s="456" t="str">
        <f t="shared" si="77"/>
        <v/>
      </c>
      <c r="GA21" s="456">
        <f t="shared" si="78"/>
        <v>5</v>
      </c>
      <c r="GB21" s="459">
        <f t="shared" si="79"/>
        <v>6</v>
      </c>
      <c r="GC21" s="457">
        <f t="shared" si="23"/>
        <v>5.57</v>
      </c>
    </row>
    <row r="22" spans="1:185" s="221" customFormat="1" ht="15.75">
      <c r="A22" s="449">
        <f>IF(B22="","",SUBTOTAL(3,$B$11:B22))</f>
        <v>12</v>
      </c>
      <c r="B22" s="198" t="s">
        <v>2042</v>
      </c>
      <c r="C22" s="450" t="str">
        <f>IF($B22="","",VLOOKUP($B22,'DS LOP HKI'!$B$2:$F$2642,2,0))</f>
        <v>Nguyễn Ngọc</v>
      </c>
      <c r="D22" s="451" t="str">
        <f>IF($B22="","",VLOOKUP($B22,'DS LOP HKI'!$B$2:$F$2642,3,0))</f>
        <v>Hoài</v>
      </c>
      <c r="E22" s="154"/>
      <c r="F22" s="152"/>
      <c r="G22" s="156">
        <v>0</v>
      </c>
      <c r="H22" s="181">
        <f>IF(OR($H$6="",$H$7=""),"",IF($B22="","",IF(ISNA(VLOOKUP($B22,'LT01'!$B$11:$R$75,13,FALSE)),"",IF(VLOOKUP($B22,'LT01'!$B$11:$R$75,13,FALSE)="","",VLOOKUP($B22,'LT01'!$B$11:$R$75,13,FALSE)))))</f>
        <v>3.4</v>
      </c>
      <c r="I22" s="182">
        <f>IF(OR($H$6="",$H$7=""),"",IF($B22="","",IF(ISNA(VLOOKUP($B22,'LT01'!$B$11:$R$75,14,FALSE)),"",VLOOKUP($B22,'LT01'!$B$11:$R$75,14,FALSE))))</f>
        <v>5</v>
      </c>
      <c r="J22" s="183"/>
      <c r="K22" s="182" t="str">
        <f>IF(OR($H$6="",$H$7=""),"",IF($B22="","",IF(ISNA(VLOOKUP($B22,'LT01'!$B$11:$R$75,17,FALSE)),"",VLOOKUP($B22,'LT01'!$B$11:$R$75,17,FALSE))))</f>
        <v/>
      </c>
      <c r="L22" s="185">
        <f>IF(OR($H$6="",$H$7=""),"",IF($B22="","",IF(ISNA(VLOOKUP($B22,'LT02'!$B$11:$R$75,13,FALSE)),"",IF(VLOOKUP($B22,'LT02'!$B$11:$R$75,13,FALSE)="","",VLOOKUP($B22,'LT02'!$B$11:$R$75,13,FALSE)))))</f>
        <v>6</v>
      </c>
      <c r="M22" s="182">
        <f>IF(OR($H$6="",$H$7=""),"",IF($B22="","",IF(ISNA(VLOOKUP($B22,'LT02'!$B$11:$R$75,14,FALSE)),"",VLOOKUP($B22,'LT02'!$B$11:$R$75,14,FALSE))))</f>
        <v>6.4</v>
      </c>
      <c r="N22" s="183"/>
      <c r="O22" s="182" t="str">
        <f>IF(OR($H$6="",$H$7=""),"",IF($B22="","",IF(ISNA(VLOOKUP($B22,'LT02'!$B$11:$R$75,17,FALSE)),"",VLOOKUP($B22,'LT02'!$B$11:$R$75,17,FALSE))))</f>
        <v/>
      </c>
      <c r="P22" s="185">
        <f>IF(OR($H$6="",$H$7=""),"",IF($B22="","",IF(ISNA(VLOOKUP($B22,'LT03'!$B$11:$R$75,13,FALSE)),"",IF(VLOOKUP($B22,'LT03'!$B$11:$R$75,13,FALSE)="","",VLOOKUP($B22,'LT03'!$B$11:$R$75,13,FALSE)))))</f>
        <v>5.0999999999999996</v>
      </c>
      <c r="Q22" s="182">
        <f>IF(OR($H$6="",$H$7=""),"",IF($B22="","",IF(ISNA(VLOOKUP($B22,'LT03'!$B$11:$R$75,14,FALSE)),"",VLOOKUP($B22,'LT03'!$B$11:$R$75,14,FALSE))))</f>
        <v>5.5</v>
      </c>
      <c r="R22" s="183"/>
      <c r="S22" s="182" t="str">
        <f>IF(OR($H$6="",$H$7=""),"",IF($B22="","",IF(ISNA(VLOOKUP($B22,'LT03'!$B$11:$R$75,17,FALSE)),"",VLOOKUP($B22,'LT03'!$B$11:$R$75,17,FALSE))))</f>
        <v/>
      </c>
      <c r="T22" s="185">
        <f>IF(OR($H$6="",$H$7=""),"",IF($B22="","",IF(ISNA(VLOOKUP($B22,'LT04'!$B$11:$R$75,13,FALSE)),"",IF(VLOOKUP($B22,'LT04'!$B$11:$R$75,13,FALSE)="","",VLOOKUP($B22,'LT04'!$B$11:$R$75,13,FALSE)))))</f>
        <v>5.3</v>
      </c>
      <c r="U22" s="182">
        <f>IF(OR($H$6="",$H$7=""),"",IF($B22="","",IF(ISNA(VLOOKUP($B22,'LT04'!$B$11:$R$75,14,FALSE)),"",VLOOKUP($B22,'LT04'!$B$11:$R$75,14,FALSE))))</f>
        <v>5.4</v>
      </c>
      <c r="V22" s="183"/>
      <c r="W22" s="184" t="str">
        <f>IF(OR($H$6="",$H$7=""),"",IF($B22="","",IF(ISNA(VLOOKUP($B22,'LT04'!$B$11:$R$75,17,FALSE)),"",VLOOKUP($B22,'LT04'!$B$11:$R$75,17,FALSE))))</f>
        <v/>
      </c>
      <c r="X22" s="185">
        <f>IF(OR($H$6="",$H$7=""),"",IF($B22="","",IF(ISNA(VLOOKUP($B22,'LT05'!$B$11:$R$75,13,FALSE)),"",IF(VLOOKUP($B22,'LT05'!$B$11:$R$75,13,FALSE)="","",VLOOKUP($B22,'LT05'!$B$11:$R$75,13,FALSE)))))</f>
        <v>7.5</v>
      </c>
      <c r="Y22" s="182">
        <f>IF(OR($H$6="",$H$7=""),"",IF($B22="","",IF(ISNA(VLOOKUP($B22,'LT05'!$B$11:$R$75,14,FALSE)),"",VLOOKUP($B22,'LT05'!$B$11:$R$75,14,FALSE))))</f>
        <v>6.3</v>
      </c>
      <c r="Z22" s="183"/>
      <c r="AA22" s="182" t="str">
        <f>IF(OR($H$6="",$H$7=""),"",IF($B22="","",IF(ISNA(VLOOKUP($B22,'LT05'!$B$11:$R$75,17,FALSE)),"",VLOOKUP($B22,'LT05'!$B$11:$R$75,17,FALSE))))</f>
        <v/>
      </c>
      <c r="AB22" s="185">
        <f>IF(OR($H$6="",$H$7=""),"",IF($B22="","",IF(ISNA(VLOOKUP($B22,'LT06'!$B$11:$R$75,13,FALSE)),"",IF(VLOOKUP($B22,'LT06'!$B$11:$R$75,13,FALSE)="","",VLOOKUP($B22,'LT06'!$B$11:$R$75,13,FALSE)))))</f>
        <v>3.5</v>
      </c>
      <c r="AC22" s="182">
        <f>IF(OR($H$6="",$H$7=""),"",IF($B22="","",IF(ISNA(VLOOKUP($B22,'LT06'!$B$11:$R$75,14,FALSE)),"",VLOOKUP($B22,'LT06'!$B$11:$R$75,14,FALSE))))</f>
        <v>4.7</v>
      </c>
      <c r="AD22" s="183"/>
      <c r="AE22" s="182" t="str">
        <f>IF(OR($H$6="",$H$7=""),"",IF($B22="","",IF(ISNA(VLOOKUP($B22,'LT06'!$B$11:$R$75,17,FALSE)),"",VLOOKUP($B22,'LT06'!$B$11:$R$75,17,FALSE))))</f>
        <v/>
      </c>
      <c r="AF22" s="185" t="str">
        <f>IF(OR($H$6="",$H$7=""),"",IF($B22="","",IF(ISNA(VLOOKUP($B22,'LT07'!$B$11:$R$75,13,FALSE)),"",IF(VLOOKUP($B22,'LT07'!$B$11:$R$75,13,FALSE)="","",VLOOKUP($B22,'LT07'!$B$11:$R$75,13,FALSE)))))</f>
        <v/>
      </c>
      <c r="AG22" s="182" t="str">
        <f>IF(OR($H$6="",$H$7=""),"",IF($B22="","",IF(ISNA(VLOOKUP($B22,'LT07'!$B$11:$R$75,14,FALSE)),"",VLOOKUP($B22,'LT07'!$B$11:$R$75,14,FALSE))))</f>
        <v/>
      </c>
      <c r="AH22" s="183"/>
      <c r="AI22" s="182" t="str">
        <f>IF(OR($H$6="",$H$7=""),"",IF($B22="","",IF(ISNA(VLOOKUP($B22,'LT07'!$B$11:$R$75,17,FALSE)),"",VLOOKUP($B22,'LT07'!$B$11:$R$75,17,FALSE))))</f>
        <v/>
      </c>
      <c r="AJ22" s="185" t="str">
        <f>IF(OR($H$6="",$H$7=""),"",IF($B22="","",IF(ISNA(VLOOKUP($B22,'LT08'!$B$11:$R$75,13,FALSE)),"",IF(VLOOKUP($B22,'LT08'!$B$11:$R$75,13,FALSE)="","",VLOOKUP($B22,'LT08'!$B$11:$R$75,13,FALSE)))))</f>
        <v/>
      </c>
      <c r="AK22" s="182" t="str">
        <f>IF(OR($H$6="",$H$7=""),"",IF($B22="","",IF(ISNA(VLOOKUP($B22,'LT08'!$B$11:$R$75,14,FALSE)),"",VLOOKUP($B22,'LT08'!$B$11:$R$75,14,FALSE))))</f>
        <v/>
      </c>
      <c r="AL22" s="183"/>
      <c r="AM22" s="182" t="str">
        <f>IF(OR($H$6="",$H$7=""),"",IF($B22="","",IF(ISNA(VLOOKUP($B22,'LT08'!$B$11:$R$75,17,FALSE)),"",VLOOKUP($B22,'LT08'!$B$11:$R$75,17,FALSE))))</f>
        <v/>
      </c>
      <c r="AN22" s="185" t="str">
        <f>IF(OR($H$6="",$H$7=""),"",IF($B22="","",IF(ISNA(VLOOKUP($B22,'LT09'!$B$11:$R$75,13,FALSE)),"",IF(VLOOKUP($B22,'LT09'!$B$11:$R$75,13,FALSE)="","",VLOOKUP($B22,'LT09'!$B$11:$R$75,13,FALSE)))))</f>
        <v/>
      </c>
      <c r="AO22" s="182" t="str">
        <f>IF(OR($H$6="",$H$7=""),"",IF($B22="","",IF(ISNA(VLOOKUP($B22,'LT09'!$B$11:$R$75,14,FALSE)),"",VLOOKUP($B22,'LT09'!$B$11:$R$75,14,FALSE))))</f>
        <v/>
      </c>
      <c r="AP22" s="183"/>
      <c r="AQ22" s="182" t="str">
        <f>IF(OR($H$6="",$H$7=""),"",IF($B22="","",IF(ISNA(VLOOKUP($B22,'LT09'!$B$11:$R$75,17,FALSE)),"",VLOOKUP($B22,'LT09'!$B$11:$R$75,17,FALSE))))</f>
        <v/>
      </c>
      <c r="AR22" s="186"/>
      <c r="AS22" s="182">
        <f>IF(OR($H$6="",$H$7=""),"",IF($B22="","",IF(ISNA(VLOOKUP($B22,'TH01'!$B$11:$R$75,14,FALSE)),"",VLOOKUP($B22,'TH01'!$B$11:$R$75,14,FALSE))))</f>
        <v>7</v>
      </c>
      <c r="AT22" s="183"/>
      <c r="AU22" s="187"/>
      <c r="AV22" s="186"/>
      <c r="AW22" s="182">
        <f>IF(OR($H$6="",$H$7=""),"",IF($B22="","",IF(ISNA(VLOOKUP($B22,'TH02'!$B$11:$R$75,14,FALSE)),"",VLOOKUP($B22,'TH02'!$B$11:$R$75,14,FALSE))))</f>
        <v>8.3000000000000007</v>
      </c>
      <c r="AX22" s="183"/>
      <c r="AY22" s="187"/>
      <c r="AZ22" s="54">
        <f t="shared" si="24"/>
        <v>6.06</v>
      </c>
      <c r="BA22" s="54" t="str">
        <f t="shared" si="0"/>
        <v/>
      </c>
      <c r="BB22" s="70">
        <v>63</v>
      </c>
      <c r="BC22" s="52" t="str">
        <f t="shared" si="25"/>
        <v>TB</v>
      </c>
      <c r="BD22" s="52" t="str">
        <f t="shared" si="26"/>
        <v/>
      </c>
      <c r="BE22" s="52" t="str">
        <f t="shared" si="1"/>
        <v/>
      </c>
      <c r="BF22" s="149" t="str">
        <f t="shared" si="2"/>
        <v/>
      </c>
      <c r="BG22" s="52">
        <f t="shared" si="3"/>
        <v>18</v>
      </c>
      <c r="BH22" s="52">
        <f t="shared" si="27"/>
        <v>0</v>
      </c>
      <c r="BI22" s="52">
        <f t="shared" si="4"/>
        <v>18</v>
      </c>
      <c r="BJ22" s="52">
        <f t="shared" si="5"/>
        <v>0</v>
      </c>
      <c r="BK22" s="54">
        <f t="shared" si="6"/>
        <v>6.41</v>
      </c>
      <c r="BL22" s="54" t="str">
        <f t="shared" si="7"/>
        <v>BT</v>
      </c>
      <c r="BM22" s="54">
        <f t="shared" si="8"/>
        <v>6.41</v>
      </c>
      <c r="BN22" s="54" t="str">
        <f t="shared" si="9"/>
        <v>BT</v>
      </c>
      <c r="BO22" s="70"/>
      <c r="BP22" s="52">
        <f>IF(ISNA(VLOOKUP(B22,'TICH LUY'!B:D,2,0)),"",VLOOKUP(B22,'TICH LUY'!B:D,2,0)+BI22)</f>
        <v>57</v>
      </c>
      <c r="BQ22" s="52">
        <f>IF(ISNA(VLOOKUP(B22,'TICH LUY'!B:D,3,0)),"",VLOOKUP(B22,'TICH LUY'!B:D,3,0)+BJ22)</f>
        <v>0</v>
      </c>
      <c r="BR22" s="40">
        <f t="shared" si="10"/>
        <v>2</v>
      </c>
      <c r="BS22" s="452">
        <f t="shared" si="11"/>
        <v>3.4</v>
      </c>
      <c r="BT22" s="452">
        <f t="shared" si="12"/>
        <v>6</v>
      </c>
      <c r="BU22" s="452">
        <f t="shared" si="13"/>
        <v>5.0999999999999996</v>
      </c>
      <c r="BV22" s="452">
        <f t="shared" si="14"/>
        <v>5.3</v>
      </c>
      <c r="BW22" s="452">
        <f t="shared" si="15"/>
        <v>7.5</v>
      </c>
      <c r="BX22" s="452">
        <f t="shared" si="16"/>
        <v>3.5</v>
      </c>
      <c r="BY22" s="452" t="str">
        <f t="shared" si="17"/>
        <v/>
      </c>
      <c r="BZ22" s="452" t="str">
        <f t="shared" si="28"/>
        <v/>
      </c>
      <c r="CA22" s="452" t="str">
        <f t="shared" si="29"/>
        <v/>
      </c>
      <c r="CB22" s="452">
        <f t="shared" si="30"/>
        <v>7</v>
      </c>
      <c r="CC22" s="452">
        <f t="shared" si="18"/>
        <v>8.3000000000000007</v>
      </c>
      <c r="CD22" s="40">
        <f t="shared" si="31"/>
        <v>0</v>
      </c>
      <c r="CE22" s="453">
        <f t="shared" si="80"/>
        <v>5</v>
      </c>
      <c r="CF22" s="452">
        <f t="shared" si="32"/>
        <v>6.4</v>
      </c>
      <c r="CG22" s="452">
        <f t="shared" si="81"/>
        <v>5.5</v>
      </c>
      <c r="CH22" s="452">
        <f t="shared" si="82"/>
        <v>5.4</v>
      </c>
      <c r="CI22" s="452">
        <f t="shared" si="83"/>
        <v>6.3</v>
      </c>
      <c r="CJ22" s="452">
        <f t="shared" si="84"/>
        <v>4.7</v>
      </c>
      <c r="CK22" s="452" t="str">
        <f t="shared" si="85"/>
        <v/>
      </c>
      <c r="CL22" s="452" t="str">
        <f t="shared" si="33"/>
        <v/>
      </c>
      <c r="CM22" s="452" t="str">
        <f t="shared" si="34"/>
        <v/>
      </c>
      <c r="CN22" s="452">
        <f t="shared" si="35"/>
        <v>7</v>
      </c>
      <c r="CO22" s="452">
        <f t="shared" si="19"/>
        <v>8.3000000000000007</v>
      </c>
      <c r="CP22" s="454">
        <f t="shared" si="36"/>
        <v>6.06</v>
      </c>
      <c r="CQ22" s="527">
        <f>IF(OR(ISNA(VLOOKUP($B22,'TICH LUY'!$B$11:$BY$85,54,0)),$B22=""),"",VLOOKUP($B22,'TICH LUY'!$B$11:$BY$85,54,0))</f>
        <v>6.3</v>
      </c>
      <c r="CR22" s="507">
        <f>IF(OR(ISNA(VLOOKUP($B22,'TICH LUY'!$B$11:$BY$85,55,0)),$B22=""),"",VLOOKUP($B22,'TICH LUY'!$B$11:$BY$85,55,0))</f>
        <v>6.2</v>
      </c>
      <c r="CS22" s="507">
        <f>IF(OR(ISNA(VLOOKUP($B22,'TICH LUY'!$B$11:$BY$85,56,0)),$B22=""),"",VLOOKUP($B22,'TICH LUY'!$B$11:$BY$85,56,0))</f>
        <v>5.7</v>
      </c>
      <c r="CT22" s="507">
        <f>IF(OR(ISNA(VLOOKUP($B22,'TICH LUY'!$B$11:$BY$85,57,0)),$B22=""),"",VLOOKUP($B22,'TICH LUY'!$B$11:$BY$85,57,0))</f>
        <v>6</v>
      </c>
      <c r="CU22" s="507">
        <f>IF(OR(ISNA(VLOOKUP($B22,'TICH LUY'!$B$11:$BY$85,58,0)),$B22=""),"",VLOOKUP($B22,'TICH LUY'!$B$11:$BY$85,58,0))</f>
        <v>5.9</v>
      </c>
      <c r="CV22" s="507">
        <f>IF(OR(ISNA(VLOOKUP($B22,'TICH LUY'!$B$11:$BY$85,59,0)),$B22=""),"",VLOOKUP($B22,'TICH LUY'!$B$11:$BY$85,59,0))</f>
        <v>6.7</v>
      </c>
      <c r="CW22" s="507">
        <f>IF(OR(ISNA(VLOOKUP($B22,'TICH LUY'!$B$11:$BY$85,60,0)),$B22=""),"",VLOOKUP($B22,'TICH LUY'!$B$11:$BY$85,60,0))</f>
        <v>6.8</v>
      </c>
      <c r="CX22" s="507" t="str">
        <f>IF(OR(ISNA(VLOOKUP($B22,'TICH LUY'!$B$11:$BY$85,61,0)),$B22=""),"",VLOOKUP($B22,'TICH LUY'!$B$11:$BY$85,61,0))</f>
        <v/>
      </c>
      <c r="CY22" s="507" t="str">
        <f>IF(OR(ISNA(VLOOKUP($B22,'TICH LUY'!$B$11:$BY$85,62,0)),$B22=""),"",VLOOKUP($B22,'TICH LUY'!$B$11:$BY$85,62,0))</f>
        <v/>
      </c>
      <c r="CZ22" s="507">
        <f>IF(OR(ISNA(VLOOKUP($B22,'TICH LUY'!$B$11:$BY$85,63,0)),$B22=""),"",VLOOKUP($B22,'TICH LUY'!$B$11:$BY$85,63,0))</f>
        <v>6.9</v>
      </c>
      <c r="DA22" s="507">
        <f>IF(OR(ISNA(VLOOKUP($B22,'TICH LUY'!$B$11:$BY$85,64,0)),$B22=""),"",VLOOKUP($B22,'TICH LUY'!$B$11:$BY$85,64,0))</f>
        <v>5.2</v>
      </c>
      <c r="DB22" s="507">
        <f>IF(OR(ISNA(VLOOKUP($B22,'TICH LUY'!$B$11:$BY$85,65,0)),$B22=""),"",VLOOKUP($B22,'TICH LUY'!$B$11:$BY$85,65,0))</f>
        <v>7.9</v>
      </c>
      <c r="DC22" s="507" t="str">
        <f>IF(OR(ISNA(VLOOKUP($B22,'TICH LUY'!$B$11:$BY$85,66,0)),$B22=""),"",VLOOKUP($B22,'TICH LUY'!$B$11:$BY$85,66,0))</f>
        <v/>
      </c>
      <c r="DD22" s="507">
        <f>IF(OR(ISNA(VLOOKUP($B22,'TICH LUY'!$B$11:$BY$85,67,0)),$B22=""),"",VLOOKUP($B22,'TICH LUY'!$B$11:$BY$85,67,0))</f>
        <v>6.4</v>
      </c>
      <c r="DE22" s="507">
        <f>IF(OR(ISNA(VLOOKUP($B22,'TICH LUY'!$B$11:$BY$85,68,0)),$B22=""),"",VLOOKUP($B22,'TICH LUY'!$B$11:$BY$85,68,0))</f>
        <v>7.2</v>
      </c>
      <c r="DF22" s="507">
        <f>IF(OR(ISNA(VLOOKUP($B22,'TICH LUY'!$B$11:$BY$85,69,0)),$B22=""),"",VLOOKUP($B22,'TICH LUY'!$B$11:$BY$85,69,0))</f>
        <v>6.5</v>
      </c>
      <c r="DG22" s="507">
        <f>IF(OR(ISNA(VLOOKUP($B22,'TICH LUY'!$B$11:$BY$85,70,0)),$B22=""),"",VLOOKUP($B22,'TICH LUY'!$B$11:$BY$85,70,0))</f>
        <v>7.2</v>
      </c>
      <c r="DH22" s="507">
        <f>IF(OR(ISNA(VLOOKUP($B22,'TICH LUY'!$B$11:$BY$85,71,0)),$B22=""),"",VLOOKUP($B22,'TICH LUY'!$B$11:$BY$85,71,0))</f>
        <v>6.9</v>
      </c>
      <c r="DI22" s="507" t="str">
        <f>IF(OR(ISNA(VLOOKUP($B22,'TICH LUY'!$B$11:$BY$85,72,0)),$B22=""),"",VLOOKUP($B22,'TICH LUY'!$B$11:$BY$85,72,0))</f>
        <v/>
      </c>
      <c r="DJ22" s="507" t="str">
        <f>IF(OR(ISNA(VLOOKUP($B22,'TICH LUY'!$B$11:$BY$85,73,0)),$B22=""),"",VLOOKUP($B22,'TICH LUY'!$B$11:$BY$85,73,0))</f>
        <v/>
      </c>
      <c r="DK22" s="507" t="str">
        <f>IF(OR(ISNA(VLOOKUP($B22,'TICH LUY'!$B$11:$BY$85,74,0)),$B22=""),"",VLOOKUP($B22,'TICH LUY'!$B$11:$BY$85,74,0))</f>
        <v/>
      </c>
      <c r="DL22" s="507">
        <f>IF(OR(ISNA(VLOOKUP($B22,'TICH LUY'!$B$11:$BY$85,75,0)),$B22=""),"",VLOOKUP($B22,'TICH LUY'!$B$11:$BY$85,75,0))</f>
        <v>8.6</v>
      </c>
      <c r="DM22" s="529" t="str">
        <f>IF(OR(ISNA(VLOOKUP($B22,'TICH LUY'!$B$11:$BY$85,76,0)),$B22=""),"",VLOOKUP($B22,'TICH LUY'!$B$11:$BY$85,76,0))</f>
        <v/>
      </c>
      <c r="DN22" s="455">
        <f t="shared" si="37"/>
        <v>5</v>
      </c>
      <c r="DO22" s="456">
        <f t="shared" si="38"/>
        <v>6.4</v>
      </c>
      <c r="DP22" s="456">
        <f t="shared" si="39"/>
        <v>5.5</v>
      </c>
      <c r="DQ22" s="456">
        <f t="shared" si="40"/>
        <v>5.4</v>
      </c>
      <c r="DR22" s="456">
        <f t="shared" si="41"/>
        <v>6.3</v>
      </c>
      <c r="DS22" s="456">
        <f t="shared" si="42"/>
        <v>4.7</v>
      </c>
      <c r="DT22" s="456" t="str">
        <f t="shared" si="43"/>
        <v/>
      </c>
      <c r="DU22" s="456" t="str">
        <f t="shared" si="44"/>
        <v/>
      </c>
      <c r="DV22" s="456" t="str">
        <f t="shared" si="45"/>
        <v/>
      </c>
      <c r="DW22" s="456">
        <f t="shared" si="46"/>
        <v>7</v>
      </c>
      <c r="DX22" s="456">
        <f t="shared" si="47"/>
        <v>8.3000000000000007</v>
      </c>
      <c r="DY22" s="457">
        <f t="shared" si="48"/>
        <v>6.41</v>
      </c>
      <c r="DZ22" s="453" t="str">
        <f t="shared" si="49"/>
        <v/>
      </c>
      <c r="EA22" s="452" t="str">
        <f t="shared" si="50"/>
        <v/>
      </c>
      <c r="EB22" s="452" t="str">
        <f t="shared" si="51"/>
        <v/>
      </c>
      <c r="EC22" s="452" t="str">
        <f t="shared" si="52"/>
        <v/>
      </c>
      <c r="ED22" s="452" t="str">
        <f t="shared" si="53"/>
        <v/>
      </c>
      <c r="EE22" s="452" t="str">
        <f t="shared" si="54"/>
        <v/>
      </c>
      <c r="EF22" s="452" t="str">
        <f t="shared" si="55"/>
        <v/>
      </c>
      <c r="EG22" s="452" t="str">
        <f t="shared" si="56"/>
        <v/>
      </c>
      <c r="EH22" s="452" t="str">
        <f t="shared" si="57"/>
        <v/>
      </c>
      <c r="EI22" s="453">
        <f t="shared" si="58"/>
        <v>5</v>
      </c>
      <c r="EJ22" s="452">
        <f t="shared" si="59"/>
        <v>6.4</v>
      </c>
      <c r="EK22" s="452">
        <f t="shared" si="60"/>
        <v>5.5</v>
      </c>
      <c r="EL22" s="452">
        <f t="shared" si="61"/>
        <v>5.4</v>
      </c>
      <c r="EM22" s="452">
        <f t="shared" si="62"/>
        <v>6.3</v>
      </c>
      <c r="EN22" s="452">
        <f t="shared" si="63"/>
        <v>4.7</v>
      </c>
      <c r="EO22" s="452" t="str">
        <f t="shared" si="64"/>
        <v/>
      </c>
      <c r="EP22" s="452" t="str">
        <f t="shared" si="65"/>
        <v/>
      </c>
      <c r="EQ22" s="452" t="str">
        <f t="shared" si="66"/>
        <v/>
      </c>
      <c r="ER22" s="452">
        <f t="shared" si="67"/>
        <v>7</v>
      </c>
      <c r="ES22" s="452">
        <f t="shared" si="21"/>
        <v>8.3000000000000007</v>
      </c>
      <c r="ET22" s="458" t="str">
        <f t="shared" si="68"/>
        <v/>
      </c>
      <c r="EU22" s="527">
        <f>IF(OR(ISNA(VLOOKUP($B22,'TICH LUY'!$B$11:$BY$85,54,0)),$B22=""),"",VLOOKUP($B22,'TICH LUY'!$B$11:$BY$85,54,0))</f>
        <v>6.3</v>
      </c>
      <c r="EV22" s="507">
        <f>IF(OR(ISNA(VLOOKUP($B22,'TICH LUY'!$B$11:$BY$85,55,0)),$B22=""),"",VLOOKUP($B22,'TICH LUY'!$B$11:$BY$85,55,0))</f>
        <v>6.2</v>
      </c>
      <c r="EW22" s="507">
        <f>IF(OR(ISNA(VLOOKUP($B22,'TICH LUY'!$B$11:$BY$85,56,0)),$B22=""),"",VLOOKUP($B22,'TICH LUY'!$B$11:$BY$85,56,0))</f>
        <v>5.7</v>
      </c>
      <c r="EX22" s="507">
        <f>IF(OR(ISNA(VLOOKUP($B22,'TICH LUY'!$B$11:$BY$85,57,0)),$B22=""),"",VLOOKUP($B22,'TICH LUY'!$B$11:$BY$85,57,0))</f>
        <v>6</v>
      </c>
      <c r="EY22" s="507">
        <f>IF(OR(ISNA(VLOOKUP($B22,'TICH LUY'!$B$11:$BY$85,58,0)),$B22=""),"",VLOOKUP($B22,'TICH LUY'!$B$11:$BY$85,58,0))</f>
        <v>5.9</v>
      </c>
      <c r="EZ22" s="507">
        <f>IF(OR(ISNA(VLOOKUP($B22,'TICH LUY'!$B$11:$BY$85,59,0)),$B22=""),"",VLOOKUP($B22,'TICH LUY'!$B$11:$BY$85,59,0))</f>
        <v>6.7</v>
      </c>
      <c r="FA22" s="507">
        <f>IF(OR(ISNA(VLOOKUP($B22,'TICH LUY'!$B$11:$BY$85,60,0)),$B22=""),"",VLOOKUP($B22,'TICH LUY'!$B$11:$BY$85,60,0))</f>
        <v>6.8</v>
      </c>
      <c r="FB22" s="507" t="str">
        <f>IF(OR(ISNA(VLOOKUP($B22,'TICH LUY'!$B$11:$BY$85,61,0)),$B22=""),"",VLOOKUP($B22,'TICH LUY'!$B$11:$BY$85,61,0))</f>
        <v/>
      </c>
      <c r="FC22" s="507" t="str">
        <f>IF(OR(ISNA(VLOOKUP($B22,'TICH LUY'!$B$11:$BY$85,62,0)),$B22=""),"",VLOOKUP($B22,'TICH LUY'!$B$11:$BY$85,62,0))</f>
        <v/>
      </c>
      <c r="FD22" s="507">
        <f>IF(OR(ISNA(VLOOKUP($B22,'TICH LUY'!$B$11:$BY$85,63,0)),$B22=""),"",VLOOKUP($B22,'TICH LUY'!$B$11:$BY$85,63,0))</f>
        <v>6.9</v>
      </c>
      <c r="FE22" s="507">
        <f>IF(OR(ISNA(VLOOKUP($B22,'TICH LUY'!$B$11:$BY$85,64,0)),$B22=""),"",VLOOKUP($B22,'TICH LUY'!$B$11:$BY$85,64,0))</f>
        <v>5.2</v>
      </c>
      <c r="FF22" s="507">
        <f>IF(OR(ISNA(VLOOKUP($B22,'TICH LUY'!$B$11:$BY$85,65,0)),$B22=""),"",VLOOKUP($B22,'TICH LUY'!$B$11:$BY$85,65,0))</f>
        <v>7.9</v>
      </c>
      <c r="FG22" s="507" t="str">
        <f>IF(OR(ISNA(VLOOKUP($B22,'TICH LUY'!$B$11:$BY$85,66,0)),$B22=""),"",VLOOKUP($B22,'TICH LUY'!$B$11:$BY$85,66,0))</f>
        <v/>
      </c>
      <c r="FH22" s="507">
        <f>IF(OR(ISNA(VLOOKUP($B22,'TICH LUY'!$B$11:$BY$85,67,0)),$B22=""),"",VLOOKUP($B22,'TICH LUY'!$B$11:$BY$85,67,0))</f>
        <v>6.4</v>
      </c>
      <c r="FI22" s="507">
        <f>IF(OR(ISNA(VLOOKUP($B22,'TICH LUY'!$B$11:$BY$85,68,0)),$B22=""),"",VLOOKUP($B22,'TICH LUY'!$B$11:$BY$85,68,0))</f>
        <v>7.2</v>
      </c>
      <c r="FJ22" s="507">
        <f>IF(OR(ISNA(VLOOKUP($B22,'TICH LUY'!$B$11:$BY$85,69,0)),$B22=""),"",VLOOKUP($B22,'TICH LUY'!$B$11:$BY$85,69,0))</f>
        <v>6.5</v>
      </c>
      <c r="FK22" s="507">
        <f>IF(OR(ISNA(VLOOKUP($B22,'TICH LUY'!$B$11:$BY$85,70,0)),$B22=""),"",VLOOKUP($B22,'TICH LUY'!$B$11:$BY$85,70,0))</f>
        <v>7.2</v>
      </c>
      <c r="FL22" s="507">
        <f>IF(OR(ISNA(VLOOKUP($B22,'TICH LUY'!$B$11:$BY$85,71,0)),$B22=""),"",VLOOKUP($B22,'TICH LUY'!$B$11:$BY$85,71,0))</f>
        <v>6.9</v>
      </c>
      <c r="FM22" s="507" t="str">
        <f>IF(OR(ISNA(VLOOKUP($B22,'TICH LUY'!$B$11:$BY$85,72,0)),$B22=""),"",VLOOKUP($B22,'TICH LUY'!$B$11:$BY$85,72,0))</f>
        <v/>
      </c>
      <c r="FN22" s="507" t="str">
        <f>IF(OR(ISNA(VLOOKUP($B22,'TICH LUY'!$B$11:$BY$85,73,0)),$B22=""),"",VLOOKUP($B22,'TICH LUY'!$B$11:$BY$85,73,0))</f>
        <v/>
      </c>
      <c r="FO22" s="507" t="str">
        <f>IF(OR(ISNA(VLOOKUP($B22,'TICH LUY'!$B$11:$BY$85,74,0)),$B22=""),"",VLOOKUP($B22,'TICH LUY'!$B$11:$BY$85,74,0))</f>
        <v/>
      </c>
      <c r="FP22" s="507">
        <f>IF(OR(ISNA(VLOOKUP($B22,'TICH LUY'!$B$11:$BY$85,75,0)),$B22=""),"",VLOOKUP($B22,'TICH LUY'!$B$11:$BY$85,75,0))</f>
        <v>8.6</v>
      </c>
      <c r="FQ22" s="529" t="str">
        <f>IF(OR(ISNA(VLOOKUP($B22,'TICH LUY'!$B$11:$BY$85,76,0)),$B22=""),"",VLOOKUP($B22,'TICH LUY'!$B$11:$BY$85,76,0))</f>
        <v/>
      </c>
      <c r="FR22" s="455">
        <f t="shared" si="69"/>
        <v>5</v>
      </c>
      <c r="FS22" s="456">
        <f t="shared" si="70"/>
        <v>6.4</v>
      </c>
      <c r="FT22" s="456">
        <f t="shared" si="71"/>
        <v>5.5</v>
      </c>
      <c r="FU22" s="456">
        <f t="shared" si="72"/>
        <v>5.4</v>
      </c>
      <c r="FV22" s="456">
        <f t="shared" si="73"/>
        <v>6.3</v>
      </c>
      <c r="FW22" s="456">
        <f t="shared" si="74"/>
        <v>4.7</v>
      </c>
      <c r="FX22" s="456" t="str">
        <f t="shared" si="75"/>
        <v/>
      </c>
      <c r="FY22" s="456" t="str">
        <f t="shared" si="76"/>
        <v/>
      </c>
      <c r="FZ22" s="456" t="str">
        <f t="shared" si="77"/>
        <v/>
      </c>
      <c r="GA22" s="456">
        <f t="shared" si="78"/>
        <v>7</v>
      </c>
      <c r="GB22" s="459">
        <f t="shared" si="79"/>
        <v>8.3000000000000007</v>
      </c>
      <c r="GC22" s="457">
        <f t="shared" si="23"/>
        <v>6.41</v>
      </c>
    </row>
    <row r="23" spans="1:185" s="221" customFormat="1" ht="15.75">
      <c r="A23" s="449">
        <f>IF(B23="","",SUBTOTAL(3,$B$11:B23))</f>
        <v>13</v>
      </c>
      <c r="B23" s="198" t="s">
        <v>2043</v>
      </c>
      <c r="C23" s="450" t="str">
        <f>IF($B23="","",VLOOKUP($B23,'DS LOP HKI'!$B$2:$F$2642,2,0))</f>
        <v>Trịnh Thanh</v>
      </c>
      <c r="D23" s="451" t="str">
        <f>IF($B23="","",VLOOKUP($B23,'DS LOP HKI'!$B$2:$F$2642,3,0))</f>
        <v>Hoàng</v>
      </c>
      <c r="E23" s="154"/>
      <c r="F23" s="152"/>
      <c r="G23" s="156">
        <v>0</v>
      </c>
      <c r="H23" s="181">
        <f>IF(OR($H$6="",$H$7=""),"",IF($B23="","",IF(ISNA(VLOOKUP($B23,'LT01'!$B$11:$R$75,13,FALSE)),"",IF(VLOOKUP($B23,'LT01'!$B$11:$R$75,13,FALSE)="","",VLOOKUP($B23,'LT01'!$B$11:$R$75,13,FALSE)))))</f>
        <v>2.9</v>
      </c>
      <c r="I23" s="182">
        <f>IF(OR($H$6="",$H$7=""),"",IF($B23="","",IF(ISNA(VLOOKUP($B23,'LT01'!$B$11:$R$75,14,FALSE)),"",VLOOKUP($B23,'LT01'!$B$11:$R$75,14,FALSE))))</f>
        <v>4.5</v>
      </c>
      <c r="J23" s="183"/>
      <c r="K23" s="182" t="str">
        <f>IF(OR($H$6="",$H$7=""),"",IF($B23="","",IF(ISNA(VLOOKUP($B23,'LT01'!$B$11:$R$75,17,FALSE)),"",VLOOKUP($B23,'LT01'!$B$11:$R$75,17,FALSE))))</f>
        <v/>
      </c>
      <c r="L23" s="185">
        <f>IF(OR($H$6="",$H$7=""),"",IF($B23="","",IF(ISNA(VLOOKUP($B23,'LT02'!$B$11:$R$75,13,FALSE)),"",IF(VLOOKUP($B23,'LT02'!$B$11:$R$75,13,FALSE)="","",VLOOKUP($B23,'LT02'!$B$11:$R$75,13,FALSE)))))</f>
        <v>7.3</v>
      </c>
      <c r="M23" s="182">
        <f>IF(OR($H$6="",$H$7=""),"",IF($B23="","",IF(ISNA(VLOOKUP($B23,'LT02'!$B$11:$R$75,14,FALSE)),"",VLOOKUP($B23,'LT02'!$B$11:$R$75,14,FALSE))))</f>
        <v>6.9</v>
      </c>
      <c r="N23" s="183"/>
      <c r="O23" s="182" t="str">
        <f>IF(OR($H$6="",$H$7=""),"",IF($B23="","",IF(ISNA(VLOOKUP($B23,'LT02'!$B$11:$R$75,17,FALSE)),"",VLOOKUP($B23,'LT02'!$B$11:$R$75,17,FALSE))))</f>
        <v/>
      </c>
      <c r="P23" s="185">
        <f>IF(OR($H$6="",$H$7=""),"",IF($B23="","",IF(ISNA(VLOOKUP($B23,'LT03'!$B$11:$R$75,13,FALSE)),"",IF(VLOOKUP($B23,'LT03'!$B$11:$R$75,13,FALSE)="","",VLOOKUP($B23,'LT03'!$B$11:$R$75,13,FALSE)))))</f>
        <v>5.6</v>
      </c>
      <c r="Q23" s="182">
        <f>IF(OR($H$6="",$H$7=""),"",IF($B23="","",IF(ISNA(VLOOKUP($B23,'LT03'!$B$11:$R$75,14,FALSE)),"",VLOOKUP($B23,'LT03'!$B$11:$R$75,14,FALSE))))</f>
        <v>6.4</v>
      </c>
      <c r="R23" s="183"/>
      <c r="S23" s="182" t="str">
        <f>IF(OR($H$6="",$H$7=""),"",IF($B23="","",IF(ISNA(VLOOKUP($B23,'LT03'!$B$11:$R$75,17,FALSE)),"",VLOOKUP($B23,'LT03'!$B$11:$R$75,17,FALSE))))</f>
        <v/>
      </c>
      <c r="T23" s="185">
        <f>IF(OR($H$6="",$H$7=""),"",IF($B23="","",IF(ISNA(VLOOKUP($B23,'LT04'!$B$11:$R$75,13,FALSE)),"",IF(VLOOKUP($B23,'LT04'!$B$11:$R$75,13,FALSE)="","",VLOOKUP($B23,'LT04'!$B$11:$R$75,13,FALSE)))))</f>
        <v>6.3</v>
      </c>
      <c r="U23" s="182">
        <f>IF(OR($H$6="",$H$7=""),"",IF($B23="","",IF(ISNA(VLOOKUP($B23,'LT04'!$B$11:$R$75,14,FALSE)),"",VLOOKUP($B23,'LT04'!$B$11:$R$75,14,FALSE))))</f>
        <v>6</v>
      </c>
      <c r="V23" s="183"/>
      <c r="W23" s="184" t="str">
        <f>IF(OR($H$6="",$H$7=""),"",IF($B23="","",IF(ISNA(VLOOKUP($B23,'LT04'!$B$11:$R$75,17,FALSE)),"",VLOOKUP($B23,'LT04'!$B$11:$R$75,17,FALSE))))</f>
        <v/>
      </c>
      <c r="X23" s="185">
        <f>IF(OR($H$6="",$H$7=""),"",IF($B23="","",IF(ISNA(VLOOKUP($B23,'LT05'!$B$11:$R$75,13,FALSE)),"",IF(VLOOKUP($B23,'LT05'!$B$11:$R$75,13,FALSE)="","",VLOOKUP($B23,'LT05'!$B$11:$R$75,13,FALSE)))))</f>
        <v>7.5</v>
      </c>
      <c r="Y23" s="182">
        <f>IF(OR($H$6="",$H$7=""),"",IF($B23="","",IF(ISNA(VLOOKUP($B23,'LT05'!$B$11:$R$75,14,FALSE)),"",VLOOKUP($B23,'LT05'!$B$11:$R$75,14,FALSE))))</f>
        <v>6.4</v>
      </c>
      <c r="Z23" s="183"/>
      <c r="AA23" s="182" t="str">
        <f>IF(OR($H$6="",$H$7=""),"",IF($B23="","",IF(ISNA(VLOOKUP($B23,'LT05'!$B$11:$R$75,17,FALSE)),"",VLOOKUP($B23,'LT05'!$B$11:$R$75,17,FALSE))))</f>
        <v/>
      </c>
      <c r="AB23" s="185">
        <f>IF(OR($H$6="",$H$7=""),"",IF($B23="","",IF(ISNA(VLOOKUP($B23,'LT06'!$B$11:$R$75,13,FALSE)),"",IF(VLOOKUP($B23,'LT06'!$B$11:$R$75,13,FALSE)="","",VLOOKUP($B23,'LT06'!$B$11:$R$75,13,FALSE)))))</f>
        <v>8</v>
      </c>
      <c r="AC23" s="182">
        <f>IF(OR($H$6="",$H$7=""),"",IF($B23="","",IF(ISNA(VLOOKUP($B23,'LT06'!$B$11:$R$75,14,FALSE)),"",VLOOKUP($B23,'LT06'!$B$11:$R$75,14,FALSE))))</f>
        <v>6.4</v>
      </c>
      <c r="AD23" s="183"/>
      <c r="AE23" s="182" t="str">
        <f>IF(OR($H$6="",$H$7=""),"",IF($B23="","",IF(ISNA(VLOOKUP($B23,'LT06'!$B$11:$R$75,17,FALSE)),"",VLOOKUP($B23,'LT06'!$B$11:$R$75,17,FALSE))))</f>
        <v/>
      </c>
      <c r="AF23" s="185" t="str">
        <f>IF(OR($H$6="",$H$7=""),"",IF($B23="","",IF(ISNA(VLOOKUP($B23,'LT07'!$B$11:$R$75,13,FALSE)),"",IF(VLOOKUP($B23,'LT07'!$B$11:$R$75,13,FALSE)="","",VLOOKUP($B23,'LT07'!$B$11:$R$75,13,FALSE)))))</f>
        <v/>
      </c>
      <c r="AG23" s="182" t="str">
        <f>IF(OR($H$6="",$H$7=""),"",IF($B23="","",IF(ISNA(VLOOKUP($B23,'LT07'!$B$11:$R$75,14,FALSE)),"",VLOOKUP($B23,'LT07'!$B$11:$R$75,14,FALSE))))</f>
        <v/>
      </c>
      <c r="AH23" s="183"/>
      <c r="AI23" s="182" t="str">
        <f>IF(OR($H$6="",$H$7=""),"",IF($B23="","",IF(ISNA(VLOOKUP($B23,'LT07'!$B$11:$R$75,17,FALSE)),"",VLOOKUP($B23,'LT07'!$B$11:$R$75,17,FALSE))))</f>
        <v/>
      </c>
      <c r="AJ23" s="185" t="str">
        <f>IF(OR($H$6="",$H$7=""),"",IF($B23="","",IF(ISNA(VLOOKUP($B23,'LT08'!$B$11:$R$75,13,FALSE)),"",IF(VLOOKUP($B23,'LT08'!$B$11:$R$75,13,FALSE)="","",VLOOKUP($B23,'LT08'!$B$11:$R$75,13,FALSE)))))</f>
        <v/>
      </c>
      <c r="AK23" s="182" t="str">
        <f>IF(OR($H$6="",$H$7=""),"",IF($B23="","",IF(ISNA(VLOOKUP($B23,'LT08'!$B$11:$R$75,14,FALSE)),"",VLOOKUP($B23,'LT08'!$B$11:$R$75,14,FALSE))))</f>
        <v/>
      </c>
      <c r="AL23" s="183"/>
      <c r="AM23" s="182" t="str">
        <f>IF(OR($H$6="",$H$7=""),"",IF($B23="","",IF(ISNA(VLOOKUP($B23,'LT08'!$B$11:$R$75,17,FALSE)),"",VLOOKUP($B23,'LT08'!$B$11:$R$75,17,FALSE))))</f>
        <v/>
      </c>
      <c r="AN23" s="185" t="str">
        <f>IF(OR($H$6="",$H$7=""),"",IF($B23="","",IF(ISNA(VLOOKUP($B23,'LT09'!$B$11:$R$75,13,FALSE)),"",IF(VLOOKUP($B23,'LT09'!$B$11:$R$75,13,FALSE)="","",VLOOKUP($B23,'LT09'!$B$11:$R$75,13,FALSE)))))</f>
        <v/>
      </c>
      <c r="AO23" s="182" t="str">
        <f>IF(OR($H$6="",$H$7=""),"",IF($B23="","",IF(ISNA(VLOOKUP($B23,'LT09'!$B$11:$R$75,14,FALSE)),"",VLOOKUP($B23,'LT09'!$B$11:$R$75,14,FALSE))))</f>
        <v/>
      </c>
      <c r="AP23" s="183"/>
      <c r="AQ23" s="182" t="str">
        <f>IF(OR($H$6="",$H$7=""),"",IF($B23="","",IF(ISNA(VLOOKUP($B23,'LT09'!$B$11:$R$75,17,FALSE)),"",VLOOKUP($B23,'LT09'!$B$11:$R$75,17,FALSE))))</f>
        <v/>
      </c>
      <c r="AR23" s="186"/>
      <c r="AS23" s="182">
        <f>IF(OR($H$6="",$H$7=""),"",IF($B23="","",IF(ISNA(VLOOKUP($B23,'TH01'!$B$11:$R$75,14,FALSE)),"",VLOOKUP($B23,'TH01'!$B$11:$R$75,14,FALSE))))</f>
        <v>5.8</v>
      </c>
      <c r="AT23" s="183"/>
      <c r="AU23" s="187"/>
      <c r="AV23" s="186"/>
      <c r="AW23" s="182">
        <f>IF(OR($H$6="",$H$7=""),"",IF($B23="","",IF(ISNA(VLOOKUP($B23,'TH02'!$B$11:$R$75,14,FALSE)),"",VLOOKUP($B23,'TH02'!$B$11:$R$75,14,FALSE))))</f>
        <v>7.5</v>
      </c>
      <c r="AX23" s="183"/>
      <c r="AY23" s="187"/>
      <c r="AZ23" s="54">
        <f t="shared" si="24"/>
        <v>6.28</v>
      </c>
      <c r="BA23" s="54" t="str">
        <f t="shared" si="0"/>
        <v/>
      </c>
      <c r="BB23" s="70">
        <v>64</v>
      </c>
      <c r="BC23" s="52" t="str">
        <f t="shared" si="25"/>
        <v>TB</v>
      </c>
      <c r="BD23" s="52" t="str">
        <f t="shared" si="26"/>
        <v/>
      </c>
      <c r="BE23" s="52" t="str">
        <f t="shared" si="1"/>
        <v/>
      </c>
      <c r="BF23" s="149" t="str">
        <f t="shared" si="2"/>
        <v/>
      </c>
      <c r="BG23" s="52">
        <f t="shared" si="3"/>
        <v>18</v>
      </c>
      <c r="BH23" s="52">
        <f t="shared" si="27"/>
        <v>0</v>
      </c>
      <c r="BI23" s="52">
        <f t="shared" si="4"/>
        <v>18</v>
      </c>
      <c r="BJ23" s="52">
        <f t="shared" si="5"/>
        <v>0</v>
      </c>
      <c r="BK23" s="54">
        <f t="shared" si="6"/>
        <v>6.78</v>
      </c>
      <c r="BL23" s="54" t="str">
        <f t="shared" si="7"/>
        <v>BT</v>
      </c>
      <c r="BM23" s="54">
        <f t="shared" si="8"/>
        <v>6.78</v>
      </c>
      <c r="BN23" s="54" t="str">
        <f t="shared" si="9"/>
        <v>BT</v>
      </c>
      <c r="BO23" s="70"/>
      <c r="BP23" s="52">
        <f>IF(ISNA(VLOOKUP(B23,'TICH LUY'!B:D,2,0)),"",VLOOKUP(B23,'TICH LUY'!B:D,2,0)+BI23)</f>
        <v>57</v>
      </c>
      <c r="BQ23" s="52">
        <f>IF(ISNA(VLOOKUP(B23,'TICH LUY'!B:D,3,0)),"",VLOOKUP(B23,'TICH LUY'!B:D,3,0)+BJ23)</f>
        <v>0</v>
      </c>
      <c r="BR23" s="40">
        <f t="shared" si="10"/>
        <v>1</v>
      </c>
      <c r="BS23" s="452">
        <f t="shared" si="11"/>
        <v>2.9</v>
      </c>
      <c r="BT23" s="452">
        <f t="shared" si="12"/>
        <v>7.3</v>
      </c>
      <c r="BU23" s="452">
        <f t="shared" si="13"/>
        <v>5.6</v>
      </c>
      <c r="BV23" s="452">
        <f t="shared" si="14"/>
        <v>6.3</v>
      </c>
      <c r="BW23" s="452">
        <f t="shared" si="15"/>
        <v>7.5</v>
      </c>
      <c r="BX23" s="452">
        <f t="shared" si="16"/>
        <v>8</v>
      </c>
      <c r="BY23" s="452" t="str">
        <f t="shared" si="17"/>
        <v/>
      </c>
      <c r="BZ23" s="452" t="str">
        <f t="shared" si="28"/>
        <v/>
      </c>
      <c r="CA23" s="452" t="str">
        <f t="shared" si="29"/>
        <v/>
      </c>
      <c r="CB23" s="452">
        <f t="shared" si="30"/>
        <v>5.8</v>
      </c>
      <c r="CC23" s="452">
        <f t="shared" si="18"/>
        <v>7.5</v>
      </c>
      <c r="CD23" s="40">
        <f t="shared" si="31"/>
        <v>0</v>
      </c>
      <c r="CE23" s="453">
        <f t="shared" si="80"/>
        <v>4.5</v>
      </c>
      <c r="CF23" s="452">
        <f t="shared" si="32"/>
        <v>6.9</v>
      </c>
      <c r="CG23" s="452">
        <f t="shared" si="81"/>
        <v>6.4</v>
      </c>
      <c r="CH23" s="452">
        <f t="shared" si="82"/>
        <v>6</v>
      </c>
      <c r="CI23" s="452">
        <f t="shared" si="83"/>
        <v>6.4</v>
      </c>
      <c r="CJ23" s="452">
        <f t="shared" si="84"/>
        <v>6.4</v>
      </c>
      <c r="CK23" s="452" t="str">
        <f t="shared" si="85"/>
        <v/>
      </c>
      <c r="CL23" s="452" t="str">
        <f t="shared" si="33"/>
        <v/>
      </c>
      <c r="CM23" s="452" t="str">
        <f t="shared" si="34"/>
        <v/>
      </c>
      <c r="CN23" s="452">
        <f t="shared" si="35"/>
        <v>5.8</v>
      </c>
      <c r="CO23" s="452">
        <f t="shared" si="19"/>
        <v>7.5</v>
      </c>
      <c r="CP23" s="454">
        <f t="shared" si="36"/>
        <v>6.28</v>
      </c>
      <c r="CQ23" s="527">
        <f>IF(OR(ISNA(VLOOKUP($B23,'TICH LUY'!$B$11:$BY$85,54,0)),$B23=""),"",VLOOKUP($B23,'TICH LUY'!$B$11:$BY$85,54,0))</f>
        <v>6.2</v>
      </c>
      <c r="CR23" s="507">
        <f>IF(OR(ISNA(VLOOKUP($B23,'TICH LUY'!$B$11:$BY$85,55,0)),$B23=""),"",VLOOKUP($B23,'TICH LUY'!$B$11:$BY$85,55,0))</f>
        <v>8.4</v>
      </c>
      <c r="CS23" s="507">
        <f>IF(OR(ISNA(VLOOKUP($B23,'TICH LUY'!$B$11:$BY$85,56,0)),$B23=""),"",VLOOKUP($B23,'TICH LUY'!$B$11:$BY$85,56,0))</f>
        <v>7.7</v>
      </c>
      <c r="CT23" s="507">
        <f>IF(OR(ISNA(VLOOKUP($B23,'TICH LUY'!$B$11:$BY$85,57,0)),$B23=""),"",VLOOKUP($B23,'TICH LUY'!$B$11:$BY$85,57,0))</f>
        <v>6.9</v>
      </c>
      <c r="CU23" s="507">
        <f>IF(OR(ISNA(VLOOKUP($B23,'TICH LUY'!$B$11:$BY$85,58,0)),$B23=""),"",VLOOKUP($B23,'TICH LUY'!$B$11:$BY$85,58,0))</f>
        <v>6.2</v>
      </c>
      <c r="CV23" s="507">
        <f>IF(OR(ISNA(VLOOKUP($B23,'TICH LUY'!$B$11:$BY$85,59,0)),$B23=""),"",VLOOKUP($B23,'TICH LUY'!$B$11:$BY$85,59,0))</f>
        <v>7</v>
      </c>
      <c r="CW23" s="507">
        <f>IF(OR(ISNA(VLOOKUP($B23,'TICH LUY'!$B$11:$BY$85,60,0)),$B23=""),"",VLOOKUP($B23,'TICH LUY'!$B$11:$BY$85,60,0))</f>
        <v>8.1</v>
      </c>
      <c r="CX23" s="507" t="str">
        <f>IF(OR(ISNA(VLOOKUP($B23,'TICH LUY'!$B$11:$BY$85,61,0)),$B23=""),"",VLOOKUP($B23,'TICH LUY'!$B$11:$BY$85,61,0))</f>
        <v/>
      </c>
      <c r="CY23" s="507" t="str">
        <f>IF(OR(ISNA(VLOOKUP($B23,'TICH LUY'!$B$11:$BY$85,62,0)),$B23=""),"",VLOOKUP($B23,'TICH LUY'!$B$11:$BY$85,62,0))</f>
        <v/>
      </c>
      <c r="CZ23" s="507">
        <f>IF(OR(ISNA(VLOOKUP($B23,'TICH LUY'!$B$11:$BY$85,63,0)),$B23=""),"",VLOOKUP($B23,'TICH LUY'!$B$11:$BY$85,63,0))</f>
        <v>6.5</v>
      </c>
      <c r="DA23" s="507">
        <f>IF(OR(ISNA(VLOOKUP($B23,'TICH LUY'!$B$11:$BY$85,64,0)),$B23=""),"",VLOOKUP($B23,'TICH LUY'!$B$11:$BY$85,64,0))</f>
        <v>5.7</v>
      </c>
      <c r="DB23" s="507" t="str">
        <f>IF(OR(ISNA(VLOOKUP($B23,'TICH LUY'!$B$11:$BY$85,65,0)),$B23=""),"",VLOOKUP($B23,'TICH LUY'!$B$11:$BY$85,65,0))</f>
        <v/>
      </c>
      <c r="DC23" s="507">
        <f>IF(OR(ISNA(VLOOKUP($B23,'TICH LUY'!$B$11:$BY$85,66,0)),$B23=""),"",VLOOKUP($B23,'TICH LUY'!$B$11:$BY$85,66,0))</f>
        <v>8.4</v>
      </c>
      <c r="DD23" s="507">
        <f>IF(OR(ISNA(VLOOKUP($B23,'TICH LUY'!$B$11:$BY$85,67,0)),$B23=""),"",VLOOKUP($B23,'TICH LUY'!$B$11:$BY$85,67,0))</f>
        <v>8.1999999999999993</v>
      </c>
      <c r="DE23" s="507">
        <f>IF(OR(ISNA(VLOOKUP($B23,'TICH LUY'!$B$11:$BY$85,68,0)),$B23=""),"",VLOOKUP($B23,'TICH LUY'!$B$11:$BY$85,68,0))</f>
        <v>7.9</v>
      </c>
      <c r="DF23" s="507">
        <f>IF(OR(ISNA(VLOOKUP($B23,'TICH LUY'!$B$11:$BY$85,69,0)),$B23=""),"",VLOOKUP($B23,'TICH LUY'!$B$11:$BY$85,69,0))</f>
        <v>7.3</v>
      </c>
      <c r="DG23" s="507">
        <f>IF(OR(ISNA(VLOOKUP($B23,'TICH LUY'!$B$11:$BY$85,70,0)),$B23=""),"",VLOOKUP($B23,'TICH LUY'!$B$11:$BY$85,70,0))</f>
        <v>5.4</v>
      </c>
      <c r="DH23" s="507">
        <f>IF(OR(ISNA(VLOOKUP($B23,'TICH LUY'!$B$11:$BY$85,71,0)),$B23=""),"",VLOOKUP($B23,'TICH LUY'!$B$11:$BY$85,71,0))</f>
        <v>6.8</v>
      </c>
      <c r="DI23" s="507" t="str">
        <f>IF(OR(ISNA(VLOOKUP($B23,'TICH LUY'!$B$11:$BY$85,72,0)),$B23=""),"",VLOOKUP($B23,'TICH LUY'!$B$11:$BY$85,72,0))</f>
        <v/>
      </c>
      <c r="DJ23" s="507" t="str">
        <f>IF(OR(ISNA(VLOOKUP($B23,'TICH LUY'!$B$11:$BY$85,73,0)),$B23=""),"",VLOOKUP($B23,'TICH LUY'!$B$11:$BY$85,73,0))</f>
        <v/>
      </c>
      <c r="DK23" s="507" t="str">
        <f>IF(OR(ISNA(VLOOKUP($B23,'TICH LUY'!$B$11:$BY$85,74,0)),$B23=""),"",VLOOKUP($B23,'TICH LUY'!$B$11:$BY$85,74,0))</f>
        <v/>
      </c>
      <c r="DL23" s="507">
        <f>IF(OR(ISNA(VLOOKUP($B23,'TICH LUY'!$B$11:$BY$85,75,0)),$B23=""),"",VLOOKUP($B23,'TICH LUY'!$B$11:$BY$85,75,0))</f>
        <v>6.2</v>
      </c>
      <c r="DM23" s="529" t="str">
        <f>IF(OR(ISNA(VLOOKUP($B23,'TICH LUY'!$B$11:$BY$85,76,0)),$B23=""),"",VLOOKUP($B23,'TICH LUY'!$B$11:$BY$85,76,0))</f>
        <v/>
      </c>
      <c r="DN23" s="455">
        <f t="shared" si="37"/>
        <v>4.5</v>
      </c>
      <c r="DO23" s="456">
        <f t="shared" si="38"/>
        <v>6.9</v>
      </c>
      <c r="DP23" s="456">
        <f t="shared" si="39"/>
        <v>6.4</v>
      </c>
      <c r="DQ23" s="456">
        <f t="shared" si="40"/>
        <v>6</v>
      </c>
      <c r="DR23" s="456">
        <f t="shared" si="41"/>
        <v>6.4</v>
      </c>
      <c r="DS23" s="456">
        <f t="shared" si="42"/>
        <v>6.4</v>
      </c>
      <c r="DT23" s="456" t="str">
        <f t="shared" si="43"/>
        <v/>
      </c>
      <c r="DU23" s="456" t="str">
        <f t="shared" si="44"/>
        <v/>
      </c>
      <c r="DV23" s="456" t="str">
        <f t="shared" si="45"/>
        <v/>
      </c>
      <c r="DW23" s="456">
        <f t="shared" si="46"/>
        <v>5.8</v>
      </c>
      <c r="DX23" s="456">
        <f t="shared" si="47"/>
        <v>7.5</v>
      </c>
      <c r="DY23" s="457">
        <f t="shared" si="48"/>
        <v>6.78</v>
      </c>
      <c r="DZ23" s="453" t="str">
        <f t="shared" si="49"/>
        <v/>
      </c>
      <c r="EA23" s="452" t="str">
        <f t="shared" si="50"/>
        <v/>
      </c>
      <c r="EB23" s="452" t="str">
        <f t="shared" si="51"/>
        <v/>
      </c>
      <c r="EC23" s="452" t="str">
        <f t="shared" si="52"/>
        <v/>
      </c>
      <c r="ED23" s="452" t="str">
        <f t="shared" si="53"/>
        <v/>
      </c>
      <c r="EE23" s="452" t="str">
        <f t="shared" si="54"/>
        <v/>
      </c>
      <c r="EF23" s="452" t="str">
        <f t="shared" si="55"/>
        <v/>
      </c>
      <c r="EG23" s="452" t="str">
        <f t="shared" si="56"/>
        <v/>
      </c>
      <c r="EH23" s="452" t="str">
        <f t="shared" si="57"/>
        <v/>
      </c>
      <c r="EI23" s="453">
        <f t="shared" si="58"/>
        <v>4.5</v>
      </c>
      <c r="EJ23" s="452">
        <f t="shared" si="59"/>
        <v>6.9</v>
      </c>
      <c r="EK23" s="452">
        <f t="shared" si="60"/>
        <v>6.4</v>
      </c>
      <c r="EL23" s="452">
        <f t="shared" si="61"/>
        <v>6</v>
      </c>
      <c r="EM23" s="452">
        <f t="shared" si="62"/>
        <v>6.4</v>
      </c>
      <c r="EN23" s="452">
        <f t="shared" si="63"/>
        <v>6.4</v>
      </c>
      <c r="EO23" s="452" t="str">
        <f t="shared" si="64"/>
        <v/>
      </c>
      <c r="EP23" s="452" t="str">
        <f t="shared" si="65"/>
        <v/>
      </c>
      <c r="EQ23" s="452" t="str">
        <f t="shared" si="66"/>
        <v/>
      </c>
      <c r="ER23" s="452">
        <f t="shared" si="67"/>
        <v>5.8</v>
      </c>
      <c r="ES23" s="452">
        <f t="shared" si="21"/>
        <v>7.5</v>
      </c>
      <c r="ET23" s="458" t="str">
        <f t="shared" si="68"/>
        <v/>
      </c>
      <c r="EU23" s="527">
        <f>IF(OR(ISNA(VLOOKUP($B23,'TICH LUY'!$B$11:$BY$85,54,0)),$B23=""),"",VLOOKUP($B23,'TICH LUY'!$B$11:$BY$85,54,0))</f>
        <v>6.2</v>
      </c>
      <c r="EV23" s="507">
        <f>IF(OR(ISNA(VLOOKUP($B23,'TICH LUY'!$B$11:$BY$85,55,0)),$B23=""),"",VLOOKUP($B23,'TICH LUY'!$B$11:$BY$85,55,0))</f>
        <v>8.4</v>
      </c>
      <c r="EW23" s="507">
        <f>IF(OR(ISNA(VLOOKUP($B23,'TICH LUY'!$B$11:$BY$85,56,0)),$B23=""),"",VLOOKUP($B23,'TICH LUY'!$B$11:$BY$85,56,0))</f>
        <v>7.7</v>
      </c>
      <c r="EX23" s="507">
        <f>IF(OR(ISNA(VLOOKUP($B23,'TICH LUY'!$B$11:$BY$85,57,0)),$B23=""),"",VLOOKUP($B23,'TICH LUY'!$B$11:$BY$85,57,0))</f>
        <v>6.9</v>
      </c>
      <c r="EY23" s="507">
        <f>IF(OR(ISNA(VLOOKUP($B23,'TICH LUY'!$B$11:$BY$85,58,0)),$B23=""),"",VLOOKUP($B23,'TICH LUY'!$B$11:$BY$85,58,0))</f>
        <v>6.2</v>
      </c>
      <c r="EZ23" s="507">
        <f>IF(OR(ISNA(VLOOKUP($B23,'TICH LUY'!$B$11:$BY$85,59,0)),$B23=""),"",VLOOKUP($B23,'TICH LUY'!$B$11:$BY$85,59,0))</f>
        <v>7</v>
      </c>
      <c r="FA23" s="507">
        <f>IF(OR(ISNA(VLOOKUP($B23,'TICH LUY'!$B$11:$BY$85,60,0)),$B23=""),"",VLOOKUP($B23,'TICH LUY'!$B$11:$BY$85,60,0))</f>
        <v>8.1</v>
      </c>
      <c r="FB23" s="507" t="str">
        <f>IF(OR(ISNA(VLOOKUP($B23,'TICH LUY'!$B$11:$BY$85,61,0)),$B23=""),"",VLOOKUP($B23,'TICH LUY'!$B$11:$BY$85,61,0))</f>
        <v/>
      </c>
      <c r="FC23" s="507" t="str">
        <f>IF(OR(ISNA(VLOOKUP($B23,'TICH LUY'!$B$11:$BY$85,62,0)),$B23=""),"",VLOOKUP($B23,'TICH LUY'!$B$11:$BY$85,62,0))</f>
        <v/>
      </c>
      <c r="FD23" s="507">
        <f>IF(OR(ISNA(VLOOKUP($B23,'TICH LUY'!$B$11:$BY$85,63,0)),$B23=""),"",VLOOKUP($B23,'TICH LUY'!$B$11:$BY$85,63,0))</f>
        <v>6.5</v>
      </c>
      <c r="FE23" s="507">
        <f>IF(OR(ISNA(VLOOKUP($B23,'TICH LUY'!$B$11:$BY$85,64,0)),$B23=""),"",VLOOKUP($B23,'TICH LUY'!$B$11:$BY$85,64,0))</f>
        <v>5.7</v>
      </c>
      <c r="FF23" s="507" t="str">
        <f>IF(OR(ISNA(VLOOKUP($B23,'TICH LUY'!$B$11:$BY$85,65,0)),$B23=""),"",VLOOKUP($B23,'TICH LUY'!$B$11:$BY$85,65,0))</f>
        <v/>
      </c>
      <c r="FG23" s="507">
        <f>IF(OR(ISNA(VLOOKUP($B23,'TICH LUY'!$B$11:$BY$85,66,0)),$B23=""),"",VLOOKUP($B23,'TICH LUY'!$B$11:$BY$85,66,0))</f>
        <v>8.4</v>
      </c>
      <c r="FH23" s="507">
        <f>IF(OR(ISNA(VLOOKUP($B23,'TICH LUY'!$B$11:$BY$85,67,0)),$B23=""),"",VLOOKUP($B23,'TICH LUY'!$B$11:$BY$85,67,0))</f>
        <v>8.1999999999999993</v>
      </c>
      <c r="FI23" s="507">
        <f>IF(OR(ISNA(VLOOKUP($B23,'TICH LUY'!$B$11:$BY$85,68,0)),$B23=""),"",VLOOKUP($B23,'TICH LUY'!$B$11:$BY$85,68,0))</f>
        <v>7.9</v>
      </c>
      <c r="FJ23" s="507">
        <f>IF(OR(ISNA(VLOOKUP($B23,'TICH LUY'!$B$11:$BY$85,69,0)),$B23=""),"",VLOOKUP($B23,'TICH LUY'!$B$11:$BY$85,69,0))</f>
        <v>7.3</v>
      </c>
      <c r="FK23" s="507">
        <f>IF(OR(ISNA(VLOOKUP($B23,'TICH LUY'!$B$11:$BY$85,70,0)),$B23=""),"",VLOOKUP($B23,'TICH LUY'!$B$11:$BY$85,70,0))</f>
        <v>5.4</v>
      </c>
      <c r="FL23" s="507">
        <f>IF(OR(ISNA(VLOOKUP($B23,'TICH LUY'!$B$11:$BY$85,71,0)),$B23=""),"",VLOOKUP($B23,'TICH LUY'!$B$11:$BY$85,71,0))</f>
        <v>6.8</v>
      </c>
      <c r="FM23" s="507" t="str">
        <f>IF(OR(ISNA(VLOOKUP($B23,'TICH LUY'!$B$11:$BY$85,72,0)),$B23=""),"",VLOOKUP($B23,'TICH LUY'!$B$11:$BY$85,72,0))</f>
        <v/>
      </c>
      <c r="FN23" s="507" t="str">
        <f>IF(OR(ISNA(VLOOKUP($B23,'TICH LUY'!$B$11:$BY$85,73,0)),$B23=""),"",VLOOKUP($B23,'TICH LUY'!$B$11:$BY$85,73,0))</f>
        <v/>
      </c>
      <c r="FO23" s="507" t="str">
        <f>IF(OR(ISNA(VLOOKUP($B23,'TICH LUY'!$B$11:$BY$85,74,0)),$B23=""),"",VLOOKUP($B23,'TICH LUY'!$B$11:$BY$85,74,0))</f>
        <v/>
      </c>
      <c r="FP23" s="507">
        <f>IF(OR(ISNA(VLOOKUP($B23,'TICH LUY'!$B$11:$BY$85,75,0)),$B23=""),"",VLOOKUP($B23,'TICH LUY'!$B$11:$BY$85,75,0))</f>
        <v>6.2</v>
      </c>
      <c r="FQ23" s="529" t="str">
        <f>IF(OR(ISNA(VLOOKUP($B23,'TICH LUY'!$B$11:$BY$85,76,0)),$B23=""),"",VLOOKUP($B23,'TICH LUY'!$B$11:$BY$85,76,0))</f>
        <v/>
      </c>
      <c r="FR23" s="455">
        <f t="shared" si="69"/>
        <v>4.5</v>
      </c>
      <c r="FS23" s="456">
        <f t="shared" si="70"/>
        <v>6.9</v>
      </c>
      <c r="FT23" s="456">
        <f t="shared" si="71"/>
        <v>6.4</v>
      </c>
      <c r="FU23" s="456">
        <f t="shared" si="72"/>
        <v>6</v>
      </c>
      <c r="FV23" s="456">
        <f t="shared" si="73"/>
        <v>6.4</v>
      </c>
      <c r="FW23" s="456">
        <f t="shared" si="74"/>
        <v>6.4</v>
      </c>
      <c r="FX23" s="456" t="str">
        <f t="shared" si="75"/>
        <v/>
      </c>
      <c r="FY23" s="456" t="str">
        <f t="shared" si="76"/>
        <v/>
      </c>
      <c r="FZ23" s="456" t="str">
        <f t="shared" si="77"/>
        <v/>
      </c>
      <c r="GA23" s="456">
        <f t="shared" si="78"/>
        <v>5.8</v>
      </c>
      <c r="GB23" s="459">
        <f t="shared" si="79"/>
        <v>7.5</v>
      </c>
      <c r="GC23" s="457">
        <f t="shared" si="23"/>
        <v>6.78</v>
      </c>
    </row>
    <row r="24" spans="1:185" s="221" customFormat="1" ht="15.75">
      <c r="A24" s="449">
        <f>IF(B24="","",SUBTOTAL(3,$B$11:B24))</f>
        <v>14</v>
      </c>
      <c r="B24" s="198" t="s">
        <v>2045</v>
      </c>
      <c r="C24" s="450" t="str">
        <f>IF($B24="","",VLOOKUP($B24,'DS LOP HKI'!$B$2:$F$2642,2,0))</f>
        <v>Huỳnh Thanh</v>
      </c>
      <c r="D24" s="451" t="str">
        <f>IF($B24="","",VLOOKUP($B24,'DS LOP HKI'!$B$2:$F$2642,3,0))</f>
        <v>Hùng</v>
      </c>
      <c r="E24" s="154"/>
      <c r="F24" s="152"/>
      <c r="G24" s="156">
        <v>11</v>
      </c>
      <c r="H24" s="181" t="str">
        <f>IF(OR($H$6="",$H$7=""),"",IF($B24="","",IF(ISNA(VLOOKUP($B24,'LT01'!$B$11:$R$75,13,FALSE)),"",IF(VLOOKUP($B24,'LT01'!$B$11:$R$75,13,FALSE)="","",VLOOKUP($B24,'LT01'!$B$11:$R$75,13,FALSE)))))</f>
        <v/>
      </c>
      <c r="I24" s="182" t="str">
        <f>IF(OR($H$6="",$H$7=""),"",IF($B24="","",IF(ISNA(VLOOKUP($B24,'LT01'!$B$11:$R$75,14,FALSE)),"",VLOOKUP($B24,'LT01'!$B$11:$R$75,14,FALSE))))</f>
        <v/>
      </c>
      <c r="J24" s="183"/>
      <c r="K24" s="182" t="str">
        <f>IF(OR($H$6="",$H$7=""),"",IF($B24="","",IF(ISNA(VLOOKUP($B24,'LT01'!$B$11:$R$75,17,FALSE)),"",VLOOKUP($B24,'LT01'!$B$11:$R$75,17,FALSE))))</f>
        <v/>
      </c>
      <c r="L24" s="185" t="str">
        <f>IF(OR($H$6="",$H$7=""),"",IF($B24="","",IF(ISNA(VLOOKUP($B24,'LT02'!$B$11:$R$75,13,FALSE)),"",IF(VLOOKUP($B24,'LT02'!$B$11:$R$75,13,FALSE)="","",VLOOKUP($B24,'LT02'!$B$11:$R$75,13,FALSE)))))</f>
        <v/>
      </c>
      <c r="M24" s="182" t="str">
        <f>IF(OR($H$6="",$H$7=""),"",IF($B24="","",IF(ISNA(VLOOKUP($B24,'LT02'!$B$11:$R$75,14,FALSE)),"",VLOOKUP($B24,'LT02'!$B$11:$R$75,14,FALSE))))</f>
        <v/>
      </c>
      <c r="N24" s="183"/>
      <c r="O24" s="182" t="str">
        <f>IF(OR($H$6="",$H$7=""),"",IF($B24="","",IF(ISNA(VLOOKUP($B24,'LT02'!$B$11:$R$75,17,FALSE)),"",VLOOKUP($B24,'LT02'!$B$11:$R$75,17,FALSE))))</f>
        <v/>
      </c>
      <c r="P24" s="185">
        <f>IF(OR($H$6="",$H$7=""),"",IF($B24="","",IF(ISNA(VLOOKUP($B24,'LT03'!$B$11:$R$75,13,FALSE)),"",IF(VLOOKUP($B24,'LT03'!$B$11:$R$75,13,FALSE)="","",VLOOKUP($B24,'LT03'!$B$11:$R$75,13,FALSE)))))</f>
        <v>4.7</v>
      </c>
      <c r="Q24" s="182">
        <f>IF(OR($H$6="",$H$7=""),"",IF($B24="","",IF(ISNA(VLOOKUP($B24,'LT03'!$B$11:$R$75,14,FALSE)),"",VLOOKUP($B24,'LT03'!$B$11:$R$75,14,FALSE))))</f>
        <v>4.9000000000000004</v>
      </c>
      <c r="R24" s="183"/>
      <c r="S24" s="182" t="str">
        <f>IF(OR($H$6="",$H$7=""),"",IF($B24="","",IF(ISNA(VLOOKUP($B24,'LT03'!$B$11:$R$75,17,FALSE)),"",VLOOKUP($B24,'LT03'!$B$11:$R$75,17,FALSE))))</f>
        <v/>
      </c>
      <c r="T24" s="185">
        <f>IF(OR($H$6="",$H$7=""),"",IF($B24="","",IF(ISNA(VLOOKUP($B24,'LT04'!$B$11:$R$75,13,FALSE)),"",IF(VLOOKUP($B24,'LT04'!$B$11:$R$75,13,FALSE)="","",VLOOKUP($B24,'LT04'!$B$11:$R$75,13,FALSE)))))</f>
        <v>5.5</v>
      </c>
      <c r="U24" s="182">
        <f>IF(OR($H$6="",$H$7=""),"",IF($B24="","",IF(ISNA(VLOOKUP($B24,'LT04'!$B$11:$R$75,14,FALSE)),"",VLOOKUP($B24,'LT04'!$B$11:$R$75,14,FALSE))))</f>
        <v>5.0999999999999996</v>
      </c>
      <c r="V24" s="183"/>
      <c r="W24" s="184" t="str">
        <f>IF(OR($H$6="",$H$7=""),"",IF($B24="","",IF(ISNA(VLOOKUP($B24,'LT04'!$B$11:$R$75,17,FALSE)),"",VLOOKUP($B24,'LT04'!$B$11:$R$75,17,FALSE))))</f>
        <v/>
      </c>
      <c r="X24" s="185">
        <f>IF(OR($H$6="",$H$7=""),"",IF($B24="","",IF(ISNA(VLOOKUP($B24,'LT05'!$B$11:$R$75,13,FALSE)),"",IF(VLOOKUP($B24,'LT05'!$B$11:$R$75,13,FALSE)="","",VLOOKUP($B24,'LT05'!$B$11:$R$75,13,FALSE)))))</f>
        <v>6</v>
      </c>
      <c r="Y24" s="182">
        <f>IF(OR($H$6="",$H$7=""),"",IF($B24="","",IF(ISNA(VLOOKUP($B24,'LT05'!$B$11:$R$75,14,FALSE)),"",VLOOKUP($B24,'LT05'!$B$11:$R$75,14,FALSE))))</f>
        <v>5.8</v>
      </c>
      <c r="Z24" s="183"/>
      <c r="AA24" s="182" t="str">
        <f>IF(OR($H$6="",$H$7=""),"",IF($B24="","",IF(ISNA(VLOOKUP($B24,'LT05'!$B$11:$R$75,17,FALSE)),"",VLOOKUP($B24,'LT05'!$B$11:$R$75,17,FALSE))))</f>
        <v/>
      </c>
      <c r="AB24" s="185">
        <f>IF(OR($H$6="",$H$7=""),"",IF($B24="","",IF(ISNA(VLOOKUP($B24,'LT06'!$B$11:$R$75,13,FALSE)),"",IF(VLOOKUP($B24,'LT06'!$B$11:$R$75,13,FALSE)="","",VLOOKUP($B24,'LT06'!$B$11:$R$75,13,FALSE)))))</f>
        <v>2.5</v>
      </c>
      <c r="AC24" s="182">
        <f>IF(OR($H$6="",$H$7=""),"",IF($B24="","",IF(ISNA(VLOOKUP($B24,'LT06'!$B$11:$R$75,14,FALSE)),"",VLOOKUP($B24,'LT06'!$B$11:$R$75,14,FALSE))))</f>
        <v>3.9</v>
      </c>
      <c r="AD24" s="183"/>
      <c r="AE24" s="182" t="str">
        <f>IF(OR($H$6="",$H$7=""),"",IF($B24="","",IF(ISNA(VLOOKUP($B24,'LT06'!$B$11:$R$75,17,FALSE)),"",VLOOKUP($B24,'LT06'!$B$11:$R$75,17,FALSE))))</f>
        <v/>
      </c>
      <c r="AF24" s="185" t="str">
        <f>IF(OR($H$6="",$H$7=""),"",IF($B24="","",IF(ISNA(VLOOKUP($B24,'LT07'!$B$11:$R$75,13,FALSE)),"",IF(VLOOKUP($B24,'LT07'!$B$11:$R$75,13,FALSE)="","",VLOOKUP($B24,'LT07'!$B$11:$R$75,13,FALSE)))))</f>
        <v/>
      </c>
      <c r="AG24" s="182" t="str">
        <f>IF(OR($H$6="",$H$7=""),"",IF($B24="","",IF(ISNA(VLOOKUP($B24,'LT07'!$B$11:$R$75,14,FALSE)),"",VLOOKUP($B24,'LT07'!$B$11:$R$75,14,FALSE))))</f>
        <v/>
      </c>
      <c r="AH24" s="183"/>
      <c r="AI24" s="182" t="str">
        <f>IF(OR($H$6="",$H$7=""),"",IF($B24="","",IF(ISNA(VLOOKUP($B24,'LT07'!$B$11:$R$75,17,FALSE)),"",VLOOKUP($B24,'LT07'!$B$11:$R$75,17,FALSE))))</f>
        <v/>
      </c>
      <c r="AJ24" s="185" t="str">
        <f>IF(OR($H$6="",$H$7=""),"",IF($B24="","",IF(ISNA(VLOOKUP($B24,'LT08'!$B$11:$R$75,13,FALSE)),"",IF(VLOOKUP($B24,'LT08'!$B$11:$R$75,13,FALSE)="","",VLOOKUP($B24,'LT08'!$B$11:$R$75,13,FALSE)))))</f>
        <v/>
      </c>
      <c r="AK24" s="182" t="str">
        <f>IF(OR($H$6="",$H$7=""),"",IF($B24="","",IF(ISNA(VLOOKUP($B24,'LT08'!$B$11:$R$75,14,FALSE)),"",VLOOKUP($B24,'LT08'!$B$11:$R$75,14,FALSE))))</f>
        <v/>
      </c>
      <c r="AL24" s="183"/>
      <c r="AM24" s="182" t="str">
        <f>IF(OR($H$6="",$H$7=""),"",IF($B24="","",IF(ISNA(VLOOKUP($B24,'LT08'!$B$11:$R$75,17,FALSE)),"",VLOOKUP($B24,'LT08'!$B$11:$R$75,17,FALSE))))</f>
        <v/>
      </c>
      <c r="AN24" s="185" t="str">
        <f>IF(OR($H$6="",$H$7=""),"",IF($B24="","",IF(ISNA(VLOOKUP($B24,'LT09'!$B$11:$R$75,13,FALSE)),"",IF(VLOOKUP($B24,'LT09'!$B$11:$R$75,13,FALSE)="","",VLOOKUP($B24,'LT09'!$B$11:$R$75,13,FALSE)))))</f>
        <v/>
      </c>
      <c r="AO24" s="182" t="str">
        <f>IF(OR($H$6="",$H$7=""),"",IF($B24="","",IF(ISNA(VLOOKUP($B24,'LT09'!$B$11:$R$75,14,FALSE)),"",VLOOKUP($B24,'LT09'!$B$11:$R$75,14,FALSE))))</f>
        <v/>
      </c>
      <c r="AP24" s="183"/>
      <c r="AQ24" s="182" t="str">
        <f>IF(OR($H$6="",$H$7=""),"",IF($B24="","",IF(ISNA(VLOOKUP($B24,'LT09'!$B$11:$R$75,17,FALSE)),"",VLOOKUP($B24,'LT09'!$B$11:$R$75,17,FALSE))))</f>
        <v/>
      </c>
      <c r="AR24" s="186"/>
      <c r="AS24" s="182">
        <f>IF(OR($H$6="",$H$7=""),"",IF($B24="","",IF(ISNA(VLOOKUP($B24,'TH01'!$B$11:$R$75,14,FALSE)),"",VLOOKUP($B24,'TH01'!$B$11:$R$75,14,FALSE))))</f>
        <v>5.3</v>
      </c>
      <c r="AT24" s="183"/>
      <c r="AU24" s="187"/>
      <c r="AV24" s="186"/>
      <c r="AW24" s="182">
        <f>IF(OR($H$6="",$H$7=""),"",IF($B24="","",IF(ISNA(VLOOKUP($B24,'TH02'!$B$11:$R$75,14,FALSE)),"",VLOOKUP($B24,'TH02'!$B$11:$R$75,14,FALSE))))</f>
        <v>6</v>
      </c>
      <c r="AX24" s="183"/>
      <c r="AY24" s="187"/>
      <c r="AZ24" s="54">
        <f t="shared" si="24"/>
        <v>5.15</v>
      </c>
      <c r="BA24" s="54" t="str">
        <f t="shared" si="0"/>
        <v/>
      </c>
      <c r="BB24" s="70">
        <v>45</v>
      </c>
      <c r="BC24" s="52" t="str">
        <f t="shared" si="25"/>
        <v>TBY</v>
      </c>
      <c r="BD24" s="52" t="str">
        <f t="shared" si="26"/>
        <v/>
      </c>
      <c r="BE24" s="52" t="str">
        <f t="shared" si="1"/>
        <v/>
      </c>
      <c r="BF24" s="149" t="str">
        <f t="shared" si="2"/>
        <v/>
      </c>
      <c r="BG24" s="52">
        <f t="shared" si="3"/>
        <v>11</v>
      </c>
      <c r="BH24" s="52">
        <f t="shared" si="27"/>
        <v>2</v>
      </c>
      <c r="BI24" s="52">
        <f t="shared" si="4"/>
        <v>11</v>
      </c>
      <c r="BJ24" s="52">
        <f t="shared" si="5"/>
        <v>2</v>
      </c>
      <c r="BK24" s="54">
        <f t="shared" si="6"/>
        <v>5.2</v>
      </c>
      <c r="BL24" s="54" t="str">
        <f t="shared" si="7"/>
        <v>Y</v>
      </c>
      <c r="BM24" s="54">
        <f t="shared" si="8"/>
        <v>5.2</v>
      </c>
      <c r="BN24" s="54" t="str">
        <f t="shared" si="9"/>
        <v>Y</v>
      </c>
      <c r="BO24" s="70"/>
      <c r="BP24" s="52">
        <f>IF(ISNA(VLOOKUP(B24,'TICH LUY'!B:D,2,0)),"",VLOOKUP(B24,'TICH LUY'!B:D,2,0)+BI24)</f>
        <v>48</v>
      </c>
      <c r="BQ24" s="52">
        <f>IF(ISNA(VLOOKUP(B24,'TICH LUY'!B:D,3,0)),"",VLOOKUP(B24,'TICH LUY'!B:D,3,0)+BJ24)</f>
        <v>4</v>
      </c>
      <c r="BR24" s="40">
        <f t="shared" si="10"/>
        <v>2</v>
      </c>
      <c r="BS24" s="452" t="str">
        <f t="shared" si="11"/>
        <v/>
      </c>
      <c r="BT24" s="452" t="str">
        <f t="shared" si="12"/>
        <v/>
      </c>
      <c r="BU24" s="452">
        <f t="shared" si="13"/>
        <v>4.7</v>
      </c>
      <c r="BV24" s="452">
        <f t="shared" si="14"/>
        <v>5.5</v>
      </c>
      <c r="BW24" s="452">
        <f t="shared" si="15"/>
        <v>6</v>
      </c>
      <c r="BX24" s="452">
        <f t="shared" si="16"/>
        <v>2.5</v>
      </c>
      <c r="BY24" s="452" t="str">
        <f t="shared" si="17"/>
        <v/>
      </c>
      <c r="BZ24" s="452" t="str">
        <f t="shared" si="28"/>
        <v/>
      </c>
      <c r="CA24" s="452" t="str">
        <f t="shared" si="29"/>
        <v/>
      </c>
      <c r="CB24" s="452">
        <f t="shared" si="30"/>
        <v>5.3</v>
      </c>
      <c r="CC24" s="452">
        <f t="shared" si="18"/>
        <v>6</v>
      </c>
      <c r="CD24" s="40">
        <f t="shared" si="31"/>
        <v>1</v>
      </c>
      <c r="CE24" s="453" t="str">
        <f t="shared" si="80"/>
        <v/>
      </c>
      <c r="CF24" s="452" t="str">
        <f t="shared" si="32"/>
        <v/>
      </c>
      <c r="CG24" s="452">
        <f t="shared" si="81"/>
        <v>4.9000000000000004</v>
      </c>
      <c r="CH24" s="452">
        <f t="shared" si="82"/>
        <v>5.0999999999999996</v>
      </c>
      <c r="CI24" s="452">
        <f t="shared" si="83"/>
        <v>5.8</v>
      </c>
      <c r="CJ24" s="452">
        <f t="shared" si="84"/>
        <v>3.9</v>
      </c>
      <c r="CK24" s="452" t="str">
        <f t="shared" si="85"/>
        <v/>
      </c>
      <c r="CL24" s="452" t="str">
        <f t="shared" si="33"/>
        <v/>
      </c>
      <c r="CM24" s="452" t="str">
        <f t="shared" si="34"/>
        <v/>
      </c>
      <c r="CN24" s="452">
        <f t="shared" si="35"/>
        <v>5.3</v>
      </c>
      <c r="CO24" s="452">
        <f t="shared" si="19"/>
        <v>6</v>
      </c>
      <c r="CP24" s="454">
        <f t="shared" si="36"/>
        <v>5.15</v>
      </c>
      <c r="CQ24" s="527">
        <f>IF(OR(ISNA(VLOOKUP($B24,'TICH LUY'!$B$11:$BY$85,54,0)),$B24=""),"",VLOOKUP($B24,'TICH LUY'!$B$11:$BY$85,54,0))</f>
        <v>4.8</v>
      </c>
      <c r="CR24" s="507">
        <f>IF(OR(ISNA(VLOOKUP($B24,'TICH LUY'!$B$11:$BY$85,55,0)),$B24=""),"",VLOOKUP($B24,'TICH LUY'!$B$11:$BY$85,55,0))</f>
        <v>5.4</v>
      </c>
      <c r="CS24" s="507">
        <f>IF(OR(ISNA(VLOOKUP($B24,'TICH LUY'!$B$11:$BY$85,56,0)),$B24=""),"",VLOOKUP($B24,'TICH LUY'!$B$11:$BY$85,56,0))</f>
        <v>5.0999999999999996</v>
      </c>
      <c r="CT24" s="507">
        <f>IF(OR(ISNA(VLOOKUP($B24,'TICH LUY'!$B$11:$BY$85,57,0)),$B24=""),"",VLOOKUP($B24,'TICH LUY'!$B$11:$BY$85,57,0))</f>
        <v>4.5999999999999996</v>
      </c>
      <c r="CU24" s="507">
        <f>IF(OR(ISNA(VLOOKUP($B24,'TICH LUY'!$B$11:$BY$85,58,0)),$B24=""),"",VLOOKUP($B24,'TICH LUY'!$B$11:$BY$85,58,0))</f>
        <v>4.5</v>
      </c>
      <c r="CV24" s="507">
        <f>IF(OR(ISNA(VLOOKUP($B24,'TICH LUY'!$B$11:$BY$85,59,0)),$B24=""),"",VLOOKUP($B24,'TICH LUY'!$B$11:$BY$85,59,0))</f>
        <v>5</v>
      </c>
      <c r="CW24" s="507">
        <f>IF(OR(ISNA(VLOOKUP($B24,'TICH LUY'!$B$11:$BY$85,60,0)),$B24=""),"",VLOOKUP($B24,'TICH LUY'!$B$11:$BY$85,60,0))</f>
        <v>5.8</v>
      </c>
      <c r="CX24" s="507" t="str">
        <f>IF(OR(ISNA(VLOOKUP($B24,'TICH LUY'!$B$11:$BY$85,61,0)),$B24=""),"",VLOOKUP($B24,'TICH LUY'!$B$11:$BY$85,61,0))</f>
        <v/>
      </c>
      <c r="CY24" s="507" t="str">
        <f>IF(OR(ISNA(VLOOKUP($B24,'TICH LUY'!$B$11:$BY$85,62,0)),$B24=""),"",VLOOKUP($B24,'TICH LUY'!$B$11:$BY$85,62,0))</f>
        <v/>
      </c>
      <c r="CZ24" s="507">
        <f>IF(OR(ISNA(VLOOKUP($B24,'TICH LUY'!$B$11:$BY$85,63,0)),$B24=""),"",VLOOKUP($B24,'TICH LUY'!$B$11:$BY$85,63,0))</f>
        <v>4.7</v>
      </c>
      <c r="DA24" s="507">
        <f>IF(OR(ISNA(VLOOKUP($B24,'TICH LUY'!$B$11:$BY$85,64,0)),$B24=""),"",VLOOKUP($B24,'TICH LUY'!$B$11:$BY$85,64,0))</f>
        <v>4.9000000000000004</v>
      </c>
      <c r="DB24" s="507" t="str">
        <f>IF(OR(ISNA(VLOOKUP($B24,'TICH LUY'!$B$11:$BY$85,65,0)),$B24=""),"",VLOOKUP($B24,'TICH LUY'!$B$11:$BY$85,65,0))</f>
        <v/>
      </c>
      <c r="DC24" s="507">
        <f>IF(OR(ISNA(VLOOKUP($B24,'TICH LUY'!$B$11:$BY$85,66,0)),$B24=""),"",VLOOKUP($B24,'TICH LUY'!$B$11:$BY$85,66,0))</f>
        <v>5.5</v>
      </c>
      <c r="DD24" s="507" t="str">
        <f>IF(OR(ISNA(VLOOKUP($B24,'TICH LUY'!$B$11:$BY$85,67,0)),$B24=""),"",VLOOKUP($B24,'TICH LUY'!$B$11:$BY$85,67,0))</f>
        <v/>
      </c>
      <c r="DE24" s="507">
        <f>IF(OR(ISNA(VLOOKUP($B24,'TICH LUY'!$B$11:$BY$85,68,0)),$B24=""),"",VLOOKUP($B24,'TICH LUY'!$B$11:$BY$85,68,0))</f>
        <v>5.9</v>
      </c>
      <c r="DF24" s="507">
        <f>IF(OR(ISNA(VLOOKUP($B24,'TICH LUY'!$B$11:$BY$85,69,0)),$B24=""),"",VLOOKUP($B24,'TICH LUY'!$B$11:$BY$85,69,0))</f>
        <v>6</v>
      </c>
      <c r="DG24" s="507">
        <f>IF(OR(ISNA(VLOOKUP($B24,'TICH LUY'!$B$11:$BY$85,70,0)),$B24=""),"",VLOOKUP($B24,'TICH LUY'!$B$11:$BY$85,70,0))</f>
        <v>4.3</v>
      </c>
      <c r="DH24" s="507">
        <f>IF(OR(ISNA(VLOOKUP($B24,'TICH LUY'!$B$11:$BY$85,71,0)),$B24=""),"",VLOOKUP($B24,'TICH LUY'!$B$11:$BY$85,71,0))</f>
        <v>5.9</v>
      </c>
      <c r="DI24" s="507" t="str">
        <f>IF(OR(ISNA(VLOOKUP($B24,'TICH LUY'!$B$11:$BY$85,72,0)),$B24=""),"",VLOOKUP($B24,'TICH LUY'!$B$11:$BY$85,72,0))</f>
        <v/>
      </c>
      <c r="DJ24" s="507" t="str">
        <f>IF(OR(ISNA(VLOOKUP($B24,'TICH LUY'!$B$11:$BY$85,73,0)),$B24=""),"",VLOOKUP($B24,'TICH LUY'!$B$11:$BY$85,73,0))</f>
        <v/>
      </c>
      <c r="DK24" s="507" t="str">
        <f>IF(OR(ISNA(VLOOKUP($B24,'TICH LUY'!$B$11:$BY$85,74,0)),$B24=""),"",VLOOKUP($B24,'TICH LUY'!$B$11:$BY$85,74,0))</f>
        <v/>
      </c>
      <c r="DL24" s="507">
        <f>IF(OR(ISNA(VLOOKUP($B24,'TICH LUY'!$B$11:$BY$85,75,0)),$B24=""),"",VLOOKUP($B24,'TICH LUY'!$B$11:$BY$85,75,0))</f>
        <v>5.6</v>
      </c>
      <c r="DM24" s="529" t="str">
        <f>IF(OR(ISNA(VLOOKUP($B24,'TICH LUY'!$B$11:$BY$85,76,0)),$B24=""),"",VLOOKUP($B24,'TICH LUY'!$B$11:$BY$85,76,0))</f>
        <v/>
      </c>
      <c r="DN24" s="455" t="str">
        <f t="shared" si="37"/>
        <v/>
      </c>
      <c r="DO24" s="456" t="str">
        <f t="shared" si="38"/>
        <v/>
      </c>
      <c r="DP24" s="456">
        <f t="shared" si="39"/>
        <v>4.9000000000000004</v>
      </c>
      <c r="DQ24" s="456">
        <f t="shared" si="40"/>
        <v>5.0999999999999996</v>
      </c>
      <c r="DR24" s="456">
        <f t="shared" si="41"/>
        <v>5.8</v>
      </c>
      <c r="DS24" s="456" t="str">
        <f t="shared" si="42"/>
        <v/>
      </c>
      <c r="DT24" s="456" t="str">
        <f t="shared" si="43"/>
        <v/>
      </c>
      <c r="DU24" s="456" t="str">
        <f t="shared" si="44"/>
        <v/>
      </c>
      <c r="DV24" s="456" t="str">
        <f t="shared" si="45"/>
        <v/>
      </c>
      <c r="DW24" s="456">
        <f t="shared" si="46"/>
        <v>5.3</v>
      </c>
      <c r="DX24" s="456">
        <f t="shared" si="47"/>
        <v>6</v>
      </c>
      <c r="DY24" s="457">
        <f t="shared" si="48"/>
        <v>5.2</v>
      </c>
      <c r="DZ24" s="453" t="str">
        <f t="shared" si="49"/>
        <v/>
      </c>
      <c r="EA24" s="452" t="str">
        <f t="shared" si="50"/>
        <v/>
      </c>
      <c r="EB24" s="452" t="str">
        <f t="shared" si="51"/>
        <v/>
      </c>
      <c r="EC24" s="452" t="str">
        <f t="shared" si="52"/>
        <v/>
      </c>
      <c r="ED24" s="452" t="str">
        <f t="shared" si="53"/>
        <v/>
      </c>
      <c r="EE24" s="452" t="str">
        <f t="shared" si="54"/>
        <v/>
      </c>
      <c r="EF24" s="452" t="str">
        <f t="shared" si="55"/>
        <v/>
      </c>
      <c r="EG24" s="452" t="str">
        <f t="shared" si="56"/>
        <v/>
      </c>
      <c r="EH24" s="452" t="str">
        <f t="shared" si="57"/>
        <v/>
      </c>
      <c r="EI24" s="453" t="str">
        <f t="shared" si="58"/>
        <v/>
      </c>
      <c r="EJ24" s="452" t="str">
        <f t="shared" si="59"/>
        <v/>
      </c>
      <c r="EK24" s="452">
        <f t="shared" si="60"/>
        <v>4.9000000000000004</v>
      </c>
      <c r="EL24" s="452">
        <f t="shared" si="61"/>
        <v>5.0999999999999996</v>
      </c>
      <c r="EM24" s="452">
        <f t="shared" si="62"/>
        <v>5.8</v>
      </c>
      <c r="EN24" s="452">
        <f t="shared" si="63"/>
        <v>3.9</v>
      </c>
      <c r="EO24" s="452" t="str">
        <f t="shared" si="64"/>
        <v/>
      </c>
      <c r="EP24" s="452" t="str">
        <f t="shared" si="65"/>
        <v/>
      </c>
      <c r="EQ24" s="452" t="str">
        <f t="shared" si="66"/>
        <v/>
      </c>
      <c r="ER24" s="452">
        <f t="shared" si="67"/>
        <v>5.3</v>
      </c>
      <c r="ES24" s="452">
        <f t="shared" si="21"/>
        <v>6</v>
      </c>
      <c r="ET24" s="458" t="str">
        <f t="shared" si="68"/>
        <v/>
      </c>
      <c r="EU24" s="527">
        <f>IF(OR(ISNA(VLOOKUP($B24,'TICH LUY'!$B$11:$BY$85,54,0)),$B24=""),"",VLOOKUP($B24,'TICH LUY'!$B$11:$BY$85,54,0))</f>
        <v>4.8</v>
      </c>
      <c r="EV24" s="507">
        <f>IF(OR(ISNA(VLOOKUP($B24,'TICH LUY'!$B$11:$BY$85,55,0)),$B24=""),"",VLOOKUP($B24,'TICH LUY'!$B$11:$BY$85,55,0))</f>
        <v>5.4</v>
      </c>
      <c r="EW24" s="507">
        <f>IF(OR(ISNA(VLOOKUP($B24,'TICH LUY'!$B$11:$BY$85,56,0)),$B24=""),"",VLOOKUP($B24,'TICH LUY'!$B$11:$BY$85,56,0))</f>
        <v>5.0999999999999996</v>
      </c>
      <c r="EX24" s="507">
        <f>IF(OR(ISNA(VLOOKUP($B24,'TICH LUY'!$B$11:$BY$85,57,0)),$B24=""),"",VLOOKUP($B24,'TICH LUY'!$B$11:$BY$85,57,0))</f>
        <v>4.5999999999999996</v>
      </c>
      <c r="EY24" s="507">
        <f>IF(OR(ISNA(VLOOKUP($B24,'TICH LUY'!$B$11:$BY$85,58,0)),$B24=""),"",VLOOKUP($B24,'TICH LUY'!$B$11:$BY$85,58,0))</f>
        <v>4.5</v>
      </c>
      <c r="EZ24" s="507">
        <f>IF(OR(ISNA(VLOOKUP($B24,'TICH LUY'!$B$11:$BY$85,59,0)),$B24=""),"",VLOOKUP($B24,'TICH LUY'!$B$11:$BY$85,59,0))</f>
        <v>5</v>
      </c>
      <c r="FA24" s="507">
        <f>IF(OR(ISNA(VLOOKUP($B24,'TICH LUY'!$B$11:$BY$85,60,0)),$B24=""),"",VLOOKUP($B24,'TICH LUY'!$B$11:$BY$85,60,0))</f>
        <v>5.8</v>
      </c>
      <c r="FB24" s="507" t="str">
        <f>IF(OR(ISNA(VLOOKUP($B24,'TICH LUY'!$B$11:$BY$85,61,0)),$B24=""),"",VLOOKUP($B24,'TICH LUY'!$B$11:$BY$85,61,0))</f>
        <v/>
      </c>
      <c r="FC24" s="507" t="str">
        <f>IF(OR(ISNA(VLOOKUP($B24,'TICH LUY'!$B$11:$BY$85,62,0)),$B24=""),"",VLOOKUP($B24,'TICH LUY'!$B$11:$BY$85,62,0))</f>
        <v/>
      </c>
      <c r="FD24" s="507">
        <f>IF(OR(ISNA(VLOOKUP($B24,'TICH LUY'!$B$11:$BY$85,63,0)),$B24=""),"",VLOOKUP($B24,'TICH LUY'!$B$11:$BY$85,63,0))</f>
        <v>4.7</v>
      </c>
      <c r="FE24" s="507">
        <f>IF(OR(ISNA(VLOOKUP($B24,'TICH LUY'!$B$11:$BY$85,64,0)),$B24=""),"",VLOOKUP($B24,'TICH LUY'!$B$11:$BY$85,64,0))</f>
        <v>4.9000000000000004</v>
      </c>
      <c r="FF24" s="507" t="str">
        <f>IF(OR(ISNA(VLOOKUP($B24,'TICH LUY'!$B$11:$BY$85,65,0)),$B24=""),"",VLOOKUP($B24,'TICH LUY'!$B$11:$BY$85,65,0))</f>
        <v/>
      </c>
      <c r="FG24" s="507">
        <f>IF(OR(ISNA(VLOOKUP($B24,'TICH LUY'!$B$11:$BY$85,66,0)),$B24=""),"",VLOOKUP($B24,'TICH LUY'!$B$11:$BY$85,66,0))</f>
        <v>5.5</v>
      </c>
      <c r="FH24" s="507" t="str">
        <f>IF(OR(ISNA(VLOOKUP($B24,'TICH LUY'!$B$11:$BY$85,67,0)),$B24=""),"",VLOOKUP($B24,'TICH LUY'!$B$11:$BY$85,67,0))</f>
        <v/>
      </c>
      <c r="FI24" s="507">
        <f>IF(OR(ISNA(VLOOKUP($B24,'TICH LUY'!$B$11:$BY$85,68,0)),$B24=""),"",VLOOKUP($B24,'TICH LUY'!$B$11:$BY$85,68,0))</f>
        <v>5.9</v>
      </c>
      <c r="FJ24" s="507">
        <f>IF(OR(ISNA(VLOOKUP($B24,'TICH LUY'!$B$11:$BY$85,69,0)),$B24=""),"",VLOOKUP($B24,'TICH LUY'!$B$11:$BY$85,69,0))</f>
        <v>6</v>
      </c>
      <c r="FK24" s="507">
        <f>IF(OR(ISNA(VLOOKUP($B24,'TICH LUY'!$B$11:$BY$85,70,0)),$B24=""),"",VLOOKUP($B24,'TICH LUY'!$B$11:$BY$85,70,0))</f>
        <v>4.3</v>
      </c>
      <c r="FL24" s="507">
        <f>IF(OR(ISNA(VLOOKUP($B24,'TICH LUY'!$B$11:$BY$85,71,0)),$B24=""),"",VLOOKUP($B24,'TICH LUY'!$B$11:$BY$85,71,0))</f>
        <v>5.9</v>
      </c>
      <c r="FM24" s="507" t="str">
        <f>IF(OR(ISNA(VLOOKUP($B24,'TICH LUY'!$B$11:$BY$85,72,0)),$B24=""),"",VLOOKUP($B24,'TICH LUY'!$B$11:$BY$85,72,0))</f>
        <v/>
      </c>
      <c r="FN24" s="507" t="str">
        <f>IF(OR(ISNA(VLOOKUP($B24,'TICH LUY'!$B$11:$BY$85,73,0)),$B24=""),"",VLOOKUP($B24,'TICH LUY'!$B$11:$BY$85,73,0))</f>
        <v/>
      </c>
      <c r="FO24" s="507" t="str">
        <f>IF(OR(ISNA(VLOOKUP($B24,'TICH LUY'!$B$11:$BY$85,74,0)),$B24=""),"",VLOOKUP($B24,'TICH LUY'!$B$11:$BY$85,74,0))</f>
        <v/>
      </c>
      <c r="FP24" s="507">
        <f>IF(OR(ISNA(VLOOKUP($B24,'TICH LUY'!$B$11:$BY$85,75,0)),$B24=""),"",VLOOKUP($B24,'TICH LUY'!$B$11:$BY$85,75,0))</f>
        <v>5.6</v>
      </c>
      <c r="FQ24" s="529" t="str">
        <f>IF(OR(ISNA(VLOOKUP($B24,'TICH LUY'!$B$11:$BY$85,76,0)),$B24=""),"",VLOOKUP($B24,'TICH LUY'!$B$11:$BY$85,76,0))</f>
        <v/>
      </c>
      <c r="FR24" s="455" t="str">
        <f t="shared" si="69"/>
        <v/>
      </c>
      <c r="FS24" s="456" t="str">
        <f t="shared" si="70"/>
        <v/>
      </c>
      <c r="FT24" s="456">
        <f t="shared" si="71"/>
        <v>4.9000000000000004</v>
      </c>
      <c r="FU24" s="456">
        <f t="shared" si="72"/>
        <v>5.0999999999999996</v>
      </c>
      <c r="FV24" s="456">
        <f t="shared" si="73"/>
        <v>5.8</v>
      </c>
      <c r="FW24" s="456" t="str">
        <f t="shared" si="74"/>
        <v/>
      </c>
      <c r="FX24" s="456" t="str">
        <f t="shared" si="75"/>
        <v/>
      </c>
      <c r="FY24" s="456" t="str">
        <f t="shared" si="76"/>
        <v/>
      </c>
      <c r="FZ24" s="456" t="str">
        <f t="shared" si="77"/>
        <v/>
      </c>
      <c r="GA24" s="456">
        <f t="shared" si="78"/>
        <v>5.3</v>
      </c>
      <c r="GB24" s="459">
        <f t="shared" si="79"/>
        <v>6</v>
      </c>
      <c r="GC24" s="457">
        <f t="shared" si="23"/>
        <v>5.2</v>
      </c>
    </row>
    <row r="25" spans="1:185" s="221" customFormat="1" ht="15.75">
      <c r="A25" s="449">
        <f>IF(B25="","",SUBTOTAL(3,$B$11:B25))</f>
        <v>15</v>
      </c>
      <c r="B25" s="198" t="s">
        <v>2048</v>
      </c>
      <c r="C25" s="450" t="str">
        <f>IF($B25="","",VLOOKUP($B25,'DS LOP HKI'!$B$2:$F$2642,2,0))</f>
        <v>Đoàn Lê Xuân</v>
      </c>
      <c r="D25" s="451" t="str">
        <f>IF($B25="","",VLOOKUP($B25,'DS LOP HKI'!$B$2:$F$2642,3,0))</f>
        <v>Huy</v>
      </c>
      <c r="E25" s="154"/>
      <c r="F25" s="152"/>
      <c r="G25" s="156">
        <v>3</v>
      </c>
      <c r="H25" s="181">
        <f>IF(OR($H$6="",$H$7=""),"",IF($B25="","",IF(ISNA(VLOOKUP($B25,'LT01'!$B$11:$R$75,13,FALSE)),"",IF(VLOOKUP($B25,'LT01'!$B$11:$R$75,13,FALSE)="","",VLOOKUP($B25,'LT01'!$B$11:$R$75,13,FALSE)))))</f>
        <v>3.8</v>
      </c>
      <c r="I25" s="182">
        <f>IF(OR($H$6="",$H$7=""),"",IF($B25="","",IF(ISNA(VLOOKUP($B25,'LT01'!$B$11:$R$75,14,FALSE)),"",VLOOKUP($B25,'LT01'!$B$11:$R$75,14,FALSE))))</f>
        <v>5.0999999999999996</v>
      </c>
      <c r="J25" s="183"/>
      <c r="K25" s="182" t="str">
        <f>IF(OR($H$6="",$H$7=""),"",IF($B25="","",IF(ISNA(VLOOKUP($B25,'LT01'!$B$11:$R$75,17,FALSE)),"",VLOOKUP($B25,'LT01'!$B$11:$R$75,17,FALSE))))</f>
        <v/>
      </c>
      <c r="L25" s="185">
        <f>IF(OR($H$6="",$H$7=""),"",IF($B25="","",IF(ISNA(VLOOKUP($B25,'LT02'!$B$11:$R$75,13,FALSE)),"",IF(VLOOKUP($B25,'LT02'!$B$11:$R$75,13,FALSE)="","",VLOOKUP($B25,'LT02'!$B$11:$R$75,13,FALSE)))))</f>
        <v>7.3</v>
      </c>
      <c r="M25" s="182">
        <f>IF(OR($H$6="",$H$7=""),"",IF($B25="","",IF(ISNA(VLOOKUP($B25,'LT02'!$B$11:$R$75,14,FALSE)),"",VLOOKUP($B25,'LT02'!$B$11:$R$75,14,FALSE))))</f>
        <v>7.4</v>
      </c>
      <c r="N25" s="183"/>
      <c r="O25" s="182" t="str">
        <f>IF(OR($H$6="",$H$7=""),"",IF($B25="","",IF(ISNA(VLOOKUP($B25,'LT02'!$B$11:$R$75,17,FALSE)),"",VLOOKUP($B25,'LT02'!$B$11:$R$75,17,FALSE))))</f>
        <v/>
      </c>
      <c r="P25" s="185">
        <f>IF(OR($H$6="",$H$7=""),"",IF($B25="","",IF(ISNA(VLOOKUP($B25,'LT03'!$B$11:$R$75,13,FALSE)),"",IF(VLOOKUP($B25,'LT03'!$B$11:$R$75,13,FALSE)="","",VLOOKUP($B25,'LT03'!$B$11:$R$75,13,FALSE)))))</f>
        <v>6.1</v>
      </c>
      <c r="Q25" s="182">
        <f>IF(OR($H$6="",$H$7=""),"",IF($B25="","",IF(ISNA(VLOOKUP($B25,'LT03'!$B$11:$R$75,14,FALSE)),"",VLOOKUP($B25,'LT03'!$B$11:$R$75,14,FALSE))))</f>
        <v>6.2</v>
      </c>
      <c r="R25" s="183"/>
      <c r="S25" s="182" t="str">
        <f>IF(OR($H$6="",$H$7=""),"",IF($B25="","",IF(ISNA(VLOOKUP($B25,'LT03'!$B$11:$R$75,17,FALSE)),"",VLOOKUP($B25,'LT03'!$B$11:$R$75,17,FALSE))))</f>
        <v/>
      </c>
      <c r="T25" s="185">
        <f>IF(OR($H$6="",$H$7=""),"",IF($B25="","",IF(ISNA(VLOOKUP($B25,'LT04'!$B$11:$R$75,13,FALSE)),"",IF(VLOOKUP($B25,'LT04'!$B$11:$R$75,13,FALSE)="","",VLOOKUP($B25,'LT04'!$B$11:$R$75,13,FALSE)))))</f>
        <v>4.5</v>
      </c>
      <c r="U25" s="182">
        <f>IF(OR($H$6="",$H$7=""),"",IF($B25="","",IF(ISNA(VLOOKUP($B25,'LT04'!$B$11:$R$75,14,FALSE)),"",VLOOKUP($B25,'LT04'!$B$11:$R$75,14,FALSE))))</f>
        <v>4.8</v>
      </c>
      <c r="V25" s="183"/>
      <c r="W25" s="184" t="str">
        <f>IF(OR($H$6="",$H$7=""),"",IF($B25="","",IF(ISNA(VLOOKUP($B25,'LT04'!$B$11:$R$75,17,FALSE)),"",VLOOKUP($B25,'LT04'!$B$11:$R$75,17,FALSE))))</f>
        <v/>
      </c>
      <c r="X25" s="185">
        <f>IF(OR($H$6="",$H$7=""),"",IF($B25="","",IF(ISNA(VLOOKUP($B25,'LT05'!$B$11:$R$75,13,FALSE)),"",IF(VLOOKUP($B25,'LT05'!$B$11:$R$75,13,FALSE)="","",VLOOKUP($B25,'LT05'!$B$11:$R$75,13,FALSE)))))</f>
        <v>6</v>
      </c>
      <c r="Y25" s="182">
        <f>IF(OR($H$6="",$H$7=""),"",IF($B25="","",IF(ISNA(VLOOKUP($B25,'LT05'!$B$11:$R$75,14,FALSE)),"",VLOOKUP($B25,'LT05'!$B$11:$R$75,14,FALSE))))</f>
        <v>5.7</v>
      </c>
      <c r="Z25" s="183"/>
      <c r="AA25" s="182" t="str">
        <f>IF(OR($H$6="",$H$7=""),"",IF($B25="","",IF(ISNA(VLOOKUP($B25,'LT05'!$B$11:$R$75,17,FALSE)),"",VLOOKUP($B25,'LT05'!$B$11:$R$75,17,FALSE))))</f>
        <v/>
      </c>
      <c r="AB25" s="185">
        <f>IF(OR($H$6="",$H$7=""),"",IF($B25="","",IF(ISNA(VLOOKUP($B25,'LT06'!$B$11:$R$75,13,FALSE)),"",IF(VLOOKUP($B25,'LT06'!$B$11:$R$75,13,FALSE)="","",VLOOKUP($B25,'LT06'!$B$11:$R$75,13,FALSE)))))</f>
        <v>4.8</v>
      </c>
      <c r="AC25" s="182">
        <f>IF(OR($H$6="",$H$7=""),"",IF($B25="","",IF(ISNA(VLOOKUP($B25,'LT06'!$B$11:$R$75,14,FALSE)),"",VLOOKUP($B25,'LT06'!$B$11:$R$75,14,FALSE))))</f>
        <v>4.8</v>
      </c>
      <c r="AD25" s="183"/>
      <c r="AE25" s="182" t="str">
        <f>IF(OR($H$6="",$H$7=""),"",IF($B25="","",IF(ISNA(VLOOKUP($B25,'LT06'!$B$11:$R$75,17,FALSE)),"",VLOOKUP($B25,'LT06'!$B$11:$R$75,17,FALSE))))</f>
        <v/>
      </c>
      <c r="AF25" s="185" t="str">
        <f>IF(OR($H$6="",$H$7=""),"",IF($B25="","",IF(ISNA(VLOOKUP($B25,'LT07'!$B$11:$R$75,13,FALSE)),"",IF(VLOOKUP($B25,'LT07'!$B$11:$R$75,13,FALSE)="","",VLOOKUP($B25,'LT07'!$B$11:$R$75,13,FALSE)))))</f>
        <v/>
      </c>
      <c r="AG25" s="182" t="str">
        <f>IF(OR($H$6="",$H$7=""),"",IF($B25="","",IF(ISNA(VLOOKUP($B25,'LT07'!$B$11:$R$75,14,FALSE)),"",VLOOKUP($B25,'LT07'!$B$11:$R$75,14,FALSE))))</f>
        <v/>
      </c>
      <c r="AH25" s="183"/>
      <c r="AI25" s="182" t="str">
        <f>IF(OR($H$6="",$H$7=""),"",IF($B25="","",IF(ISNA(VLOOKUP($B25,'LT07'!$B$11:$R$75,17,FALSE)),"",VLOOKUP($B25,'LT07'!$B$11:$R$75,17,FALSE))))</f>
        <v/>
      </c>
      <c r="AJ25" s="185" t="str">
        <f>IF(OR($H$6="",$H$7=""),"",IF($B25="","",IF(ISNA(VLOOKUP($B25,'LT08'!$B$11:$R$75,13,FALSE)),"",IF(VLOOKUP($B25,'LT08'!$B$11:$R$75,13,FALSE)="","",VLOOKUP($B25,'LT08'!$B$11:$R$75,13,FALSE)))))</f>
        <v/>
      </c>
      <c r="AK25" s="182" t="str">
        <f>IF(OR($H$6="",$H$7=""),"",IF($B25="","",IF(ISNA(VLOOKUP($B25,'LT08'!$B$11:$R$75,14,FALSE)),"",VLOOKUP($B25,'LT08'!$B$11:$R$75,14,FALSE))))</f>
        <v/>
      </c>
      <c r="AL25" s="183"/>
      <c r="AM25" s="182" t="str">
        <f>IF(OR($H$6="",$H$7=""),"",IF($B25="","",IF(ISNA(VLOOKUP($B25,'LT08'!$B$11:$R$75,17,FALSE)),"",VLOOKUP($B25,'LT08'!$B$11:$R$75,17,FALSE))))</f>
        <v/>
      </c>
      <c r="AN25" s="185" t="str">
        <f>IF(OR($H$6="",$H$7=""),"",IF($B25="","",IF(ISNA(VLOOKUP($B25,'LT09'!$B$11:$R$75,13,FALSE)),"",IF(VLOOKUP($B25,'LT09'!$B$11:$R$75,13,FALSE)="","",VLOOKUP($B25,'LT09'!$B$11:$R$75,13,FALSE)))))</f>
        <v/>
      </c>
      <c r="AO25" s="182" t="str">
        <f>IF(OR($H$6="",$H$7=""),"",IF($B25="","",IF(ISNA(VLOOKUP($B25,'LT09'!$B$11:$R$75,14,FALSE)),"",VLOOKUP($B25,'LT09'!$B$11:$R$75,14,FALSE))))</f>
        <v/>
      </c>
      <c r="AP25" s="183"/>
      <c r="AQ25" s="182" t="str">
        <f>IF(OR($H$6="",$H$7=""),"",IF($B25="","",IF(ISNA(VLOOKUP($B25,'LT09'!$B$11:$R$75,17,FALSE)),"",VLOOKUP($B25,'LT09'!$B$11:$R$75,17,FALSE))))</f>
        <v/>
      </c>
      <c r="AR25" s="186"/>
      <c r="AS25" s="182">
        <f>IF(OR($H$6="",$H$7=""),"",IF($B25="","",IF(ISNA(VLOOKUP($B25,'TH01'!$B$11:$R$75,14,FALSE)),"",VLOOKUP($B25,'TH01'!$B$11:$R$75,14,FALSE))))</f>
        <v>6</v>
      </c>
      <c r="AT25" s="183"/>
      <c r="AU25" s="187"/>
      <c r="AV25" s="186"/>
      <c r="AW25" s="182">
        <f>IF(OR($H$6="",$H$7=""),"",IF($B25="","",IF(ISNA(VLOOKUP($B25,'TH02'!$B$11:$R$75,14,FALSE)),"",VLOOKUP($B25,'TH02'!$B$11:$R$75,14,FALSE))))</f>
        <v>7</v>
      </c>
      <c r="AX25" s="183"/>
      <c r="AY25" s="187"/>
      <c r="AZ25" s="54">
        <f t="shared" si="24"/>
        <v>5.98</v>
      </c>
      <c r="BA25" s="54" t="str">
        <f t="shared" si="0"/>
        <v/>
      </c>
      <c r="BB25" s="70">
        <v>50</v>
      </c>
      <c r="BC25" s="52" t="str">
        <f t="shared" si="25"/>
        <v>TB</v>
      </c>
      <c r="BD25" s="52" t="str">
        <f t="shared" si="26"/>
        <v/>
      </c>
      <c r="BE25" s="52" t="str">
        <f t="shared" si="1"/>
        <v/>
      </c>
      <c r="BF25" s="149" t="str">
        <f t="shared" si="2"/>
        <v/>
      </c>
      <c r="BG25" s="52">
        <f t="shared" si="3"/>
        <v>18</v>
      </c>
      <c r="BH25" s="52">
        <f t="shared" si="27"/>
        <v>0</v>
      </c>
      <c r="BI25" s="52">
        <f t="shared" si="4"/>
        <v>18</v>
      </c>
      <c r="BJ25" s="52">
        <f t="shared" si="5"/>
        <v>0</v>
      </c>
      <c r="BK25" s="54">
        <f t="shared" si="6"/>
        <v>5.65</v>
      </c>
      <c r="BL25" s="54" t="str">
        <f t="shared" si="7"/>
        <v>BT</v>
      </c>
      <c r="BM25" s="54">
        <f t="shared" si="8"/>
        <v>5.65</v>
      </c>
      <c r="BN25" s="54" t="str">
        <f t="shared" si="9"/>
        <v>BT</v>
      </c>
      <c r="BO25" s="70"/>
      <c r="BP25" s="52">
        <f>IF(ISNA(VLOOKUP(B25,'TICH LUY'!B:D,2,0)),"",VLOOKUP(B25,'TICH LUY'!B:D,2,0)+BI25)</f>
        <v>53</v>
      </c>
      <c r="BQ25" s="52">
        <f>IF(ISNA(VLOOKUP(B25,'TICH LUY'!B:D,3,0)),"",VLOOKUP(B25,'TICH LUY'!B:D,3,0)+BJ25)</f>
        <v>4</v>
      </c>
      <c r="BR25" s="40">
        <f t="shared" si="10"/>
        <v>3</v>
      </c>
      <c r="BS25" s="452">
        <f t="shared" si="11"/>
        <v>3.8</v>
      </c>
      <c r="BT25" s="452">
        <f t="shared" si="12"/>
        <v>7.3</v>
      </c>
      <c r="BU25" s="452">
        <f t="shared" si="13"/>
        <v>6.1</v>
      </c>
      <c r="BV25" s="452">
        <f t="shared" si="14"/>
        <v>4.5</v>
      </c>
      <c r="BW25" s="452">
        <f t="shared" si="15"/>
        <v>6</v>
      </c>
      <c r="BX25" s="452">
        <f t="shared" si="16"/>
        <v>4.8</v>
      </c>
      <c r="BY25" s="452" t="str">
        <f t="shared" si="17"/>
        <v/>
      </c>
      <c r="BZ25" s="452" t="str">
        <f t="shared" si="28"/>
        <v/>
      </c>
      <c r="CA25" s="452" t="str">
        <f t="shared" si="29"/>
        <v/>
      </c>
      <c r="CB25" s="452">
        <f t="shared" si="30"/>
        <v>6</v>
      </c>
      <c r="CC25" s="452">
        <f t="shared" si="18"/>
        <v>7</v>
      </c>
      <c r="CD25" s="40">
        <f t="shared" si="31"/>
        <v>0</v>
      </c>
      <c r="CE25" s="453">
        <f t="shared" si="80"/>
        <v>5.0999999999999996</v>
      </c>
      <c r="CF25" s="452">
        <f t="shared" si="32"/>
        <v>7.4</v>
      </c>
      <c r="CG25" s="452">
        <f t="shared" si="81"/>
        <v>6.2</v>
      </c>
      <c r="CH25" s="452">
        <f t="shared" si="82"/>
        <v>4.8</v>
      </c>
      <c r="CI25" s="452">
        <f t="shared" si="83"/>
        <v>5.7</v>
      </c>
      <c r="CJ25" s="452">
        <f t="shared" si="84"/>
        <v>4.8</v>
      </c>
      <c r="CK25" s="452" t="str">
        <f t="shared" si="85"/>
        <v/>
      </c>
      <c r="CL25" s="452" t="str">
        <f t="shared" si="33"/>
        <v/>
      </c>
      <c r="CM25" s="452" t="str">
        <f t="shared" si="34"/>
        <v/>
      </c>
      <c r="CN25" s="452">
        <f t="shared" si="35"/>
        <v>6</v>
      </c>
      <c r="CO25" s="452">
        <f t="shared" si="19"/>
        <v>7</v>
      </c>
      <c r="CP25" s="454">
        <f t="shared" si="36"/>
        <v>5.98</v>
      </c>
      <c r="CQ25" s="527">
        <f>IF(OR(ISNA(VLOOKUP($B25,'TICH LUY'!$B$11:$BY$85,54,0)),$B25=""),"",VLOOKUP($B25,'TICH LUY'!$B$11:$BY$85,54,0))</f>
        <v>5.2</v>
      </c>
      <c r="CR25" s="507">
        <f>IF(OR(ISNA(VLOOKUP($B25,'TICH LUY'!$B$11:$BY$85,55,0)),$B25=""),"",VLOOKUP($B25,'TICH LUY'!$B$11:$BY$85,55,0))</f>
        <v>6.1</v>
      </c>
      <c r="CS25" s="507">
        <f>IF(OR(ISNA(VLOOKUP($B25,'TICH LUY'!$B$11:$BY$85,56,0)),$B25=""),"",VLOOKUP($B25,'TICH LUY'!$B$11:$BY$85,56,0))</f>
        <v>5</v>
      </c>
      <c r="CT25" s="507">
        <f>IF(OR(ISNA(VLOOKUP($B25,'TICH LUY'!$B$11:$BY$85,57,0)),$B25=""),"",VLOOKUP($B25,'TICH LUY'!$B$11:$BY$85,57,0))</f>
        <v>5.7</v>
      </c>
      <c r="CU25" s="507">
        <f>IF(OR(ISNA(VLOOKUP($B25,'TICH LUY'!$B$11:$BY$85,58,0)),$B25=""),"",VLOOKUP($B25,'TICH LUY'!$B$11:$BY$85,58,0))</f>
        <v>5.8</v>
      </c>
      <c r="CV25" s="507">
        <f>IF(OR(ISNA(VLOOKUP($B25,'TICH LUY'!$B$11:$BY$85,59,0)),$B25=""),"",VLOOKUP($B25,'TICH LUY'!$B$11:$BY$85,59,0))</f>
        <v>4.5</v>
      </c>
      <c r="CW25" s="507">
        <f>IF(OR(ISNA(VLOOKUP($B25,'TICH LUY'!$B$11:$BY$85,60,0)),$B25=""),"",VLOOKUP($B25,'TICH LUY'!$B$11:$BY$85,60,0))</f>
        <v>5.4</v>
      </c>
      <c r="CX25" s="507" t="str">
        <f>IF(OR(ISNA(VLOOKUP($B25,'TICH LUY'!$B$11:$BY$85,61,0)),$B25=""),"",VLOOKUP($B25,'TICH LUY'!$B$11:$BY$85,61,0))</f>
        <v/>
      </c>
      <c r="CY25" s="507" t="str">
        <f>IF(OR(ISNA(VLOOKUP($B25,'TICH LUY'!$B$11:$BY$85,62,0)),$B25=""),"",VLOOKUP($B25,'TICH LUY'!$B$11:$BY$85,62,0))</f>
        <v/>
      </c>
      <c r="CZ25" s="507">
        <f>IF(OR(ISNA(VLOOKUP($B25,'TICH LUY'!$B$11:$BY$85,63,0)),$B25=""),"",VLOOKUP($B25,'TICH LUY'!$B$11:$BY$85,63,0))</f>
        <v>4.0999999999999996</v>
      </c>
      <c r="DA25" s="507">
        <f>IF(OR(ISNA(VLOOKUP($B25,'TICH LUY'!$B$11:$BY$85,64,0)),$B25=""),"",VLOOKUP($B25,'TICH LUY'!$B$11:$BY$85,64,0))</f>
        <v>4.2</v>
      </c>
      <c r="DB25" s="507" t="str">
        <f>IF(OR(ISNA(VLOOKUP($B25,'TICH LUY'!$B$11:$BY$85,65,0)),$B25=""),"",VLOOKUP($B25,'TICH LUY'!$B$11:$BY$85,65,0))</f>
        <v/>
      </c>
      <c r="DC25" s="507">
        <f>IF(OR(ISNA(VLOOKUP($B25,'TICH LUY'!$B$11:$BY$85,66,0)),$B25=""),"",VLOOKUP($B25,'TICH LUY'!$B$11:$BY$85,66,0))</f>
        <v>7.3</v>
      </c>
      <c r="DD25" s="507" t="str">
        <f>IF(OR(ISNA(VLOOKUP($B25,'TICH LUY'!$B$11:$BY$85,67,0)),$B25=""),"",VLOOKUP($B25,'TICH LUY'!$B$11:$BY$85,67,0))</f>
        <v/>
      </c>
      <c r="DE25" s="507">
        <f>IF(OR(ISNA(VLOOKUP($B25,'TICH LUY'!$B$11:$BY$85,68,0)),$B25=""),"",VLOOKUP($B25,'TICH LUY'!$B$11:$BY$85,68,0))</f>
        <v>6.7</v>
      </c>
      <c r="DF25" s="507">
        <f>IF(OR(ISNA(VLOOKUP($B25,'TICH LUY'!$B$11:$BY$85,69,0)),$B25=""),"",VLOOKUP($B25,'TICH LUY'!$B$11:$BY$85,69,0))</f>
        <v>5.8</v>
      </c>
      <c r="DG25" s="507" t="str">
        <f>IF(OR(ISNA(VLOOKUP($B25,'TICH LUY'!$B$11:$BY$85,70,0)),$B25=""),"",VLOOKUP($B25,'TICH LUY'!$B$11:$BY$85,70,0))</f>
        <v/>
      </c>
      <c r="DH25" s="507">
        <f>IF(OR(ISNA(VLOOKUP($B25,'TICH LUY'!$B$11:$BY$85,71,0)),$B25=""),"",VLOOKUP($B25,'TICH LUY'!$B$11:$BY$85,71,0))</f>
        <v>6.3</v>
      </c>
      <c r="DI25" s="507" t="str">
        <f>IF(OR(ISNA(VLOOKUP($B25,'TICH LUY'!$B$11:$BY$85,72,0)),$B25=""),"",VLOOKUP($B25,'TICH LUY'!$B$11:$BY$85,72,0))</f>
        <v/>
      </c>
      <c r="DJ25" s="507" t="str">
        <f>IF(OR(ISNA(VLOOKUP($B25,'TICH LUY'!$B$11:$BY$85,73,0)),$B25=""),"",VLOOKUP($B25,'TICH LUY'!$B$11:$BY$85,73,0))</f>
        <v/>
      </c>
      <c r="DK25" s="507" t="str">
        <f>IF(OR(ISNA(VLOOKUP($B25,'TICH LUY'!$B$11:$BY$85,74,0)),$B25=""),"",VLOOKUP($B25,'TICH LUY'!$B$11:$BY$85,74,0))</f>
        <v/>
      </c>
      <c r="DL25" s="507">
        <f>IF(OR(ISNA(VLOOKUP($B25,'TICH LUY'!$B$11:$BY$85,75,0)),$B25=""),"",VLOOKUP($B25,'TICH LUY'!$B$11:$BY$85,75,0))</f>
        <v>6.3</v>
      </c>
      <c r="DM25" s="529" t="str">
        <f>IF(OR(ISNA(VLOOKUP($B25,'TICH LUY'!$B$11:$BY$85,76,0)),$B25=""),"",VLOOKUP($B25,'TICH LUY'!$B$11:$BY$85,76,0))</f>
        <v/>
      </c>
      <c r="DN25" s="455">
        <f t="shared" si="37"/>
        <v>5.0999999999999996</v>
      </c>
      <c r="DO25" s="456">
        <f t="shared" si="38"/>
        <v>7.4</v>
      </c>
      <c r="DP25" s="456">
        <f t="shared" si="39"/>
        <v>6.2</v>
      </c>
      <c r="DQ25" s="456">
        <f t="shared" si="40"/>
        <v>4.8</v>
      </c>
      <c r="DR25" s="456">
        <f t="shared" si="41"/>
        <v>5.7</v>
      </c>
      <c r="DS25" s="456">
        <f t="shared" si="42"/>
        <v>4.8</v>
      </c>
      <c r="DT25" s="456" t="str">
        <f t="shared" si="43"/>
        <v/>
      </c>
      <c r="DU25" s="456" t="str">
        <f t="shared" si="44"/>
        <v/>
      </c>
      <c r="DV25" s="456" t="str">
        <f t="shared" si="45"/>
        <v/>
      </c>
      <c r="DW25" s="456">
        <f t="shared" si="46"/>
        <v>6</v>
      </c>
      <c r="DX25" s="456">
        <f t="shared" si="47"/>
        <v>7</v>
      </c>
      <c r="DY25" s="457">
        <f t="shared" si="48"/>
        <v>5.65</v>
      </c>
      <c r="DZ25" s="453" t="str">
        <f t="shared" si="49"/>
        <v/>
      </c>
      <c r="EA25" s="452" t="str">
        <f t="shared" si="50"/>
        <v/>
      </c>
      <c r="EB25" s="452" t="str">
        <f t="shared" si="51"/>
        <v/>
      </c>
      <c r="EC25" s="452" t="str">
        <f t="shared" si="52"/>
        <v/>
      </c>
      <c r="ED25" s="452" t="str">
        <f t="shared" si="53"/>
        <v/>
      </c>
      <c r="EE25" s="452" t="str">
        <f t="shared" si="54"/>
        <v/>
      </c>
      <c r="EF25" s="452" t="str">
        <f t="shared" si="55"/>
        <v/>
      </c>
      <c r="EG25" s="452" t="str">
        <f t="shared" si="56"/>
        <v/>
      </c>
      <c r="EH25" s="452" t="str">
        <f t="shared" si="57"/>
        <v/>
      </c>
      <c r="EI25" s="453">
        <f t="shared" si="58"/>
        <v>5.0999999999999996</v>
      </c>
      <c r="EJ25" s="452">
        <f t="shared" si="59"/>
        <v>7.4</v>
      </c>
      <c r="EK25" s="452">
        <f t="shared" si="60"/>
        <v>6.2</v>
      </c>
      <c r="EL25" s="452">
        <f t="shared" si="61"/>
        <v>4.8</v>
      </c>
      <c r="EM25" s="452">
        <f t="shared" si="62"/>
        <v>5.7</v>
      </c>
      <c r="EN25" s="452">
        <f t="shared" si="63"/>
        <v>4.8</v>
      </c>
      <c r="EO25" s="452" t="str">
        <f t="shared" si="64"/>
        <v/>
      </c>
      <c r="EP25" s="452" t="str">
        <f t="shared" si="65"/>
        <v/>
      </c>
      <c r="EQ25" s="452" t="str">
        <f t="shared" si="66"/>
        <v/>
      </c>
      <c r="ER25" s="452">
        <f t="shared" si="67"/>
        <v>6</v>
      </c>
      <c r="ES25" s="452">
        <f t="shared" si="21"/>
        <v>7</v>
      </c>
      <c r="ET25" s="458" t="str">
        <f t="shared" si="68"/>
        <v/>
      </c>
      <c r="EU25" s="527">
        <f>IF(OR(ISNA(VLOOKUP($B25,'TICH LUY'!$B$11:$BY$85,54,0)),$B25=""),"",VLOOKUP($B25,'TICH LUY'!$B$11:$BY$85,54,0))</f>
        <v>5.2</v>
      </c>
      <c r="EV25" s="507">
        <f>IF(OR(ISNA(VLOOKUP($B25,'TICH LUY'!$B$11:$BY$85,55,0)),$B25=""),"",VLOOKUP($B25,'TICH LUY'!$B$11:$BY$85,55,0))</f>
        <v>6.1</v>
      </c>
      <c r="EW25" s="507">
        <f>IF(OR(ISNA(VLOOKUP($B25,'TICH LUY'!$B$11:$BY$85,56,0)),$B25=""),"",VLOOKUP($B25,'TICH LUY'!$B$11:$BY$85,56,0))</f>
        <v>5</v>
      </c>
      <c r="EX25" s="507">
        <f>IF(OR(ISNA(VLOOKUP($B25,'TICH LUY'!$B$11:$BY$85,57,0)),$B25=""),"",VLOOKUP($B25,'TICH LUY'!$B$11:$BY$85,57,0))</f>
        <v>5.7</v>
      </c>
      <c r="EY25" s="507">
        <f>IF(OR(ISNA(VLOOKUP($B25,'TICH LUY'!$B$11:$BY$85,58,0)),$B25=""),"",VLOOKUP($B25,'TICH LUY'!$B$11:$BY$85,58,0))</f>
        <v>5.8</v>
      </c>
      <c r="EZ25" s="507">
        <f>IF(OR(ISNA(VLOOKUP($B25,'TICH LUY'!$B$11:$BY$85,59,0)),$B25=""),"",VLOOKUP($B25,'TICH LUY'!$B$11:$BY$85,59,0))</f>
        <v>4.5</v>
      </c>
      <c r="FA25" s="507">
        <f>IF(OR(ISNA(VLOOKUP($B25,'TICH LUY'!$B$11:$BY$85,60,0)),$B25=""),"",VLOOKUP($B25,'TICH LUY'!$B$11:$BY$85,60,0))</f>
        <v>5.4</v>
      </c>
      <c r="FB25" s="507" t="str">
        <f>IF(OR(ISNA(VLOOKUP($B25,'TICH LUY'!$B$11:$BY$85,61,0)),$B25=""),"",VLOOKUP($B25,'TICH LUY'!$B$11:$BY$85,61,0))</f>
        <v/>
      </c>
      <c r="FC25" s="507" t="str">
        <f>IF(OR(ISNA(VLOOKUP($B25,'TICH LUY'!$B$11:$BY$85,62,0)),$B25=""),"",VLOOKUP($B25,'TICH LUY'!$B$11:$BY$85,62,0))</f>
        <v/>
      </c>
      <c r="FD25" s="507">
        <f>IF(OR(ISNA(VLOOKUP($B25,'TICH LUY'!$B$11:$BY$85,63,0)),$B25=""),"",VLOOKUP($B25,'TICH LUY'!$B$11:$BY$85,63,0))</f>
        <v>4.0999999999999996</v>
      </c>
      <c r="FE25" s="507">
        <f>IF(OR(ISNA(VLOOKUP($B25,'TICH LUY'!$B$11:$BY$85,64,0)),$B25=""),"",VLOOKUP($B25,'TICH LUY'!$B$11:$BY$85,64,0))</f>
        <v>4.2</v>
      </c>
      <c r="FF25" s="507" t="str">
        <f>IF(OR(ISNA(VLOOKUP($B25,'TICH LUY'!$B$11:$BY$85,65,0)),$B25=""),"",VLOOKUP($B25,'TICH LUY'!$B$11:$BY$85,65,0))</f>
        <v/>
      </c>
      <c r="FG25" s="507">
        <f>IF(OR(ISNA(VLOOKUP($B25,'TICH LUY'!$B$11:$BY$85,66,0)),$B25=""),"",VLOOKUP($B25,'TICH LUY'!$B$11:$BY$85,66,0))</f>
        <v>7.3</v>
      </c>
      <c r="FH25" s="507" t="str">
        <f>IF(OR(ISNA(VLOOKUP($B25,'TICH LUY'!$B$11:$BY$85,67,0)),$B25=""),"",VLOOKUP($B25,'TICH LUY'!$B$11:$BY$85,67,0))</f>
        <v/>
      </c>
      <c r="FI25" s="507">
        <f>IF(OR(ISNA(VLOOKUP($B25,'TICH LUY'!$B$11:$BY$85,68,0)),$B25=""),"",VLOOKUP($B25,'TICH LUY'!$B$11:$BY$85,68,0))</f>
        <v>6.7</v>
      </c>
      <c r="FJ25" s="507">
        <f>IF(OR(ISNA(VLOOKUP($B25,'TICH LUY'!$B$11:$BY$85,69,0)),$B25=""),"",VLOOKUP($B25,'TICH LUY'!$B$11:$BY$85,69,0))</f>
        <v>5.8</v>
      </c>
      <c r="FK25" s="507" t="str">
        <f>IF(OR(ISNA(VLOOKUP($B25,'TICH LUY'!$B$11:$BY$85,70,0)),$B25=""),"",VLOOKUP($B25,'TICH LUY'!$B$11:$BY$85,70,0))</f>
        <v/>
      </c>
      <c r="FL25" s="507">
        <f>IF(OR(ISNA(VLOOKUP($B25,'TICH LUY'!$B$11:$BY$85,71,0)),$B25=""),"",VLOOKUP($B25,'TICH LUY'!$B$11:$BY$85,71,0))</f>
        <v>6.3</v>
      </c>
      <c r="FM25" s="507" t="str">
        <f>IF(OR(ISNA(VLOOKUP($B25,'TICH LUY'!$B$11:$BY$85,72,0)),$B25=""),"",VLOOKUP($B25,'TICH LUY'!$B$11:$BY$85,72,0))</f>
        <v/>
      </c>
      <c r="FN25" s="507" t="str">
        <f>IF(OR(ISNA(VLOOKUP($B25,'TICH LUY'!$B$11:$BY$85,73,0)),$B25=""),"",VLOOKUP($B25,'TICH LUY'!$B$11:$BY$85,73,0))</f>
        <v/>
      </c>
      <c r="FO25" s="507" t="str">
        <f>IF(OR(ISNA(VLOOKUP($B25,'TICH LUY'!$B$11:$BY$85,74,0)),$B25=""),"",VLOOKUP($B25,'TICH LUY'!$B$11:$BY$85,74,0))</f>
        <v/>
      </c>
      <c r="FP25" s="507">
        <f>IF(OR(ISNA(VLOOKUP($B25,'TICH LUY'!$B$11:$BY$85,75,0)),$B25=""),"",VLOOKUP($B25,'TICH LUY'!$B$11:$BY$85,75,0))</f>
        <v>6.3</v>
      </c>
      <c r="FQ25" s="529" t="str">
        <f>IF(OR(ISNA(VLOOKUP($B25,'TICH LUY'!$B$11:$BY$85,76,0)),$B25=""),"",VLOOKUP($B25,'TICH LUY'!$B$11:$BY$85,76,0))</f>
        <v/>
      </c>
      <c r="FR25" s="455">
        <f t="shared" si="69"/>
        <v>5.0999999999999996</v>
      </c>
      <c r="FS25" s="456">
        <f t="shared" si="70"/>
        <v>7.4</v>
      </c>
      <c r="FT25" s="456">
        <f t="shared" si="71"/>
        <v>6.2</v>
      </c>
      <c r="FU25" s="456">
        <f t="shared" si="72"/>
        <v>4.8</v>
      </c>
      <c r="FV25" s="456">
        <f t="shared" si="73"/>
        <v>5.7</v>
      </c>
      <c r="FW25" s="456">
        <f t="shared" si="74"/>
        <v>4.8</v>
      </c>
      <c r="FX25" s="456" t="str">
        <f t="shared" si="75"/>
        <v/>
      </c>
      <c r="FY25" s="456" t="str">
        <f t="shared" si="76"/>
        <v/>
      </c>
      <c r="FZ25" s="456" t="str">
        <f t="shared" si="77"/>
        <v/>
      </c>
      <c r="GA25" s="456">
        <f t="shared" si="78"/>
        <v>6</v>
      </c>
      <c r="GB25" s="459">
        <f t="shared" si="79"/>
        <v>7</v>
      </c>
      <c r="GC25" s="457">
        <f t="shared" si="23"/>
        <v>5.65</v>
      </c>
    </row>
    <row r="26" spans="1:185" s="221" customFormat="1" ht="15.75">
      <c r="A26" s="449">
        <f>IF(B26="","",SUBTOTAL(3,$B$11:B26))</f>
        <v>16</v>
      </c>
      <c r="B26" s="198" t="s">
        <v>2050</v>
      </c>
      <c r="C26" s="450" t="str">
        <f>IF($B26="","",VLOOKUP($B26,'DS LOP HKI'!$B$2:$F$2642,2,0))</f>
        <v>Trịnh Đại</v>
      </c>
      <c r="D26" s="451" t="str">
        <f>IF($B26="","",VLOOKUP($B26,'DS LOP HKI'!$B$2:$F$2642,3,0))</f>
        <v>Lăng</v>
      </c>
      <c r="E26" s="154"/>
      <c r="F26" s="152"/>
      <c r="G26" s="156">
        <v>0</v>
      </c>
      <c r="H26" s="181">
        <f>IF(OR($H$6="",$H$7=""),"",IF($B26="","",IF(ISNA(VLOOKUP($B26,'LT01'!$B$11:$R$75,13,FALSE)),"",IF(VLOOKUP($B26,'LT01'!$B$11:$R$75,13,FALSE)="","",VLOOKUP($B26,'LT01'!$B$11:$R$75,13,FALSE)))))</f>
        <v>3.4</v>
      </c>
      <c r="I26" s="182">
        <f>IF(OR($H$6="",$H$7=""),"",IF($B26="","",IF(ISNA(VLOOKUP($B26,'LT01'!$B$11:$R$75,14,FALSE)),"",VLOOKUP($B26,'LT01'!$B$11:$R$75,14,FALSE))))</f>
        <v>4.7</v>
      </c>
      <c r="J26" s="183"/>
      <c r="K26" s="182" t="str">
        <f>IF(OR($H$6="",$H$7=""),"",IF($B26="","",IF(ISNA(VLOOKUP($B26,'LT01'!$B$11:$R$75,17,FALSE)),"",VLOOKUP($B26,'LT01'!$B$11:$R$75,17,FALSE))))</f>
        <v/>
      </c>
      <c r="L26" s="185">
        <f>IF(OR($H$6="",$H$7=""),"",IF($B26="","",IF(ISNA(VLOOKUP($B26,'LT02'!$B$11:$R$75,13,FALSE)),"",IF(VLOOKUP($B26,'LT02'!$B$11:$R$75,13,FALSE)="","",VLOOKUP($B26,'LT02'!$B$11:$R$75,13,FALSE)))))</f>
        <v>5.3</v>
      </c>
      <c r="M26" s="182">
        <f>IF(OR($H$6="",$H$7=""),"",IF($B26="","",IF(ISNA(VLOOKUP($B26,'LT02'!$B$11:$R$75,14,FALSE)),"",VLOOKUP($B26,'LT02'!$B$11:$R$75,14,FALSE))))</f>
        <v>5.0999999999999996</v>
      </c>
      <c r="N26" s="183"/>
      <c r="O26" s="182" t="str">
        <f>IF(OR($H$6="",$H$7=""),"",IF($B26="","",IF(ISNA(VLOOKUP($B26,'LT02'!$B$11:$R$75,17,FALSE)),"",VLOOKUP($B26,'LT02'!$B$11:$R$75,17,FALSE))))</f>
        <v/>
      </c>
      <c r="P26" s="185">
        <f>IF(OR($H$6="",$H$7=""),"",IF($B26="","",IF(ISNA(VLOOKUP($B26,'LT03'!$B$11:$R$75,13,FALSE)),"",IF(VLOOKUP($B26,'LT03'!$B$11:$R$75,13,FALSE)="","",VLOOKUP($B26,'LT03'!$B$11:$R$75,13,FALSE)))))</f>
        <v>4.8</v>
      </c>
      <c r="Q26" s="182">
        <f>IF(OR($H$6="",$H$7=""),"",IF($B26="","",IF(ISNA(VLOOKUP($B26,'LT03'!$B$11:$R$75,14,FALSE)),"",VLOOKUP($B26,'LT03'!$B$11:$R$75,14,FALSE))))</f>
        <v>5.3</v>
      </c>
      <c r="R26" s="183"/>
      <c r="S26" s="182" t="str">
        <f>IF(OR($H$6="",$H$7=""),"",IF($B26="","",IF(ISNA(VLOOKUP($B26,'LT03'!$B$11:$R$75,17,FALSE)),"",VLOOKUP($B26,'LT03'!$B$11:$R$75,17,FALSE))))</f>
        <v/>
      </c>
      <c r="T26" s="185">
        <f>IF(OR($H$6="",$H$7=""),"",IF($B26="","",IF(ISNA(VLOOKUP($B26,'LT04'!$B$11:$R$75,13,FALSE)),"",IF(VLOOKUP($B26,'LT04'!$B$11:$R$75,13,FALSE)="","",VLOOKUP($B26,'LT04'!$B$11:$R$75,13,FALSE)))))</f>
        <v>0.8</v>
      </c>
      <c r="U26" s="182">
        <f>IF(OR($H$6="",$H$7=""),"",IF($B26="","",IF(ISNA(VLOOKUP($B26,'LT04'!$B$11:$R$75,14,FALSE)),"",VLOOKUP($B26,'LT04'!$B$11:$R$75,14,FALSE))))</f>
        <v>2.8</v>
      </c>
      <c r="V26" s="183"/>
      <c r="W26" s="184" t="str">
        <f>IF(OR($H$6="",$H$7=""),"",IF($B26="","",IF(ISNA(VLOOKUP($B26,'LT04'!$B$11:$R$75,17,FALSE)),"",VLOOKUP($B26,'LT04'!$B$11:$R$75,17,FALSE))))</f>
        <v/>
      </c>
      <c r="X26" s="185">
        <f>IF(OR($H$6="",$H$7=""),"",IF($B26="","",IF(ISNA(VLOOKUP($B26,'LT05'!$B$11:$R$75,13,FALSE)),"",IF(VLOOKUP($B26,'LT05'!$B$11:$R$75,13,FALSE)="","",VLOOKUP($B26,'LT05'!$B$11:$R$75,13,FALSE)))))</f>
        <v>5</v>
      </c>
      <c r="Y26" s="182">
        <f>IF(OR($H$6="",$H$7=""),"",IF($B26="","",IF(ISNA(VLOOKUP($B26,'LT05'!$B$11:$R$75,14,FALSE)),"",VLOOKUP($B26,'LT05'!$B$11:$R$75,14,FALSE))))</f>
        <v>4.3</v>
      </c>
      <c r="Z26" s="183"/>
      <c r="AA26" s="182" t="str">
        <f>IF(OR($H$6="",$H$7=""),"",IF($B26="","",IF(ISNA(VLOOKUP($B26,'LT05'!$B$11:$R$75,17,FALSE)),"",VLOOKUP($B26,'LT05'!$B$11:$R$75,17,FALSE))))</f>
        <v/>
      </c>
      <c r="AB26" s="185">
        <f>IF(OR($H$6="",$H$7=""),"",IF($B26="","",IF(ISNA(VLOOKUP($B26,'LT06'!$B$11:$R$75,13,FALSE)),"",IF(VLOOKUP($B26,'LT06'!$B$11:$R$75,13,FALSE)="","",VLOOKUP($B26,'LT06'!$B$11:$R$75,13,FALSE)))))</f>
        <v>6.3</v>
      </c>
      <c r="AC26" s="182">
        <f>IF(OR($H$6="",$H$7=""),"",IF($B26="","",IF(ISNA(VLOOKUP($B26,'LT06'!$B$11:$R$75,14,FALSE)),"",VLOOKUP($B26,'LT06'!$B$11:$R$75,14,FALSE))))</f>
        <v>4.9000000000000004</v>
      </c>
      <c r="AD26" s="183"/>
      <c r="AE26" s="182" t="str">
        <f>IF(OR($H$6="",$H$7=""),"",IF($B26="","",IF(ISNA(VLOOKUP($B26,'LT06'!$B$11:$R$75,17,FALSE)),"",VLOOKUP($B26,'LT06'!$B$11:$R$75,17,FALSE))))</f>
        <v/>
      </c>
      <c r="AF26" s="185" t="str">
        <f>IF(OR($H$6="",$H$7=""),"",IF($B26="","",IF(ISNA(VLOOKUP($B26,'LT07'!$B$11:$R$75,13,FALSE)),"",IF(VLOOKUP($B26,'LT07'!$B$11:$R$75,13,FALSE)="","",VLOOKUP($B26,'LT07'!$B$11:$R$75,13,FALSE)))))</f>
        <v/>
      </c>
      <c r="AG26" s="182" t="str">
        <f>IF(OR($H$6="",$H$7=""),"",IF($B26="","",IF(ISNA(VLOOKUP($B26,'LT07'!$B$11:$R$75,14,FALSE)),"",VLOOKUP($B26,'LT07'!$B$11:$R$75,14,FALSE))))</f>
        <v/>
      </c>
      <c r="AH26" s="183"/>
      <c r="AI26" s="182" t="str">
        <f>IF(OR($H$6="",$H$7=""),"",IF($B26="","",IF(ISNA(VLOOKUP($B26,'LT07'!$B$11:$R$75,17,FALSE)),"",VLOOKUP($B26,'LT07'!$B$11:$R$75,17,FALSE))))</f>
        <v/>
      </c>
      <c r="AJ26" s="185" t="str">
        <f>IF(OR($H$6="",$H$7=""),"",IF($B26="","",IF(ISNA(VLOOKUP($B26,'LT08'!$B$11:$R$75,13,FALSE)),"",IF(VLOOKUP($B26,'LT08'!$B$11:$R$75,13,FALSE)="","",VLOOKUP($B26,'LT08'!$B$11:$R$75,13,FALSE)))))</f>
        <v/>
      </c>
      <c r="AK26" s="182" t="str">
        <f>IF(OR($H$6="",$H$7=""),"",IF($B26="","",IF(ISNA(VLOOKUP($B26,'LT08'!$B$11:$R$75,14,FALSE)),"",VLOOKUP($B26,'LT08'!$B$11:$R$75,14,FALSE))))</f>
        <v/>
      </c>
      <c r="AL26" s="183"/>
      <c r="AM26" s="182" t="str">
        <f>IF(OR($H$6="",$H$7=""),"",IF($B26="","",IF(ISNA(VLOOKUP($B26,'LT08'!$B$11:$R$75,17,FALSE)),"",VLOOKUP($B26,'LT08'!$B$11:$R$75,17,FALSE))))</f>
        <v/>
      </c>
      <c r="AN26" s="185" t="str">
        <f>IF(OR($H$6="",$H$7=""),"",IF($B26="","",IF(ISNA(VLOOKUP($B26,'LT09'!$B$11:$R$75,13,FALSE)),"",IF(VLOOKUP($B26,'LT09'!$B$11:$R$75,13,FALSE)="","",VLOOKUP($B26,'LT09'!$B$11:$R$75,13,FALSE)))))</f>
        <v/>
      </c>
      <c r="AO26" s="182" t="str">
        <f>IF(OR($H$6="",$H$7=""),"",IF($B26="","",IF(ISNA(VLOOKUP($B26,'LT09'!$B$11:$R$75,14,FALSE)),"",VLOOKUP($B26,'LT09'!$B$11:$R$75,14,FALSE))))</f>
        <v/>
      </c>
      <c r="AP26" s="183"/>
      <c r="AQ26" s="182" t="str">
        <f>IF(OR($H$6="",$H$7=""),"",IF($B26="","",IF(ISNA(VLOOKUP($B26,'LT09'!$B$11:$R$75,17,FALSE)),"",VLOOKUP($B26,'LT09'!$B$11:$R$75,17,FALSE))))</f>
        <v/>
      </c>
      <c r="AR26" s="186"/>
      <c r="AS26" s="182">
        <f>IF(OR($H$6="",$H$7=""),"",IF($B26="","",IF(ISNA(VLOOKUP($B26,'TH01'!$B$11:$R$75,14,FALSE)),"",VLOOKUP($B26,'TH01'!$B$11:$R$75,14,FALSE))))</f>
        <v>4.5</v>
      </c>
      <c r="AT26" s="183"/>
      <c r="AU26" s="187"/>
      <c r="AV26" s="186"/>
      <c r="AW26" s="182">
        <f>IF(OR($H$6="",$H$7=""),"",IF($B26="","",IF(ISNA(VLOOKUP($B26,'TH02'!$B$11:$R$75,14,FALSE)),"",VLOOKUP($B26,'TH02'!$B$11:$R$75,14,FALSE))))</f>
        <v>7.3</v>
      </c>
      <c r="AX26" s="183"/>
      <c r="AY26" s="187"/>
      <c r="AZ26" s="54">
        <f t="shared" si="24"/>
        <v>4.9000000000000004</v>
      </c>
      <c r="BA26" s="54" t="str">
        <f t="shared" si="0"/>
        <v/>
      </c>
      <c r="BB26" s="70">
        <v>53</v>
      </c>
      <c r="BC26" s="52" t="str">
        <f t="shared" si="25"/>
        <v>TBY</v>
      </c>
      <c r="BD26" s="52" t="str">
        <f t="shared" si="26"/>
        <v/>
      </c>
      <c r="BE26" s="52" t="str">
        <f t="shared" si="1"/>
        <v/>
      </c>
      <c r="BF26" s="149" t="str">
        <f t="shared" si="2"/>
        <v/>
      </c>
      <c r="BG26" s="52">
        <f t="shared" si="3"/>
        <v>16</v>
      </c>
      <c r="BH26" s="52">
        <f t="shared" si="27"/>
        <v>2</v>
      </c>
      <c r="BI26" s="52">
        <f t="shared" si="4"/>
        <v>16</v>
      </c>
      <c r="BJ26" s="52">
        <f t="shared" si="5"/>
        <v>2</v>
      </c>
      <c r="BK26" s="54">
        <f t="shared" si="6"/>
        <v>5.64</v>
      </c>
      <c r="BL26" s="54" t="str">
        <f t="shared" si="7"/>
        <v>BT</v>
      </c>
      <c r="BM26" s="54">
        <f t="shared" si="8"/>
        <v>5.64</v>
      </c>
      <c r="BN26" s="54" t="str">
        <f t="shared" si="9"/>
        <v>BT</v>
      </c>
      <c r="BO26" s="70"/>
      <c r="BP26" s="52">
        <f>IF(ISNA(VLOOKUP(B26,'TICH LUY'!B:D,2,0)),"",VLOOKUP(B26,'TICH LUY'!B:D,2,0)+BI26)</f>
        <v>55</v>
      </c>
      <c r="BQ26" s="52">
        <f>IF(ISNA(VLOOKUP(B26,'TICH LUY'!B:D,3,0)),"",VLOOKUP(B26,'TICH LUY'!B:D,3,0)+BJ26)</f>
        <v>2</v>
      </c>
      <c r="BR26" s="40">
        <f t="shared" si="10"/>
        <v>4</v>
      </c>
      <c r="BS26" s="452">
        <f t="shared" si="11"/>
        <v>3.4</v>
      </c>
      <c r="BT26" s="452">
        <f t="shared" si="12"/>
        <v>5.3</v>
      </c>
      <c r="BU26" s="452">
        <f t="shared" si="13"/>
        <v>4.8</v>
      </c>
      <c r="BV26" s="452">
        <f t="shared" si="14"/>
        <v>0.8</v>
      </c>
      <c r="BW26" s="452">
        <f t="shared" si="15"/>
        <v>5</v>
      </c>
      <c r="BX26" s="452">
        <f t="shared" si="16"/>
        <v>6.3</v>
      </c>
      <c r="BY26" s="452" t="str">
        <f t="shared" si="17"/>
        <v/>
      </c>
      <c r="BZ26" s="452" t="str">
        <f t="shared" si="28"/>
        <v/>
      </c>
      <c r="CA26" s="452" t="str">
        <f t="shared" si="29"/>
        <v/>
      </c>
      <c r="CB26" s="452">
        <f t="shared" si="30"/>
        <v>4.5</v>
      </c>
      <c r="CC26" s="452">
        <f t="shared" si="18"/>
        <v>7.3</v>
      </c>
      <c r="CD26" s="40">
        <f t="shared" si="31"/>
        <v>1</v>
      </c>
      <c r="CE26" s="453">
        <f t="shared" si="80"/>
        <v>4.7</v>
      </c>
      <c r="CF26" s="452">
        <f t="shared" si="32"/>
        <v>5.0999999999999996</v>
      </c>
      <c r="CG26" s="452">
        <f t="shared" si="81"/>
        <v>5.3</v>
      </c>
      <c r="CH26" s="452">
        <f t="shared" si="82"/>
        <v>2.8</v>
      </c>
      <c r="CI26" s="452">
        <f t="shared" si="83"/>
        <v>4.3</v>
      </c>
      <c r="CJ26" s="452">
        <f t="shared" si="84"/>
        <v>4.9000000000000004</v>
      </c>
      <c r="CK26" s="452" t="str">
        <f t="shared" si="85"/>
        <v/>
      </c>
      <c r="CL26" s="452" t="str">
        <f t="shared" si="33"/>
        <v/>
      </c>
      <c r="CM26" s="452" t="str">
        <f t="shared" si="34"/>
        <v/>
      </c>
      <c r="CN26" s="452">
        <f t="shared" si="35"/>
        <v>4.5</v>
      </c>
      <c r="CO26" s="452">
        <f t="shared" si="19"/>
        <v>7.3</v>
      </c>
      <c r="CP26" s="454">
        <f t="shared" si="36"/>
        <v>4.9000000000000004</v>
      </c>
      <c r="CQ26" s="527">
        <f>IF(OR(ISNA(VLOOKUP($B26,'TICH LUY'!$B$11:$BY$85,54,0)),$B26=""),"",VLOOKUP($B26,'TICH LUY'!$B$11:$BY$85,54,0))</f>
        <v>5.2</v>
      </c>
      <c r="CR26" s="507">
        <f>IF(OR(ISNA(VLOOKUP($B26,'TICH LUY'!$B$11:$BY$85,55,0)),$B26=""),"",VLOOKUP($B26,'TICH LUY'!$B$11:$BY$85,55,0))</f>
        <v>6</v>
      </c>
      <c r="CS26" s="507">
        <f>IF(OR(ISNA(VLOOKUP($B26,'TICH LUY'!$B$11:$BY$85,56,0)),$B26=""),"",VLOOKUP($B26,'TICH LUY'!$B$11:$BY$85,56,0))</f>
        <v>6.3</v>
      </c>
      <c r="CT26" s="507">
        <f>IF(OR(ISNA(VLOOKUP($B26,'TICH LUY'!$B$11:$BY$85,57,0)),$B26=""),"",VLOOKUP($B26,'TICH LUY'!$B$11:$BY$85,57,0))</f>
        <v>5.2</v>
      </c>
      <c r="CU26" s="507">
        <f>IF(OR(ISNA(VLOOKUP($B26,'TICH LUY'!$B$11:$BY$85,58,0)),$B26=""),"",VLOOKUP($B26,'TICH LUY'!$B$11:$BY$85,58,0))</f>
        <v>6.2</v>
      </c>
      <c r="CV26" s="507">
        <f>IF(OR(ISNA(VLOOKUP($B26,'TICH LUY'!$B$11:$BY$85,59,0)),$B26=""),"",VLOOKUP($B26,'TICH LUY'!$B$11:$BY$85,59,0))</f>
        <v>4.5999999999999996</v>
      </c>
      <c r="CW26" s="507">
        <f>IF(OR(ISNA(VLOOKUP($B26,'TICH LUY'!$B$11:$BY$85,60,0)),$B26=""),"",VLOOKUP($B26,'TICH LUY'!$B$11:$BY$85,60,0))</f>
        <v>6.6</v>
      </c>
      <c r="CX26" s="507" t="str">
        <f>IF(OR(ISNA(VLOOKUP($B26,'TICH LUY'!$B$11:$BY$85,61,0)),$B26=""),"",VLOOKUP($B26,'TICH LUY'!$B$11:$BY$85,61,0))</f>
        <v/>
      </c>
      <c r="CY26" s="507" t="str">
        <f>IF(OR(ISNA(VLOOKUP($B26,'TICH LUY'!$B$11:$BY$85,62,0)),$B26=""),"",VLOOKUP($B26,'TICH LUY'!$B$11:$BY$85,62,0))</f>
        <v/>
      </c>
      <c r="CZ26" s="507">
        <f>IF(OR(ISNA(VLOOKUP($B26,'TICH LUY'!$B$11:$BY$85,63,0)),$B26=""),"",VLOOKUP($B26,'TICH LUY'!$B$11:$BY$85,63,0))</f>
        <v>6.4</v>
      </c>
      <c r="DA26" s="507">
        <f>IF(OR(ISNA(VLOOKUP($B26,'TICH LUY'!$B$11:$BY$85,64,0)),$B26=""),"",VLOOKUP($B26,'TICH LUY'!$B$11:$BY$85,64,0))</f>
        <v>5.7</v>
      </c>
      <c r="DB26" s="507" t="str">
        <f>IF(OR(ISNA(VLOOKUP($B26,'TICH LUY'!$B$11:$BY$85,65,0)),$B26=""),"",VLOOKUP($B26,'TICH LUY'!$B$11:$BY$85,65,0))</f>
        <v/>
      </c>
      <c r="DC26" s="507">
        <f>IF(OR(ISNA(VLOOKUP($B26,'TICH LUY'!$B$11:$BY$85,66,0)),$B26=""),"",VLOOKUP($B26,'TICH LUY'!$B$11:$BY$85,66,0))</f>
        <v>7.8</v>
      </c>
      <c r="DD26" s="507">
        <f>IF(OR(ISNA(VLOOKUP($B26,'TICH LUY'!$B$11:$BY$85,67,0)),$B26=""),"",VLOOKUP($B26,'TICH LUY'!$B$11:$BY$85,67,0))</f>
        <v>5.4</v>
      </c>
      <c r="DE26" s="507">
        <f>IF(OR(ISNA(VLOOKUP($B26,'TICH LUY'!$B$11:$BY$85,68,0)),$B26=""),"",VLOOKUP($B26,'TICH LUY'!$B$11:$BY$85,68,0))</f>
        <v>7.2</v>
      </c>
      <c r="DF26" s="507">
        <f>IF(OR(ISNA(VLOOKUP($B26,'TICH LUY'!$B$11:$BY$85,69,0)),$B26=""),"",VLOOKUP($B26,'TICH LUY'!$B$11:$BY$85,69,0))</f>
        <v>6</v>
      </c>
      <c r="DG26" s="507">
        <f>IF(OR(ISNA(VLOOKUP($B26,'TICH LUY'!$B$11:$BY$85,70,0)),$B26=""),"",VLOOKUP($B26,'TICH LUY'!$B$11:$BY$85,70,0))</f>
        <v>4.7</v>
      </c>
      <c r="DH26" s="507">
        <f>IF(OR(ISNA(VLOOKUP($B26,'TICH LUY'!$B$11:$BY$85,71,0)),$B26=""),"",VLOOKUP($B26,'TICH LUY'!$B$11:$BY$85,71,0))</f>
        <v>7</v>
      </c>
      <c r="DI26" s="507" t="str">
        <f>IF(OR(ISNA(VLOOKUP($B26,'TICH LUY'!$B$11:$BY$85,72,0)),$B26=""),"",VLOOKUP($B26,'TICH LUY'!$B$11:$BY$85,72,0))</f>
        <v/>
      </c>
      <c r="DJ26" s="507" t="str">
        <f>IF(OR(ISNA(VLOOKUP($B26,'TICH LUY'!$B$11:$BY$85,73,0)),$B26=""),"",VLOOKUP($B26,'TICH LUY'!$B$11:$BY$85,73,0))</f>
        <v/>
      </c>
      <c r="DK26" s="507" t="str">
        <f>IF(OR(ISNA(VLOOKUP($B26,'TICH LUY'!$B$11:$BY$85,74,0)),$B26=""),"",VLOOKUP($B26,'TICH LUY'!$B$11:$BY$85,74,0))</f>
        <v/>
      </c>
      <c r="DL26" s="507">
        <f>IF(OR(ISNA(VLOOKUP($B26,'TICH LUY'!$B$11:$BY$85,75,0)),$B26=""),"",VLOOKUP($B26,'TICH LUY'!$B$11:$BY$85,75,0))</f>
        <v>5.0999999999999996</v>
      </c>
      <c r="DM26" s="529" t="str">
        <f>IF(OR(ISNA(VLOOKUP($B26,'TICH LUY'!$B$11:$BY$85,76,0)),$B26=""),"",VLOOKUP($B26,'TICH LUY'!$B$11:$BY$85,76,0))</f>
        <v/>
      </c>
      <c r="DN26" s="455">
        <f t="shared" si="37"/>
        <v>4.7</v>
      </c>
      <c r="DO26" s="456">
        <f t="shared" si="38"/>
        <v>5.0999999999999996</v>
      </c>
      <c r="DP26" s="456">
        <f t="shared" si="39"/>
        <v>5.3</v>
      </c>
      <c r="DQ26" s="456" t="str">
        <f t="shared" si="40"/>
        <v/>
      </c>
      <c r="DR26" s="456">
        <f t="shared" si="41"/>
        <v>4.3</v>
      </c>
      <c r="DS26" s="456">
        <f t="shared" si="42"/>
        <v>4.9000000000000004</v>
      </c>
      <c r="DT26" s="456" t="str">
        <f t="shared" si="43"/>
        <v/>
      </c>
      <c r="DU26" s="456" t="str">
        <f t="shared" si="44"/>
        <v/>
      </c>
      <c r="DV26" s="456" t="str">
        <f t="shared" si="45"/>
        <v/>
      </c>
      <c r="DW26" s="456">
        <f t="shared" si="46"/>
        <v>4.5</v>
      </c>
      <c r="DX26" s="456">
        <f t="shared" si="47"/>
        <v>7.3</v>
      </c>
      <c r="DY26" s="457">
        <f t="shared" si="48"/>
        <v>5.64</v>
      </c>
      <c r="DZ26" s="453" t="str">
        <f t="shared" si="49"/>
        <v/>
      </c>
      <c r="EA26" s="452" t="str">
        <f t="shared" si="50"/>
        <v/>
      </c>
      <c r="EB26" s="452" t="str">
        <f t="shared" si="51"/>
        <v/>
      </c>
      <c r="EC26" s="452" t="str">
        <f t="shared" si="52"/>
        <v/>
      </c>
      <c r="ED26" s="452" t="str">
        <f t="shared" si="53"/>
        <v/>
      </c>
      <c r="EE26" s="452" t="str">
        <f t="shared" si="54"/>
        <v/>
      </c>
      <c r="EF26" s="452" t="str">
        <f t="shared" si="55"/>
        <v/>
      </c>
      <c r="EG26" s="452" t="str">
        <f t="shared" si="56"/>
        <v/>
      </c>
      <c r="EH26" s="452" t="str">
        <f t="shared" si="57"/>
        <v/>
      </c>
      <c r="EI26" s="453">
        <f t="shared" si="58"/>
        <v>4.7</v>
      </c>
      <c r="EJ26" s="452">
        <f t="shared" si="59"/>
        <v>5.0999999999999996</v>
      </c>
      <c r="EK26" s="452">
        <f t="shared" si="60"/>
        <v>5.3</v>
      </c>
      <c r="EL26" s="452">
        <f t="shared" si="61"/>
        <v>2.8</v>
      </c>
      <c r="EM26" s="452">
        <f t="shared" si="62"/>
        <v>4.3</v>
      </c>
      <c r="EN26" s="452">
        <f t="shared" si="63"/>
        <v>4.9000000000000004</v>
      </c>
      <c r="EO26" s="452" t="str">
        <f t="shared" si="64"/>
        <v/>
      </c>
      <c r="EP26" s="452" t="str">
        <f t="shared" si="65"/>
        <v/>
      </c>
      <c r="EQ26" s="452" t="str">
        <f t="shared" si="66"/>
        <v/>
      </c>
      <c r="ER26" s="452">
        <f t="shared" si="67"/>
        <v>4.5</v>
      </c>
      <c r="ES26" s="452">
        <f t="shared" si="21"/>
        <v>7.3</v>
      </c>
      <c r="ET26" s="458" t="str">
        <f t="shared" si="68"/>
        <v/>
      </c>
      <c r="EU26" s="527">
        <f>IF(OR(ISNA(VLOOKUP($B26,'TICH LUY'!$B$11:$BY$85,54,0)),$B26=""),"",VLOOKUP($B26,'TICH LUY'!$B$11:$BY$85,54,0))</f>
        <v>5.2</v>
      </c>
      <c r="EV26" s="507">
        <f>IF(OR(ISNA(VLOOKUP($B26,'TICH LUY'!$B$11:$BY$85,55,0)),$B26=""),"",VLOOKUP($B26,'TICH LUY'!$B$11:$BY$85,55,0))</f>
        <v>6</v>
      </c>
      <c r="EW26" s="507">
        <f>IF(OR(ISNA(VLOOKUP($B26,'TICH LUY'!$B$11:$BY$85,56,0)),$B26=""),"",VLOOKUP($B26,'TICH LUY'!$B$11:$BY$85,56,0))</f>
        <v>6.3</v>
      </c>
      <c r="EX26" s="507">
        <f>IF(OR(ISNA(VLOOKUP($B26,'TICH LUY'!$B$11:$BY$85,57,0)),$B26=""),"",VLOOKUP($B26,'TICH LUY'!$B$11:$BY$85,57,0))</f>
        <v>5.2</v>
      </c>
      <c r="EY26" s="507">
        <f>IF(OR(ISNA(VLOOKUP($B26,'TICH LUY'!$B$11:$BY$85,58,0)),$B26=""),"",VLOOKUP($B26,'TICH LUY'!$B$11:$BY$85,58,0))</f>
        <v>6.2</v>
      </c>
      <c r="EZ26" s="507">
        <f>IF(OR(ISNA(VLOOKUP($B26,'TICH LUY'!$B$11:$BY$85,59,0)),$B26=""),"",VLOOKUP($B26,'TICH LUY'!$B$11:$BY$85,59,0))</f>
        <v>4.5999999999999996</v>
      </c>
      <c r="FA26" s="507">
        <f>IF(OR(ISNA(VLOOKUP($B26,'TICH LUY'!$B$11:$BY$85,60,0)),$B26=""),"",VLOOKUP($B26,'TICH LUY'!$B$11:$BY$85,60,0))</f>
        <v>6.6</v>
      </c>
      <c r="FB26" s="507" t="str">
        <f>IF(OR(ISNA(VLOOKUP($B26,'TICH LUY'!$B$11:$BY$85,61,0)),$B26=""),"",VLOOKUP($B26,'TICH LUY'!$B$11:$BY$85,61,0))</f>
        <v/>
      </c>
      <c r="FC26" s="507" t="str">
        <f>IF(OR(ISNA(VLOOKUP($B26,'TICH LUY'!$B$11:$BY$85,62,0)),$B26=""),"",VLOOKUP($B26,'TICH LUY'!$B$11:$BY$85,62,0))</f>
        <v/>
      </c>
      <c r="FD26" s="507">
        <f>IF(OR(ISNA(VLOOKUP($B26,'TICH LUY'!$B$11:$BY$85,63,0)),$B26=""),"",VLOOKUP($B26,'TICH LUY'!$B$11:$BY$85,63,0))</f>
        <v>6.4</v>
      </c>
      <c r="FE26" s="507">
        <f>IF(OR(ISNA(VLOOKUP($B26,'TICH LUY'!$B$11:$BY$85,64,0)),$B26=""),"",VLOOKUP($B26,'TICH LUY'!$B$11:$BY$85,64,0))</f>
        <v>5.7</v>
      </c>
      <c r="FF26" s="507" t="str">
        <f>IF(OR(ISNA(VLOOKUP($B26,'TICH LUY'!$B$11:$BY$85,65,0)),$B26=""),"",VLOOKUP($B26,'TICH LUY'!$B$11:$BY$85,65,0))</f>
        <v/>
      </c>
      <c r="FG26" s="507">
        <f>IF(OR(ISNA(VLOOKUP($B26,'TICH LUY'!$B$11:$BY$85,66,0)),$B26=""),"",VLOOKUP($B26,'TICH LUY'!$B$11:$BY$85,66,0))</f>
        <v>7.8</v>
      </c>
      <c r="FH26" s="507">
        <f>IF(OR(ISNA(VLOOKUP($B26,'TICH LUY'!$B$11:$BY$85,67,0)),$B26=""),"",VLOOKUP($B26,'TICH LUY'!$B$11:$BY$85,67,0))</f>
        <v>5.4</v>
      </c>
      <c r="FI26" s="507">
        <f>IF(OR(ISNA(VLOOKUP($B26,'TICH LUY'!$B$11:$BY$85,68,0)),$B26=""),"",VLOOKUP($B26,'TICH LUY'!$B$11:$BY$85,68,0))</f>
        <v>7.2</v>
      </c>
      <c r="FJ26" s="507">
        <f>IF(OR(ISNA(VLOOKUP($B26,'TICH LUY'!$B$11:$BY$85,69,0)),$B26=""),"",VLOOKUP($B26,'TICH LUY'!$B$11:$BY$85,69,0))</f>
        <v>6</v>
      </c>
      <c r="FK26" s="507">
        <f>IF(OR(ISNA(VLOOKUP($B26,'TICH LUY'!$B$11:$BY$85,70,0)),$B26=""),"",VLOOKUP($B26,'TICH LUY'!$B$11:$BY$85,70,0))</f>
        <v>4.7</v>
      </c>
      <c r="FL26" s="507">
        <f>IF(OR(ISNA(VLOOKUP($B26,'TICH LUY'!$B$11:$BY$85,71,0)),$B26=""),"",VLOOKUP($B26,'TICH LUY'!$B$11:$BY$85,71,0))</f>
        <v>7</v>
      </c>
      <c r="FM26" s="507" t="str">
        <f>IF(OR(ISNA(VLOOKUP($B26,'TICH LUY'!$B$11:$BY$85,72,0)),$B26=""),"",VLOOKUP($B26,'TICH LUY'!$B$11:$BY$85,72,0))</f>
        <v/>
      </c>
      <c r="FN26" s="507" t="str">
        <f>IF(OR(ISNA(VLOOKUP($B26,'TICH LUY'!$B$11:$BY$85,73,0)),$B26=""),"",VLOOKUP($B26,'TICH LUY'!$B$11:$BY$85,73,0))</f>
        <v/>
      </c>
      <c r="FO26" s="507" t="str">
        <f>IF(OR(ISNA(VLOOKUP($B26,'TICH LUY'!$B$11:$BY$85,74,0)),$B26=""),"",VLOOKUP($B26,'TICH LUY'!$B$11:$BY$85,74,0))</f>
        <v/>
      </c>
      <c r="FP26" s="507">
        <f>IF(OR(ISNA(VLOOKUP($B26,'TICH LUY'!$B$11:$BY$85,75,0)),$B26=""),"",VLOOKUP($B26,'TICH LUY'!$B$11:$BY$85,75,0))</f>
        <v>5.0999999999999996</v>
      </c>
      <c r="FQ26" s="529" t="str">
        <f>IF(OR(ISNA(VLOOKUP($B26,'TICH LUY'!$B$11:$BY$85,76,0)),$B26=""),"",VLOOKUP($B26,'TICH LUY'!$B$11:$BY$85,76,0))</f>
        <v/>
      </c>
      <c r="FR26" s="455">
        <f t="shared" si="69"/>
        <v>4.7</v>
      </c>
      <c r="FS26" s="456">
        <f t="shared" si="70"/>
        <v>5.0999999999999996</v>
      </c>
      <c r="FT26" s="456">
        <f t="shared" si="71"/>
        <v>5.3</v>
      </c>
      <c r="FU26" s="456" t="str">
        <f t="shared" si="72"/>
        <v/>
      </c>
      <c r="FV26" s="456">
        <f t="shared" si="73"/>
        <v>4.3</v>
      </c>
      <c r="FW26" s="456">
        <f t="shared" si="74"/>
        <v>4.9000000000000004</v>
      </c>
      <c r="FX26" s="456" t="str">
        <f t="shared" si="75"/>
        <v/>
      </c>
      <c r="FY26" s="456" t="str">
        <f t="shared" si="76"/>
        <v/>
      </c>
      <c r="FZ26" s="456" t="str">
        <f t="shared" si="77"/>
        <v/>
      </c>
      <c r="GA26" s="456">
        <f t="shared" si="78"/>
        <v>4.5</v>
      </c>
      <c r="GB26" s="459">
        <f t="shared" si="79"/>
        <v>7.3</v>
      </c>
      <c r="GC26" s="457">
        <f t="shared" si="23"/>
        <v>5.64</v>
      </c>
    </row>
    <row r="27" spans="1:185" s="221" customFormat="1" ht="15.75">
      <c r="A27" s="449">
        <f>IF(B27="","",SUBTOTAL(3,$B$11:B27))</f>
        <v>17</v>
      </c>
      <c r="B27" s="198" t="s">
        <v>2054</v>
      </c>
      <c r="C27" s="450" t="str">
        <f>IF($B27="","",VLOOKUP($B27,'DS LOP HKI'!$B$2:$F$2642,2,0))</f>
        <v>Nguyễn Khánh</v>
      </c>
      <c r="D27" s="451" t="str">
        <f>IF($B27="","",VLOOKUP($B27,'DS LOP HKI'!$B$2:$F$2642,3,0))</f>
        <v>Linh</v>
      </c>
      <c r="E27" s="154"/>
      <c r="F27" s="152"/>
      <c r="G27" s="156">
        <v>1</v>
      </c>
      <c r="H27" s="181">
        <f>IF(OR($H$6="",$H$7=""),"",IF($B27="","",IF(ISNA(VLOOKUP($B27,'LT01'!$B$11:$R$75,13,FALSE)),"",IF(VLOOKUP($B27,'LT01'!$B$11:$R$75,13,FALSE)="","",VLOOKUP($B27,'LT01'!$B$11:$R$75,13,FALSE)))))</f>
        <v>4.5</v>
      </c>
      <c r="I27" s="182">
        <f>IF(OR($H$6="",$H$7=""),"",IF($B27="","",IF(ISNA(VLOOKUP($B27,'LT01'!$B$11:$R$75,14,FALSE)),"",VLOOKUP($B27,'LT01'!$B$11:$R$75,14,FALSE))))</f>
        <v>5.3</v>
      </c>
      <c r="J27" s="183"/>
      <c r="K27" s="182" t="str">
        <f>IF(OR($H$6="",$H$7=""),"",IF($B27="","",IF(ISNA(VLOOKUP($B27,'LT01'!$B$11:$R$75,17,FALSE)),"",VLOOKUP($B27,'LT01'!$B$11:$R$75,17,FALSE))))</f>
        <v/>
      </c>
      <c r="L27" s="185">
        <f>IF(OR($H$6="",$H$7=""),"",IF($B27="","",IF(ISNA(VLOOKUP($B27,'LT02'!$B$11:$R$75,13,FALSE)),"",IF(VLOOKUP($B27,'LT02'!$B$11:$R$75,13,FALSE)="","",VLOOKUP($B27,'LT02'!$B$11:$R$75,13,FALSE)))))</f>
        <v>5.8</v>
      </c>
      <c r="M27" s="182">
        <f>IF(OR($H$6="",$H$7=""),"",IF($B27="","",IF(ISNA(VLOOKUP($B27,'LT02'!$B$11:$R$75,14,FALSE)),"",VLOOKUP($B27,'LT02'!$B$11:$R$75,14,FALSE))))</f>
        <v>6.3</v>
      </c>
      <c r="N27" s="183"/>
      <c r="O27" s="182" t="str">
        <f>IF(OR($H$6="",$H$7=""),"",IF($B27="","",IF(ISNA(VLOOKUP($B27,'LT02'!$B$11:$R$75,17,FALSE)),"",VLOOKUP($B27,'LT02'!$B$11:$R$75,17,FALSE))))</f>
        <v/>
      </c>
      <c r="P27" s="185">
        <f>IF(OR($H$6="",$H$7=""),"",IF($B27="","",IF(ISNA(VLOOKUP($B27,'LT03'!$B$11:$R$75,13,FALSE)),"",IF(VLOOKUP($B27,'LT03'!$B$11:$R$75,13,FALSE)="","",VLOOKUP($B27,'LT03'!$B$11:$R$75,13,FALSE)))))</f>
        <v>6</v>
      </c>
      <c r="Q27" s="182">
        <f>IF(OR($H$6="",$H$7=""),"",IF($B27="","",IF(ISNA(VLOOKUP($B27,'LT03'!$B$11:$R$75,14,FALSE)),"",VLOOKUP($B27,'LT03'!$B$11:$R$75,14,FALSE))))</f>
        <v>6.7</v>
      </c>
      <c r="R27" s="183"/>
      <c r="S27" s="182" t="str">
        <f>IF(OR($H$6="",$H$7=""),"",IF($B27="","",IF(ISNA(VLOOKUP($B27,'LT03'!$B$11:$R$75,17,FALSE)),"",VLOOKUP($B27,'LT03'!$B$11:$R$75,17,FALSE))))</f>
        <v/>
      </c>
      <c r="T27" s="185">
        <f>IF(OR($H$6="",$H$7=""),"",IF($B27="","",IF(ISNA(VLOOKUP($B27,'LT04'!$B$11:$R$75,13,FALSE)),"",IF(VLOOKUP($B27,'LT04'!$B$11:$R$75,13,FALSE)="","",VLOOKUP($B27,'LT04'!$B$11:$R$75,13,FALSE)))))</f>
        <v>5.5</v>
      </c>
      <c r="U27" s="182">
        <f>IF(OR($H$6="",$H$7=""),"",IF($B27="","",IF(ISNA(VLOOKUP($B27,'LT04'!$B$11:$R$75,14,FALSE)),"",VLOOKUP($B27,'LT04'!$B$11:$R$75,14,FALSE))))</f>
        <v>5.8</v>
      </c>
      <c r="V27" s="183"/>
      <c r="W27" s="184" t="str">
        <f>IF(OR($H$6="",$H$7=""),"",IF($B27="","",IF(ISNA(VLOOKUP($B27,'LT04'!$B$11:$R$75,17,FALSE)),"",VLOOKUP($B27,'LT04'!$B$11:$R$75,17,FALSE))))</f>
        <v/>
      </c>
      <c r="X27" s="185">
        <f>IF(OR($H$6="",$H$7=""),"",IF($B27="","",IF(ISNA(VLOOKUP($B27,'LT05'!$B$11:$R$75,13,FALSE)),"",IF(VLOOKUP($B27,'LT05'!$B$11:$R$75,13,FALSE)="","",VLOOKUP($B27,'LT05'!$B$11:$R$75,13,FALSE)))))</f>
        <v>6.5</v>
      </c>
      <c r="Y27" s="182">
        <f>IF(OR($H$6="",$H$7=""),"",IF($B27="","",IF(ISNA(VLOOKUP($B27,'LT05'!$B$11:$R$75,14,FALSE)),"",VLOOKUP($B27,'LT05'!$B$11:$R$75,14,FALSE))))</f>
        <v>5.9</v>
      </c>
      <c r="Z27" s="183"/>
      <c r="AA27" s="182" t="str">
        <f>IF(OR($H$6="",$H$7=""),"",IF($B27="","",IF(ISNA(VLOOKUP($B27,'LT05'!$B$11:$R$75,17,FALSE)),"",VLOOKUP($B27,'LT05'!$B$11:$R$75,17,FALSE))))</f>
        <v/>
      </c>
      <c r="AB27" s="185">
        <f>IF(OR($H$6="",$H$7=""),"",IF($B27="","",IF(ISNA(VLOOKUP($B27,'LT06'!$B$11:$R$75,13,FALSE)),"",IF(VLOOKUP($B27,'LT06'!$B$11:$R$75,13,FALSE)="","",VLOOKUP($B27,'LT06'!$B$11:$R$75,13,FALSE)))))</f>
        <v>3</v>
      </c>
      <c r="AC27" s="182">
        <f>IF(OR($H$6="",$H$7=""),"",IF($B27="","",IF(ISNA(VLOOKUP($B27,'LT06'!$B$11:$R$75,14,FALSE)),"",VLOOKUP($B27,'LT06'!$B$11:$R$75,14,FALSE))))</f>
        <v>4.0999999999999996</v>
      </c>
      <c r="AD27" s="183"/>
      <c r="AE27" s="182" t="str">
        <f>IF(OR($H$6="",$H$7=""),"",IF($B27="","",IF(ISNA(VLOOKUP($B27,'LT06'!$B$11:$R$75,17,FALSE)),"",VLOOKUP($B27,'LT06'!$B$11:$R$75,17,FALSE))))</f>
        <v/>
      </c>
      <c r="AF27" s="185" t="str">
        <f>IF(OR($H$6="",$H$7=""),"",IF($B27="","",IF(ISNA(VLOOKUP($B27,'LT07'!$B$11:$R$75,13,FALSE)),"",IF(VLOOKUP($B27,'LT07'!$B$11:$R$75,13,FALSE)="","",VLOOKUP($B27,'LT07'!$B$11:$R$75,13,FALSE)))))</f>
        <v/>
      </c>
      <c r="AG27" s="182" t="str">
        <f>IF(OR($H$6="",$H$7=""),"",IF($B27="","",IF(ISNA(VLOOKUP($B27,'LT07'!$B$11:$R$75,14,FALSE)),"",VLOOKUP($B27,'LT07'!$B$11:$R$75,14,FALSE))))</f>
        <v/>
      </c>
      <c r="AH27" s="183"/>
      <c r="AI27" s="182" t="str">
        <f>IF(OR($H$6="",$H$7=""),"",IF($B27="","",IF(ISNA(VLOOKUP($B27,'LT07'!$B$11:$R$75,17,FALSE)),"",VLOOKUP($B27,'LT07'!$B$11:$R$75,17,FALSE))))</f>
        <v/>
      </c>
      <c r="AJ27" s="185" t="str">
        <f>IF(OR($H$6="",$H$7=""),"",IF($B27="","",IF(ISNA(VLOOKUP($B27,'LT08'!$B$11:$R$75,13,FALSE)),"",IF(VLOOKUP($B27,'LT08'!$B$11:$R$75,13,FALSE)="","",VLOOKUP($B27,'LT08'!$B$11:$R$75,13,FALSE)))))</f>
        <v/>
      </c>
      <c r="AK27" s="182" t="str">
        <f>IF(OR($H$6="",$H$7=""),"",IF($B27="","",IF(ISNA(VLOOKUP($B27,'LT08'!$B$11:$R$75,14,FALSE)),"",VLOOKUP($B27,'LT08'!$B$11:$R$75,14,FALSE))))</f>
        <v/>
      </c>
      <c r="AL27" s="183"/>
      <c r="AM27" s="182" t="str">
        <f>IF(OR($H$6="",$H$7=""),"",IF($B27="","",IF(ISNA(VLOOKUP($B27,'LT08'!$B$11:$R$75,17,FALSE)),"",VLOOKUP($B27,'LT08'!$B$11:$R$75,17,FALSE))))</f>
        <v/>
      </c>
      <c r="AN27" s="185" t="str">
        <f>IF(OR($H$6="",$H$7=""),"",IF($B27="","",IF(ISNA(VLOOKUP($B27,'LT09'!$B$11:$R$75,13,FALSE)),"",IF(VLOOKUP($B27,'LT09'!$B$11:$R$75,13,FALSE)="","",VLOOKUP($B27,'LT09'!$B$11:$R$75,13,FALSE)))))</f>
        <v/>
      </c>
      <c r="AO27" s="182" t="str">
        <f>IF(OR($H$6="",$H$7=""),"",IF($B27="","",IF(ISNA(VLOOKUP($B27,'LT09'!$B$11:$R$75,14,FALSE)),"",VLOOKUP($B27,'LT09'!$B$11:$R$75,14,FALSE))))</f>
        <v/>
      </c>
      <c r="AP27" s="183"/>
      <c r="AQ27" s="182" t="str">
        <f>IF(OR($H$6="",$H$7=""),"",IF($B27="","",IF(ISNA(VLOOKUP($B27,'LT09'!$B$11:$R$75,17,FALSE)),"",VLOOKUP($B27,'LT09'!$B$11:$R$75,17,FALSE))))</f>
        <v/>
      </c>
      <c r="AR27" s="186"/>
      <c r="AS27" s="182">
        <f>IF(OR($H$6="",$H$7=""),"",IF($B27="","",IF(ISNA(VLOOKUP($B27,'TH01'!$B$11:$R$75,14,FALSE)),"",VLOOKUP($B27,'TH01'!$B$11:$R$75,14,FALSE))))</f>
        <v>6.8</v>
      </c>
      <c r="AT27" s="183"/>
      <c r="AU27" s="187"/>
      <c r="AV27" s="186"/>
      <c r="AW27" s="182">
        <f>IF(OR($H$6="",$H$7=""),"",IF($B27="","",IF(ISNA(VLOOKUP($B27,'TH02'!$B$11:$R$75,14,FALSE)),"",VLOOKUP($B27,'TH02'!$B$11:$R$75,14,FALSE))))</f>
        <v>9</v>
      </c>
      <c r="AX27" s="183"/>
      <c r="AY27" s="187"/>
      <c r="AZ27" s="54">
        <f t="shared" si="24"/>
        <v>6.27</v>
      </c>
      <c r="BA27" s="54" t="str">
        <f t="shared" si="0"/>
        <v/>
      </c>
      <c r="BB27" s="70">
        <v>54</v>
      </c>
      <c r="BC27" s="52" t="str">
        <f t="shared" si="25"/>
        <v>TB</v>
      </c>
      <c r="BD27" s="52" t="str">
        <f t="shared" si="26"/>
        <v/>
      </c>
      <c r="BE27" s="52" t="str">
        <f t="shared" si="1"/>
        <v/>
      </c>
      <c r="BF27" s="149" t="str">
        <f t="shared" si="2"/>
        <v/>
      </c>
      <c r="BG27" s="52">
        <f t="shared" si="3"/>
        <v>18</v>
      </c>
      <c r="BH27" s="52">
        <f t="shared" si="27"/>
        <v>0</v>
      </c>
      <c r="BI27" s="52">
        <f t="shared" si="4"/>
        <v>18</v>
      </c>
      <c r="BJ27" s="52">
        <f t="shared" si="5"/>
        <v>0</v>
      </c>
      <c r="BK27" s="54">
        <f t="shared" si="6"/>
        <v>6.7</v>
      </c>
      <c r="BL27" s="54" t="str">
        <f t="shared" si="7"/>
        <v>BT</v>
      </c>
      <c r="BM27" s="54">
        <f t="shared" si="8"/>
        <v>6.7</v>
      </c>
      <c r="BN27" s="54" t="str">
        <f t="shared" si="9"/>
        <v>BT</v>
      </c>
      <c r="BO27" s="70"/>
      <c r="BP27" s="52">
        <f>IF(ISNA(VLOOKUP(B27,'TICH LUY'!B:D,2,0)),"",VLOOKUP(B27,'TICH LUY'!B:D,2,0)+BI27)</f>
        <v>57</v>
      </c>
      <c r="BQ27" s="52">
        <f>IF(ISNA(VLOOKUP(B27,'TICH LUY'!B:D,3,0)),"",VLOOKUP(B27,'TICH LUY'!B:D,3,0)+BJ27)</f>
        <v>0</v>
      </c>
      <c r="BR27" s="40">
        <f t="shared" si="10"/>
        <v>2</v>
      </c>
      <c r="BS27" s="452">
        <f t="shared" si="11"/>
        <v>4.5</v>
      </c>
      <c r="BT27" s="452">
        <f t="shared" si="12"/>
        <v>5.8</v>
      </c>
      <c r="BU27" s="452">
        <f t="shared" si="13"/>
        <v>6</v>
      </c>
      <c r="BV27" s="452">
        <f t="shared" si="14"/>
        <v>5.5</v>
      </c>
      <c r="BW27" s="452">
        <f t="shared" si="15"/>
        <v>6.5</v>
      </c>
      <c r="BX27" s="452">
        <f t="shared" si="16"/>
        <v>3</v>
      </c>
      <c r="BY27" s="452" t="str">
        <f t="shared" si="17"/>
        <v/>
      </c>
      <c r="BZ27" s="452" t="str">
        <f t="shared" si="28"/>
        <v/>
      </c>
      <c r="CA27" s="452" t="str">
        <f t="shared" si="29"/>
        <v/>
      </c>
      <c r="CB27" s="452">
        <f t="shared" si="30"/>
        <v>6.8</v>
      </c>
      <c r="CC27" s="452">
        <f t="shared" si="18"/>
        <v>9</v>
      </c>
      <c r="CD27" s="40">
        <f t="shared" si="31"/>
        <v>0</v>
      </c>
      <c r="CE27" s="453">
        <f t="shared" si="80"/>
        <v>5.3</v>
      </c>
      <c r="CF27" s="452">
        <f t="shared" si="32"/>
        <v>6.3</v>
      </c>
      <c r="CG27" s="452">
        <f t="shared" si="81"/>
        <v>6.7</v>
      </c>
      <c r="CH27" s="452">
        <f t="shared" si="82"/>
        <v>5.8</v>
      </c>
      <c r="CI27" s="452">
        <f t="shared" si="83"/>
        <v>5.9</v>
      </c>
      <c r="CJ27" s="452">
        <f t="shared" si="84"/>
        <v>4.0999999999999996</v>
      </c>
      <c r="CK27" s="452" t="str">
        <f t="shared" si="85"/>
        <v/>
      </c>
      <c r="CL27" s="452" t="str">
        <f t="shared" si="33"/>
        <v/>
      </c>
      <c r="CM27" s="452" t="str">
        <f t="shared" si="34"/>
        <v/>
      </c>
      <c r="CN27" s="452">
        <f t="shared" si="35"/>
        <v>6.8</v>
      </c>
      <c r="CO27" s="452">
        <f t="shared" si="19"/>
        <v>9</v>
      </c>
      <c r="CP27" s="454">
        <f t="shared" si="36"/>
        <v>6.27</v>
      </c>
      <c r="CQ27" s="527">
        <f>IF(OR(ISNA(VLOOKUP($B27,'TICH LUY'!$B$11:$BY$85,54,0)),$B27=""),"",VLOOKUP($B27,'TICH LUY'!$B$11:$BY$85,54,0))</f>
        <v>7.3</v>
      </c>
      <c r="CR27" s="507">
        <f>IF(OR(ISNA(VLOOKUP($B27,'TICH LUY'!$B$11:$BY$85,55,0)),$B27=""),"",VLOOKUP($B27,'TICH LUY'!$B$11:$BY$85,55,0))</f>
        <v>8.1</v>
      </c>
      <c r="CS27" s="507">
        <f>IF(OR(ISNA(VLOOKUP($B27,'TICH LUY'!$B$11:$BY$85,56,0)),$B27=""),"",VLOOKUP($B27,'TICH LUY'!$B$11:$BY$85,56,0))</f>
        <v>6.5</v>
      </c>
      <c r="CT27" s="507">
        <f>IF(OR(ISNA(VLOOKUP($B27,'TICH LUY'!$B$11:$BY$85,57,0)),$B27=""),"",VLOOKUP($B27,'TICH LUY'!$B$11:$BY$85,57,0))</f>
        <v>6</v>
      </c>
      <c r="CU27" s="507">
        <f>IF(OR(ISNA(VLOOKUP($B27,'TICH LUY'!$B$11:$BY$85,58,0)),$B27=""),"",VLOOKUP($B27,'TICH LUY'!$B$11:$BY$85,58,0))</f>
        <v>5.7</v>
      </c>
      <c r="CV27" s="507">
        <f>IF(OR(ISNA(VLOOKUP($B27,'TICH LUY'!$B$11:$BY$85,59,0)),$B27=""),"",VLOOKUP($B27,'TICH LUY'!$B$11:$BY$85,59,0))</f>
        <v>6.9</v>
      </c>
      <c r="CW27" s="507">
        <f>IF(OR(ISNA(VLOOKUP($B27,'TICH LUY'!$B$11:$BY$85,60,0)),$B27=""),"",VLOOKUP($B27,'TICH LUY'!$B$11:$BY$85,60,0))</f>
        <v>7.6</v>
      </c>
      <c r="CX27" s="507" t="str">
        <f>IF(OR(ISNA(VLOOKUP($B27,'TICH LUY'!$B$11:$BY$85,61,0)),$B27=""),"",VLOOKUP($B27,'TICH LUY'!$B$11:$BY$85,61,0))</f>
        <v/>
      </c>
      <c r="CY27" s="507" t="str">
        <f>IF(OR(ISNA(VLOOKUP($B27,'TICH LUY'!$B$11:$BY$85,62,0)),$B27=""),"",VLOOKUP($B27,'TICH LUY'!$B$11:$BY$85,62,0))</f>
        <v/>
      </c>
      <c r="CZ27" s="507">
        <f>IF(OR(ISNA(VLOOKUP($B27,'TICH LUY'!$B$11:$BY$85,63,0)),$B27=""),"",VLOOKUP($B27,'TICH LUY'!$B$11:$BY$85,63,0))</f>
        <v>7</v>
      </c>
      <c r="DA27" s="507">
        <f>IF(OR(ISNA(VLOOKUP($B27,'TICH LUY'!$B$11:$BY$85,64,0)),$B27=""),"",VLOOKUP($B27,'TICH LUY'!$B$11:$BY$85,64,0))</f>
        <v>5.9</v>
      </c>
      <c r="DB27" s="507">
        <f>IF(OR(ISNA(VLOOKUP($B27,'TICH LUY'!$B$11:$BY$85,65,0)),$B27=""),"",VLOOKUP($B27,'TICH LUY'!$B$11:$BY$85,65,0))</f>
        <v>6.2</v>
      </c>
      <c r="DC27" s="507">
        <f>IF(OR(ISNA(VLOOKUP($B27,'TICH LUY'!$B$11:$BY$85,66,0)),$B27=""),"",VLOOKUP($B27,'TICH LUY'!$B$11:$BY$85,66,0))</f>
        <v>8.5</v>
      </c>
      <c r="DD27" s="507" t="str">
        <f>IF(OR(ISNA(VLOOKUP($B27,'TICH LUY'!$B$11:$BY$85,67,0)),$B27=""),"",VLOOKUP($B27,'TICH LUY'!$B$11:$BY$85,67,0))</f>
        <v/>
      </c>
      <c r="DE27" s="507">
        <f>IF(OR(ISNA(VLOOKUP($B27,'TICH LUY'!$B$11:$BY$85,68,0)),$B27=""),"",VLOOKUP($B27,'TICH LUY'!$B$11:$BY$85,68,0))</f>
        <v>7.4</v>
      </c>
      <c r="DF27" s="507">
        <f>IF(OR(ISNA(VLOOKUP($B27,'TICH LUY'!$B$11:$BY$85,69,0)),$B27=""),"",VLOOKUP($B27,'TICH LUY'!$B$11:$BY$85,69,0))</f>
        <v>7.7</v>
      </c>
      <c r="DG27" s="507">
        <f>IF(OR(ISNA(VLOOKUP($B27,'TICH LUY'!$B$11:$BY$85,70,0)),$B27=""),"",VLOOKUP($B27,'TICH LUY'!$B$11:$BY$85,70,0))</f>
        <v>6.7</v>
      </c>
      <c r="DH27" s="507">
        <f>IF(OR(ISNA(VLOOKUP($B27,'TICH LUY'!$B$11:$BY$85,71,0)),$B27=""),"",VLOOKUP($B27,'TICH LUY'!$B$11:$BY$85,71,0))</f>
        <v>6.2</v>
      </c>
      <c r="DI27" s="507" t="str">
        <f>IF(OR(ISNA(VLOOKUP($B27,'TICH LUY'!$B$11:$BY$85,72,0)),$B27=""),"",VLOOKUP($B27,'TICH LUY'!$B$11:$BY$85,72,0))</f>
        <v/>
      </c>
      <c r="DJ27" s="507" t="str">
        <f>IF(OR(ISNA(VLOOKUP($B27,'TICH LUY'!$B$11:$BY$85,73,0)),$B27=""),"",VLOOKUP($B27,'TICH LUY'!$B$11:$BY$85,73,0))</f>
        <v/>
      </c>
      <c r="DK27" s="507" t="str">
        <f>IF(OR(ISNA(VLOOKUP($B27,'TICH LUY'!$B$11:$BY$85,74,0)),$B27=""),"",VLOOKUP($B27,'TICH LUY'!$B$11:$BY$85,74,0))</f>
        <v/>
      </c>
      <c r="DL27" s="507">
        <f>IF(OR(ISNA(VLOOKUP($B27,'TICH LUY'!$B$11:$BY$85,75,0)),$B27=""),"",VLOOKUP($B27,'TICH LUY'!$B$11:$BY$85,75,0))</f>
        <v>7</v>
      </c>
      <c r="DM27" s="529" t="str">
        <f>IF(OR(ISNA(VLOOKUP($B27,'TICH LUY'!$B$11:$BY$85,76,0)),$B27=""),"",VLOOKUP($B27,'TICH LUY'!$B$11:$BY$85,76,0))</f>
        <v/>
      </c>
      <c r="DN27" s="455">
        <f t="shared" si="37"/>
        <v>5.3</v>
      </c>
      <c r="DO27" s="456">
        <f t="shared" si="38"/>
        <v>6.3</v>
      </c>
      <c r="DP27" s="456">
        <f t="shared" si="39"/>
        <v>6.7</v>
      </c>
      <c r="DQ27" s="456">
        <f t="shared" si="40"/>
        <v>5.8</v>
      </c>
      <c r="DR27" s="456">
        <f t="shared" si="41"/>
        <v>5.9</v>
      </c>
      <c r="DS27" s="456">
        <f t="shared" si="42"/>
        <v>4.0999999999999996</v>
      </c>
      <c r="DT27" s="456" t="str">
        <f t="shared" si="43"/>
        <v/>
      </c>
      <c r="DU27" s="456" t="str">
        <f t="shared" si="44"/>
        <v/>
      </c>
      <c r="DV27" s="456" t="str">
        <f t="shared" si="45"/>
        <v/>
      </c>
      <c r="DW27" s="456">
        <f t="shared" si="46"/>
        <v>6.8</v>
      </c>
      <c r="DX27" s="456">
        <f t="shared" si="47"/>
        <v>9</v>
      </c>
      <c r="DY27" s="457">
        <f t="shared" si="48"/>
        <v>6.7</v>
      </c>
      <c r="DZ27" s="453" t="str">
        <f t="shared" si="49"/>
        <v/>
      </c>
      <c r="EA27" s="452" t="str">
        <f t="shared" si="50"/>
        <v/>
      </c>
      <c r="EB27" s="452" t="str">
        <f t="shared" si="51"/>
        <v/>
      </c>
      <c r="EC27" s="452" t="str">
        <f t="shared" si="52"/>
        <v/>
      </c>
      <c r="ED27" s="452" t="str">
        <f t="shared" si="53"/>
        <v/>
      </c>
      <c r="EE27" s="452" t="str">
        <f t="shared" si="54"/>
        <v/>
      </c>
      <c r="EF27" s="452" t="str">
        <f t="shared" si="55"/>
        <v/>
      </c>
      <c r="EG27" s="452" t="str">
        <f t="shared" si="56"/>
        <v/>
      </c>
      <c r="EH27" s="452" t="str">
        <f t="shared" si="57"/>
        <v/>
      </c>
      <c r="EI27" s="453">
        <f t="shared" si="58"/>
        <v>5.3</v>
      </c>
      <c r="EJ27" s="452">
        <f t="shared" si="59"/>
        <v>6.3</v>
      </c>
      <c r="EK27" s="452">
        <f t="shared" si="60"/>
        <v>6.7</v>
      </c>
      <c r="EL27" s="452">
        <f t="shared" si="61"/>
        <v>5.8</v>
      </c>
      <c r="EM27" s="452">
        <f t="shared" si="62"/>
        <v>5.9</v>
      </c>
      <c r="EN27" s="452">
        <f t="shared" si="63"/>
        <v>4.0999999999999996</v>
      </c>
      <c r="EO27" s="452" t="str">
        <f t="shared" si="64"/>
        <v/>
      </c>
      <c r="EP27" s="452" t="str">
        <f t="shared" si="65"/>
        <v/>
      </c>
      <c r="EQ27" s="452" t="str">
        <f t="shared" si="66"/>
        <v/>
      </c>
      <c r="ER27" s="452">
        <f t="shared" si="67"/>
        <v>6.8</v>
      </c>
      <c r="ES27" s="452">
        <f t="shared" si="21"/>
        <v>9</v>
      </c>
      <c r="ET27" s="458" t="str">
        <f t="shared" si="68"/>
        <v/>
      </c>
      <c r="EU27" s="527">
        <f>IF(OR(ISNA(VLOOKUP($B27,'TICH LUY'!$B$11:$BY$85,54,0)),$B27=""),"",VLOOKUP($B27,'TICH LUY'!$B$11:$BY$85,54,0))</f>
        <v>7.3</v>
      </c>
      <c r="EV27" s="507">
        <f>IF(OR(ISNA(VLOOKUP($B27,'TICH LUY'!$B$11:$BY$85,55,0)),$B27=""),"",VLOOKUP($B27,'TICH LUY'!$B$11:$BY$85,55,0))</f>
        <v>8.1</v>
      </c>
      <c r="EW27" s="507">
        <f>IF(OR(ISNA(VLOOKUP($B27,'TICH LUY'!$B$11:$BY$85,56,0)),$B27=""),"",VLOOKUP($B27,'TICH LUY'!$B$11:$BY$85,56,0))</f>
        <v>6.5</v>
      </c>
      <c r="EX27" s="507">
        <f>IF(OR(ISNA(VLOOKUP($B27,'TICH LUY'!$B$11:$BY$85,57,0)),$B27=""),"",VLOOKUP($B27,'TICH LUY'!$B$11:$BY$85,57,0))</f>
        <v>6</v>
      </c>
      <c r="EY27" s="507">
        <f>IF(OR(ISNA(VLOOKUP($B27,'TICH LUY'!$B$11:$BY$85,58,0)),$B27=""),"",VLOOKUP($B27,'TICH LUY'!$B$11:$BY$85,58,0))</f>
        <v>5.7</v>
      </c>
      <c r="EZ27" s="507">
        <f>IF(OR(ISNA(VLOOKUP($B27,'TICH LUY'!$B$11:$BY$85,59,0)),$B27=""),"",VLOOKUP($B27,'TICH LUY'!$B$11:$BY$85,59,0))</f>
        <v>6.9</v>
      </c>
      <c r="FA27" s="507">
        <f>IF(OR(ISNA(VLOOKUP($B27,'TICH LUY'!$B$11:$BY$85,60,0)),$B27=""),"",VLOOKUP($B27,'TICH LUY'!$B$11:$BY$85,60,0))</f>
        <v>7.6</v>
      </c>
      <c r="FB27" s="507" t="str">
        <f>IF(OR(ISNA(VLOOKUP($B27,'TICH LUY'!$B$11:$BY$85,61,0)),$B27=""),"",VLOOKUP($B27,'TICH LUY'!$B$11:$BY$85,61,0))</f>
        <v/>
      </c>
      <c r="FC27" s="507" t="str">
        <f>IF(OR(ISNA(VLOOKUP($B27,'TICH LUY'!$B$11:$BY$85,62,0)),$B27=""),"",VLOOKUP($B27,'TICH LUY'!$B$11:$BY$85,62,0))</f>
        <v/>
      </c>
      <c r="FD27" s="507">
        <f>IF(OR(ISNA(VLOOKUP($B27,'TICH LUY'!$B$11:$BY$85,63,0)),$B27=""),"",VLOOKUP($B27,'TICH LUY'!$B$11:$BY$85,63,0))</f>
        <v>7</v>
      </c>
      <c r="FE27" s="507">
        <f>IF(OR(ISNA(VLOOKUP($B27,'TICH LUY'!$B$11:$BY$85,64,0)),$B27=""),"",VLOOKUP($B27,'TICH LUY'!$B$11:$BY$85,64,0))</f>
        <v>5.9</v>
      </c>
      <c r="FF27" s="507">
        <f>IF(OR(ISNA(VLOOKUP($B27,'TICH LUY'!$B$11:$BY$85,65,0)),$B27=""),"",VLOOKUP($B27,'TICH LUY'!$B$11:$BY$85,65,0))</f>
        <v>6.2</v>
      </c>
      <c r="FG27" s="507">
        <f>IF(OR(ISNA(VLOOKUP($B27,'TICH LUY'!$B$11:$BY$85,66,0)),$B27=""),"",VLOOKUP($B27,'TICH LUY'!$B$11:$BY$85,66,0))</f>
        <v>8.5</v>
      </c>
      <c r="FH27" s="507" t="str">
        <f>IF(OR(ISNA(VLOOKUP($B27,'TICH LUY'!$B$11:$BY$85,67,0)),$B27=""),"",VLOOKUP($B27,'TICH LUY'!$B$11:$BY$85,67,0))</f>
        <v/>
      </c>
      <c r="FI27" s="507">
        <f>IF(OR(ISNA(VLOOKUP($B27,'TICH LUY'!$B$11:$BY$85,68,0)),$B27=""),"",VLOOKUP($B27,'TICH LUY'!$B$11:$BY$85,68,0))</f>
        <v>7.4</v>
      </c>
      <c r="FJ27" s="507">
        <f>IF(OR(ISNA(VLOOKUP($B27,'TICH LUY'!$B$11:$BY$85,69,0)),$B27=""),"",VLOOKUP($B27,'TICH LUY'!$B$11:$BY$85,69,0))</f>
        <v>7.7</v>
      </c>
      <c r="FK27" s="507">
        <f>IF(OR(ISNA(VLOOKUP($B27,'TICH LUY'!$B$11:$BY$85,70,0)),$B27=""),"",VLOOKUP($B27,'TICH LUY'!$B$11:$BY$85,70,0))</f>
        <v>6.7</v>
      </c>
      <c r="FL27" s="507">
        <f>IF(OR(ISNA(VLOOKUP($B27,'TICH LUY'!$B$11:$BY$85,71,0)),$B27=""),"",VLOOKUP($B27,'TICH LUY'!$B$11:$BY$85,71,0))</f>
        <v>6.2</v>
      </c>
      <c r="FM27" s="507" t="str">
        <f>IF(OR(ISNA(VLOOKUP($B27,'TICH LUY'!$B$11:$BY$85,72,0)),$B27=""),"",VLOOKUP($B27,'TICH LUY'!$B$11:$BY$85,72,0))</f>
        <v/>
      </c>
      <c r="FN27" s="507" t="str">
        <f>IF(OR(ISNA(VLOOKUP($B27,'TICH LUY'!$B$11:$BY$85,73,0)),$B27=""),"",VLOOKUP($B27,'TICH LUY'!$B$11:$BY$85,73,0))</f>
        <v/>
      </c>
      <c r="FO27" s="507" t="str">
        <f>IF(OR(ISNA(VLOOKUP($B27,'TICH LUY'!$B$11:$BY$85,74,0)),$B27=""),"",VLOOKUP($B27,'TICH LUY'!$B$11:$BY$85,74,0))</f>
        <v/>
      </c>
      <c r="FP27" s="507">
        <f>IF(OR(ISNA(VLOOKUP($B27,'TICH LUY'!$B$11:$BY$85,75,0)),$B27=""),"",VLOOKUP($B27,'TICH LUY'!$B$11:$BY$85,75,0))</f>
        <v>7</v>
      </c>
      <c r="FQ27" s="529" t="str">
        <f>IF(OR(ISNA(VLOOKUP($B27,'TICH LUY'!$B$11:$BY$85,76,0)),$B27=""),"",VLOOKUP($B27,'TICH LUY'!$B$11:$BY$85,76,0))</f>
        <v/>
      </c>
      <c r="FR27" s="455">
        <f t="shared" si="69"/>
        <v>5.3</v>
      </c>
      <c r="FS27" s="456">
        <f t="shared" si="70"/>
        <v>6.3</v>
      </c>
      <c r="FT27" s="456">
        <f t="shared" si="71"/>
        <v>6.7</v>
      </c>
      <c r="FU27" s="456">
        <f t="shared" si="72"/>
        <v>5.8</v>
      </c>
      <c r="FV27" s="456">
        <f t="shared" si="73"/>
        <v>5.9</v>
      </c>
      <c r="FW27" s="456">
        <f t="shared" si="74"/>
        <v>4.0999999999999996</v>
      </c>
      <c r="FX27" s="456" t="str">
        <f t="shared" si="75"/>
        <v/>
      </c>
      <c r="FY27" s="456" t="str">
        <f t="shared" si="76"/>
        <v/>
      </c>
      <c r="FZ27" s="456" t="str">
        <f t="shared" si="77"/>
        <v/>
      </c>
      <c r="GA27" s="456">
        <f t="shared" si="78"/>
        <v>6.8</v>
      </c>
      <c r="GB27" s="459">
        <f t="shared" si="79"/>
        <v>9</v>
      </c>
      <c r="GC27" s="457">
        <f t="shared" si="23"/>
        <v>6.7</v>
      </c>
    </row>
    <row r="28" spans="1:185" s="221" customFormat="1" ht="15.75">
      <c r="A28" s="449">
        <f>IF(B28="","",SUBTOTAL(3,$B$11:B28))</f>
        <v>18</v>
      </c>
      <c r="B28" s="198" t="s">
        <v>2057</v>
      </c>
      <c r="C28" s="450" t="str">
        <f>IF($B28="","",VLOOKUP($B28,'DS LOP HKI'!$B$2:$F$2642,2,0))</f>
        <v>Đỗ Văn</v>
      </c>
      <c r="D28" s="451" t="str">
        <f>IF($B28="","",VLOOKUP($B28,'DS LOP HKI'!$B$2:$F$2642,3,0))</f>
        <v>Lượng</v>
      </c>
      <c r="E28" s="154"/>
      <c r="F28" s="152"/>
      <c r="G28" s="156">
        <v>5</v>
      </c>
      <c r="H28" s="181">
        <f>IF(OR($H$6="",$H$7=""),"",IF($B28="","",IF(ISNA(VLOOKUP($B28,'LT01'!$B$11:$R$75,13,FALSE)),"",IF(VLOOKUP($B28,'LT01'!$B$11:$R$75,13,FALSE)="","",VLOOKUP($B28,'LT01'!$B$11:$R$75,13,FALSE)))))</f>
        <v>3.1</v>
      </c>
      <c r="I28" s="182">
        <f>IF(OR($H$6="",$H$7=""),"",IF($B28="","",IF(ISNA(VLOOKUP($B28,'LT01'!$B$11:$R$75,14,FALSE)),"",VLOOKUP($B28,'LT01'!$B$11:$R$75,14,FALSE))))</f>
        <v>4</v>
      </c>
      <c r="J28" s="183"/>
      <c r="K28" s="182" t="str">
        <f>IF(OR($H$6="",$H$7=""),"",IF($B28="","",IF(ISNA(VLOOKUP($B28,'LT01'!$B$11:$R$75,17,FALSE)),"",VLOOKUP($B28,'LT01'!$B$11:$R$75,17,FALSE))))</f>
        <v/>
      </c>
      <c r="L28" s="185">
        <f>IF(OR($H$6="",$H$7=""),"",IF($B28="","",IF(ISNA(VLOOKUP($B28,'LT02'!$B$11:$R$75,13,FALSE)),"",IF(VLOOKUP($B28,'LT02'!$B$11:$R$75,13,FALSE)="","",VLOOKUP($B28,'LT02'!$B$11:$R$75,13,FALSE)))))</f>
        <v>5.8</v>
      </c>
      <c r="M28" s="182">
        <f>IF(OR($H$6="",$H$7=""),"",IF($B28="","",IF(ISNA(VLOOKUP($B28,'LT02'!$B$11:$R$75,14,FALSE)),"",VLOOKUP($B28,'LT02'!$B$11:$R$75,14,FALSE))))</f>
        <v>6.1</v>
      </c>
      <c r="N28" s="183"/>
      <c r="O28" s="182" t="str">
        <f>IF(OR($H$6="",$H$7=""),"",IF($B28="","",IF(ISNA(VLOOKUP($B28,'LT02'!$B$11:$R$75,17,FALSE)),"",VLOOKUP($B28,'LT02'!$B$11:$R$75,17,FALSE))))</f>
        <v/>
      </c>
      <c r="P28" s="185">
        <f>IF(OR($H$6="",$H$7=""),"",IF($B28="","",IF(ISNA(VLOOKUP($B28,'LT03'!$B$11:$R$75,13,FALSE)),"",IF(VLOOKUP($B28,'LT03'!$B$11:$R$75,13,FALSE)="","",VLOOKUP($B28,'LT03'!$B$11:$R$75,13,FALSE)))))</f>
        <v>4.9000000000000004</v>
      </c>
      <c r="Q28" s="182">
        <f>IF(OR($H$6="",$H$7=""),"",IF($B28="","",IF(ISNA(VLOOKUP($B28,'LT03'!$B$11:$R$75,14,FALSE)),"",VLOOKUP($B28,'LT03'!$B$11:$R$75,14,FALSE))))</f>
        <v>4.9000000000000004</v>
      </c>
      <c r="R28" s="183"/>
      <c r="S28" s="182" t="str">
        <f>IF(OR($H$6="",$H$7=""),"",IF($B28="","",IF(ISNA(VLOOKUP($B28,'LT03'!$B$11:$R$75,17,FALSE)),"",VLOOKUP($B28,'LT03'!$B$11:$R$75,17,FALSE))))</f>
        <v/>
      </c>
      <c r="T28" s="185">
        <f>IF(OR($H$6="",$H$7=""),"",IF($B28="","",IF(ISNA(VLOOKUP($B28,'LT04'!$B$11:$R$75,13,FALSE)),"",IF(VLOOKUP($B28,'LT04'!$B$11:$R$75,13,FALSE)="","",VLOOKUP($B28,'LT04'!$B$11:$R$75,13,FALSE)))))</f>
        <v>1.5</v>
      </c>
      <c r="U28" s="182">
        <f>IF(OR($H$6="",$H$7=""),"",IF($B28="","",IF(ISNA(VLOOKUP($B28,'LT04'!$B$11:$R$75,14,FALSE)),"",VLOOKUP($B28,'LT04'!$B$11:$R$75,14,FALSE))))</f>
        <v>3.5</v>
      </c>
      <c r="V28" s="183"/>
      <c r="W28" s="184" t="str">
        <f>IF(OR($H$6="",$H$7=""),"",IF($B28="","",IF(ISNA(VLOOKUP($B28,'LT04'!$B$11:$R$75,17,FALSE)),"",VLOOKUP($B28,'LT04'!$B$11:$R$75,17,FALSE))))</f>
        <v/>
      </c>
      <c r="X28" s="185">
        <f>IF(OR($H$6="",$H$7=""),"",IF($B28="","",IF(ISNA(VLOOKUP($B28,'LT05'!$B$11:$R$75,13,FALSE)),"",IF(VLOOKUP($B28,'LT05'!$B$11:$R$75,13,FALSE)="","",VLOOKUP($B28,'LT05'!$B$11:$R$75,13,FALSE)))))</f>
        <v>6.5</v>
      </c>
      <c r="Y28" s="182">
        <f>IF(OR($H$6="",$H$7=""),"",IF($B28="","",IF(ISNA(VLOOKUP($B28,'LT05'!$B$11:$R$75,14,FALSE)),"",VLOOKUP($B28,'LT05'!$B$11:$R$75,14,FALSE))))</f>
        <v>5.0999999999999996</v>
      </c>
      <c r="Z28" s="183"/>
      <c r="AA28" s="182" t="str">
        <f>IF(OR($H$6="",$H$7=""),"",IF($B28="","",IF(ISNA(VLOOKUP($B28,'LT05'!$B$11:$R$75,17,FALSE)),"",VLOOKUP($B28,'LT05'!$B$11:$R$75,17,FALSE))))</f>
        <v/>
      </c>
      <c r="AB28" s="185">
        <f>IF(OR($H$6="",$H$7=""),"",IF($B28="","",IF(ISNA(VLOOKUP($B28,'LT06'!$B$11:$R$75,13,FALSE)),"",IF(VLOOKUP($B28,'LT06'!$B$11:$R$75,13,FALSE)="","",VLOOKUP($B28,'LT06'!$B$11:$R$75,13,FALSE)))))</f>
        <v>2</v>
      </c>
      <c r="AC28" s="182">
        <f>IF(OR($H$6="",$H$7=""),"",IF($B28="","",IF(ISNA(VLOOKUP($B28,'LT06'!$B$11:$R$75,14,FALSE)),"",VLOOKUP($B28,'LT06'!$B$11:$R$75,14,FALSE))))</f>
        <v>3.3</v>
      </c>
      <c r="AD28" s="183"/>
      <c r="AE28" s="182" t="str">
        <f>IF(OR($H$6="",$H$7=""),"",IF($B28="","",IF(ISNA(VLOOKUP($B28,'LT06'!$B$11:$R$75,17,FALSE)),"",VLOOKUP($B28,'LT06'!$B$11:$R$75,17,FALSE))))</f>
        <v/>
      </c>
      <c r="AF28" s="185" t="str">
        <f>IF(OR($H$6="",$H$7=""),"",IF($B28="","",IF(ISNA(VLOOKUP($B28,'LT07'!$B$11:$R$75,13,FALSE)),"",IF(VLOOKUP($B28,'LT07'!$B$11:$R$75,13,FALSE)="","",VLOOKUP($B28,'LT07'!$B$11:$R$75,13,FALSE)))))</f>
        <v/>
      </c>
      <c r="AG28" s="182" t="str">
        <f>IF(OR($H$6="",$H$7=""),"",IF($B28="","",IF(ISNA(VLOOKUP($B28,'LT07'!$B$11:$R$75,14,FALSE)),"",VLOOKUP($B28,'LT07'!$B$11:$R$75,14,FALSE))))</f>
        <v/>
      </c>
      <c r="AH28" s="183"/>
      <c r="AI28" s="182" t="str">
        <f>IF(OR($H$6="",$H$7=""),"",IF($B28="","",IF(ISNA(VLOOKUP($B28,'LT07'!$B$11:$R$75,17,FALSE)),"",VLOOKUP($B28,'LT07'!$B$11:$R$75,17,FALSE))))</f>
        <v/>
      </c>
      <c r="AJ28" s="185" t="str">
        <f>IF(OR($H$6="",$H$7=""),"",IF($B28="","",IF(ISNA(VLOOKUP($B28,'LT08'!$B$11:$R$75,13,FALSE)),"",IF(VLOOKUP($B28,'LT08'!$B$11:$R$75,13,FALSE)="","",VLOOKUP($B28,'LT08'!$B$11:$R$75,13,FALSE)))))</f>
        <v/>
      </c>
      <c r="AK28" s="182" t="str">
        <f>IF(OR($H$6="",$H$7=""),"",IF($B28="","",IF(ISNA(VLOOKUP($B28,'LT08'!$B$11:$R$75,14,FALSE)),"",VLOOKUP($B28,'LT08'!$B$11:$R$75,14,FALSE))))</f>
        <v/>
      </c>
      <c r="AL28" s="183"/>
      <c r="AM28" s="182" t="str">
        <f>IF(OR($H$6="",$H$7=""),"",IF($B28="","",IF(ISNA(VLOOKUP($B28,'LT08'!$B$11:$R$75,17,FALSE)),"",VLOOKUP($B28,'LT08'!$B$11:$R$75,17,FALSE))))</f>
        <v/>
      </c>
      <c r="AN28" s="185" t="str">
        <f>IF(OR($H$6="",$H$7=""),"",IF($B28="","",IF(ISNA(VLOOKUP($B28,'LT09'!$B$11:$R$75,13,FALSE)),"",IF(VLOOKUP($B28,'LT09'!$B$11:$R$75,13,FALSE)="","",VLOOKUP($B28,'LT09'!$B$11:$R$75,13,FALSE)))))</f>
        <v/>
      </c>
      <c r="AO28" s="182" t="str">
        <f>IF(OR($H$6="",$H$7=""),"",IF($B28="","",IF(ISNA(VLOOKUP($B28,'LT09'!$B$11:$R$75,14,FALSE)),"",VLOOKUP($B28,'LT09'!$B$11:$R$75,14,FALSE))))</f>
        <v/>
      </c>
      <c r="AP28" s="183"/>
      <c r="AQ28" s="182" t="str">
        <f>IF(OR($H$6="",$H$7=""),"",IF($B28="","",IF(ISNA(VLOOKUP($B28,'LT09'!$B$11:$R$75,17,FALSE)),"",VLOOKUP($B28,'LT09'!$B$11:$R$75,17,FALSE))))</f>
        <v/>
      </c>
      <c r="AR28" s="186"/>
      <c r="AS28" s="182">
        <f>IF(OR($H$6="",$H$7=""),"",IF($B28="","",IF(ISNA(VLOOKUP($B28,'TH01'!$B$11:$R$75,14,FALSE)),"",VLOOKUP($B28,'TH01'!$B$11:$R$75,14,FALSE))))</f>
        <v>6</v>
      </c>
      <c r="AT28" s="183"/>
      <c r="AU28" s="187"/>
      <c r="AV28" s="186"/>
      <c r="AW28" s="182">
        <f>IF(OR($H$6="",$H$7=""),"",IF($B28="","",IF(ISNA(VLOOKUP($B28,'TH02'!$B$11:$R$75,14,FALSE)),"",VLOOKUP($B28,'TH02'!$B$11:$R$75,14,FALSE))))</f>
        <v>7.5</v>
      </c>
      <c r="AX28" s="183"/>
      <c r="AY28" s="187"/>
      <c r="AZ28" s="54">
        <f t="shared" si="24"/>
        <v>5.0999999999999996</v>
      </c>
      <c r="BA28" s="54" t="str">
        <f t="shared" si="0"/>
        <v/>
      </c>
      <c r="BB28" s="70">
        <v>50</v>
      </c>
      <c r="BC28" s="52" t="str">
        <f t="shared" si="25"/>
        <v>TBY</v>
      </c>
      <c r="BD28" s="52" t="str">
        <f t="shared" si="26"/>
        <v/>
      </c>
      <c r="BE28" s="52" t="str">
        <f t="shared" si="1"/>
        <v/>
      </c>
      <c r="BF28" s="149" t="str">
        <f t="shared" si="2"/>
        <v/>
      </c>
      <c r="BG28" s="52">
        <f t="shared" si="3"/>
        <v>14</v>
      </c>
      <c r="BH28" s="52">
        <f t="shared" si="27"/>
        <v>4</v>
      </c>
      <c r="BI28" s="52">
        <f t="shared" si="4"/>
        <v>14</v>
      </c>
      <c r="BJ28" s="52">
        <f t="shared" si="5"/>
        <v>4</v>
      </c>
      <c r="BK28" s="54">
        <f t="shared" si="6"/>
        <v>5.55</v>
      </c>
      <c r="BL28" s="54" t="str">
        <f t="shared" si="7"/>
        <v>BT</v>
      </c>
      <c r="BM28" s="54">
        <f t="shared" si="8"/>
        <v>5.55</v>
      </c>
      <c r="BN28" s="54" t="str">
        <f t="shared" si="9"/>
        <v>BT</v>
      </c>
      <c r="BO28" s="70"/>
      <c r="BP28" s="52">
        <f>IF(ISNA(VLOOKUP(B28,'TICH LUY'!B:D,2,0)),"",VLOOKUP(B28,'TICH LUY'!B:D,2,0)+BI28)</f>
        <v>51</v>
      </c>
      <c r="BQ28" s="52">
        <f>IF(ISNA(VLOOKUP(B28,'TICH LUY'!B:D,3,0)),"",VLOOKUP(B28,'TICH LUY'!B:D,3,0)+BJ28)</f>
        <v>6</v>
      </c>
      <c r="BR28" s="40">
        <f t="shared" si="10"/>
        <v>4</v>
      </c>
      <c r="BS28" s="452">
        <f t="shared" si="11"/>
        <v>3.1</v>
      </c>
      <c r="BT28" s="452">
        <f t="shared" si="12"/>
        <v>5.8</v>
      </c>
      <c r="BU28" s="452">
        <f t="shared" si="13"/>
        <v>4.9000000000000004</v>
      </c>
      <c r="BV28" s="452">
        <f t="shared" si="14"/>
        <v>1.5</v>
      </c>
      <c r="BW28" s="452">
        <f t="shared" si="15"/>
        <v>6.5</v>
      </c>
      <c r="BX28" s="452">
        <f t="shared" si="16"/>
        <v>2</v>
      </c>
      <c r="BY28" s="452" t="str">
        <f t="shared" si="17"/>
        <v/>
      </c>
      <c r="BZ28" s="452" t="str">
        <f t="shared" si="28"/>
        <v/>
      </c>
      <c r="CA28" s="452" t="str">
        <f t="shared" si="29"/>
        <v/>
      </c>
      <c r="CB28" s="452">
        <f t="shared" si="30"/>
        <v>6</v>
      </c>
      <c r="CC28" s="452">
        <f t="shared" si="18"/>
        <v>7.5</v>
      </c>
      <c r="CD28" s="40">
        <f t="shared" si="31"/>
        <v>2</v>
      </c>
      <c r="CE28" s="453">
        <f t="shared" si="80"/>
        <v>4</v>
      </c>
      <c r="CF28" s="452">
        <f t="shared" si="32"/>
        <v>6.1</v>
      </c>
      <c r="CG28" s="452">
        <f t="shared" si="81"/>
        <v>4.9000000000000004</v>
      </c>
      <c r="CH28" s="452">
        <f t="shared" si="82"/>
        <v>3.5</v>
      </c>
      <c r="CI28" s="452">
        <f t="shared" si="83"/>
        <v>5.0999999999999996</v>
      </c>
      <c r="CJ28" s="452">
        <f t="shared" si="84"/>
        <v>3.3</v>
      </c>
      <c r="CK28" s="452" t="str">
        <f t="shared" si="85"/>
        <v/>
      </c>
      <c r="CL28" s="452" t="str">
        <f t="shared" si="33"/>
        <v/>
      </c>
      <c r="CM28" s="452" t="str">
        <f t="shared" si="34"/>
        <v/>
      </c>
      <c r="CN28" s="452">
        <f t="shared" si="35"/>
        <v>6</v>
      </c>
      <c r="CO28" s="452">
        <f t="shared" si="19"/>
        <v>7.5</v>
      </c>
      <c r="CP28" s="454">
        <f t="shared" si="36"/>
        <v>5.0999999999999996</v>
      </c>
      <c r="CQ28" s="527">
        <f>IF(OR(ISNA(VLOOKUP($B28,'TICH LUY'!$B$11:$BY$85,54,0)),$B28=""),"",VLOOKUP($B28,'TICH LUY'!$B$11:$BY$85,54,0))</f>
        <v>5.0999999999999996</v>
      </c>
      <c r="CR28" s="507">
        <f>IF(OR(ISNA(VLOOKUP($B28,'TICH LUY'!$B$11:$BY$85,55,0)),$B28=""),"",VLOOKUP($B28,'TICH LUY'!$B$11:$BY$85,55,0))</f>
        <v>4.4000000000000004</v>
      </c>
      <c r="CS28" s="507">
        <f>IF(OR(ISNA(VLOOKUP($B28,'TICH LUY'!$B$11:$BY$85,56,0)),$B28=""),"",VLOOKUP($B28,'TICH LUY'!$B$11:$BY$85,56,0))</f>
        <v>5</v>
      </c>
      <c r="CT28" s="507">
        <f>IF(OR(ISNA(VLOOKUP($B28,'TICH LUY'!$B$11:$BY$85,57,0)),$B28=""),"",VLOOKUP($B28,'TICH LUY'!$B$11:$BY$85,57,0))</f>
        <v>6.4</v>
      </c>
      <c r="CU28" s="507">
        <f>IF(OR(ISNA(VLOOKUP($B28,'TICH LUY'!$B$11:$BY$85,58,0)),$B28=""),"",VLOOKUP($B28,'TICH LUY'!$B$11:$BY$85,58,0))</f>
        <v>4.4000000000000004</v>
      </c>
      <c r="CV28" s="507">
        <f>IF(OR(ISNA(VLOOKUP($B28,'TICH LUY'!$B$11:$BY$85,59,0)),$B28=""),"",VLOOKUP($B28,'TICH LUY'!$B$11:$BY$85,59,0))</f>
        <v>5</v>
      </c>
      <c r="CW28" s="507">
        <f>IF(OR(ISNA(VLOOKUP($B28,'TICH LUY'!$B$11:$BY$85,60,0)),$B28=""),"",VLOOKUP($B28,'TICH LUY'!$B$11:$BY$85,60,0))</f>
        <v>5.4</v>
      </c>
      <c r="CX28" s="507" t="str">
        <f>IF(OR(ISNA(VLOOKUP($B28,'TICH LUY'!$B$11:$BY$85,61,0)),$B28=""),"",VLOOKUP($B28,'TICH LUY'!$B$11:$BY$85,61,0))</f>
        <v/>
      </c>
      <c r="CY28" s="507" t="str">
        <f>IF(OR(ISNA(VLOOKUP($B28,'TICH LUY'!$B$11:$BY$85,62,0)),$B28=""),"",VLOOKUP($B28,'TICH LUY'!$B$11:$BY$85,62,0))</f>
        <v/>
      </c>
      <c r="CZ28" s="507">
        <f>IF(OR(ISNA(VLOOKUP($B28,'TICH LUY'!$B$11:$BY$85,63,0)),$B28=""),"",VLOOKUP($B28,'TICH LUY'!$B$11:$BY$85,63,0))</f>
        <v>7</v>
      </c>
      <c r="DA28" s="507">
        <f>IF(OR(ISNA(VLOOKUP($B28,'TICH LUY'!$B$11:$BY$85,64,0)),$B28=""),"",VLOOKUP($B28,'TICH LUY'!$B$11:$BY$85,64,0))</f>
        <v>4.5</v>
      </c>
      <c r="DB28" s="507" t="str">
        <f>IF(OR(ISNA(VLOOKUP($B28,'TICH LUY'!$B$11:$BY$85,65,0)),$B28=""),"",VLOOKUP($B28,'TICH LUY'!$B$11:$BY$85,65,0))</f>
        <v/>
      </c>
      <c r="DC28" s="507">
        <f>IF(OR(ISNA(VLOOKUP($B28,'TICH LUY'!$B$11:$BY$85,66,0)),$B28=""),"",VLOOKUP($B28,'TICH LUY'!$B$11:$BY$85,66,0))</f>
        <v>6.7</v>
      </c>
      <c r="DD28" s="507">
        <f>IF(OR(ISNA(VLOOKUP($B28,'TICH LUY'!$B$11:$BY$85,67,0)),$B28=""),"",VLOOKUP($B28,'TICH LUY'!$B$11:$BY$85,67,0))</f>
        <v>5.3</v>
      </c>
      <c r="DE28" s="507">
        <f>IF(OR(ISNA(VLOOKUP($B28,'TICH LUY'!$B$11:$BY$85,68,0)),$B28=""),"",VLOOKUP($B28,'TICH LUY'!$B$11:$BY$85,68,0))</f>
        <v>6.8</v>
      </c>
      <c r="DF28" s="507">
        <f>IF(OR(ISNA(VLOOKUP($B28,'TICH LUY'!$B$11:$BY$85,69,0)),$B28=""),"",VLOOKUP($B28,'TICH LUY'!$B$11:$BY$85,69,0))</f>
        <v>5.6</v>
      </c>
      <c r="DG28" s="507" t="str">
        <f>IF(OR(ISNA(VLOOKUP($B28,'TICH LUY'!$B$11:$BY$85,70,0)),$B28=""),"",VLOOKUP($B28,'TICH LUY'!$B$11:$BY$85,70,0))</f>
        <v/>
      </c>
      <c r="DH28" s="507">
        <f>IF(OR(ISNA(VLOOKUP($B28,'TICH LUY'!$B$11:$BY$85,71,0)),$B28=""),"",VLOOKUP($B28,'TICH LUY'!$B$11:$BY$85,71,0))</f>
        <v>7.4</v>
      </c>
      <c r="DI28" s="507" t="str">
        <f>IF(OR(ISNA(VLOOKUP($B28,'TICH LUY'!$B$11:$BY$85,72,0)),$B28=""),"",VLOOKUP($B28,'TICH LUY'!$B$11:$BY$85,72,0))</f>
        <v/>
      </c>
      <c r="DJ28" s="507" t="str">
        <f>IF(OR(ISNA(VLOOKUP($B28,'TICH LUY'!$B$11:$BY$85,73,0)),$B28=""),"",VLOOKUP($B28,'TICH LUY'!$B$11:$BY$85,73,0))</f>
        <v/>
      </c>
      <c r="DK28" s="507" t="str">
        <f>IF(OR(ISNA(VLOOKUP($B28,'TICH LUY'!$B$11:$BY$85,74,0)),$B28=""),"",VLOOKUP($B28,'TICH LUY'!$B$11:$BY$85,74,0))</f>
        <v/>
      </c>
      <c r="DL28" s="507">
        <f>IF(OR(ISNA(VLOOKUP($B28,'TICH LUY'!$B$11:$BY$85,75,0)),$B28=""),"",VLOOKUP($B28,'TICH LUY'!$B$11:$BY$85,75,0))</f>
        <v>6.6</v>
      </c>
      <c r="DM28" s="529" t="str">
        <f>IF(OR(ISNA(VLOOKUP($B28,'TICH LUY'!$B$11:$BY$85,76,0)),$B28=""),"",VLOOKUP($B28,'TICH LUY'!$B$11:$BY$85,76,0))</f>
        <v/>
      </c>
      <c r="DN28" s="455">
        <f t="shared" si="37"/>
        <v>4</v>
      </c>
      <c r="DO28" s="456">
        <f t="shared" si="38"/>
        <v>6.1</v>
      </c>
      <c r="DP28" s="456">
        <f t="shared" si="39"/>
        <v>4.9000000000000004</v>
      </c>
      <c r="DQ28" s="456" t="str">
        <f t="shared" si="40"/>
        <v/>
      </c>
      <c r="DR28" s="456">
        <f t="shared" si="41"/>
        <v>5.0999999999999996</v>
      </c>
      <c r="DS28" s="456" t="str">
        <f t="shared" si="42"/>
        <v/>
      </c>
      <c r="DT28" s="456" t="str">
        <f t="shared" si="43"/>
        <v/>
      </c>
      <c r="DU28" s="456" t="str">
        <f t="shared" si="44"/>
        <v/>
      </c>
      <c r="DV28" s="456" t="str">
        <f t="shared" si="45"/>
        <v/>
      </c>
      <c r="DW28" s="456">
        <f t="shared" si="46"/>
        <v>6</v>
      </c>
      <c r="DX28" s="456">
        <f t="shared" si="47"/>
        <v>7.5</v>
      </c>
      <c r="DY28" s="457">
        <f t="shared" si="48"/>
        <v>5.55</v>
      </c>
      <c r="DZ28" s="453" t="str">
        <f t="shared" si="49"/>
        <v/>
      </c>
      <c r="EA28" s="452" t="str">
        <f t="shared" si="50"/>
        <v/>
      </c>
      <c r="EB28" s="452" t="str">
        <f t="shared" si="51"/>
        <v/>
      </c>
      <c r="EC28" s="452" t="str">
        <f t="shared" si="52"/>
        <v/>
      </c>
      <c r="ED28" s="452" t="str">
        <f t="shared" si="53"/>
        <v/>
      </c>
      <c r="EE28" s="452" t="str">
        <f t="shared" si="54"/>
        <v/>
      </c>
      <c r="EF28" s="452" t="str">
        <f t="shared" si="55"/>
        <v/>
      </c>
      <c r="EG28" s="452" t="str">
        <f t="shared" si="56"/>
        <v/>
      </c>
      <c r="EH28" s="452" t="str">
        <f t="shared" si="57"/>
        <v/>
      </c>
      <c r="EI28" s="453">
        <f t="shared" si="58"/>
        <v>4</v>
      </c>
      <c r="EJ28" s="452">
        <f t="shared" si="59"/>
        <v>6.1</v>
      </c>
      <c r="EK28" s="452">
        <f t="shared" si="60"/>
        <v>4.9000000000000004</v>
      </c>
      <c r="EL28" s="452">
        <f t="shared" si="61"/>
        <v>3.5</v>
      </c>
      <c r="EM28" s="452">
        <f t="shared" si="62"/>
        <v>5.0999999999999996</v>
      </c>
      <c r="EN28" s="452">
        <f t="shared" si="63"/>
        <v>3.3</v>
      </c>
      <c r="EO28" s="452" t="str">
        <f t="shared" si="64"/>
        <v/>
      </c>
      <c r="EP28" s="452" t="str">
        <f t="shared" si="65"/>
        <v/>
      </c>
      <c r="EQ28" s="452" t="str">
        <f t="shared" si="66"/>
        <v/>
      </c>
      <c r="ER28" s="452">
        <f t="shared" si="67"/>
        <v>6</v>
      </c>
      <c r="ES28" s="452">
        <f t="shared" si="21"/>
        <v>7.5</v>
      </c>
      <c r="ET28" s="458" t="str">
        <f t="shared" si="68"/>
        <v/>
      </c>
      <c r="EU28" s="527">
        <f>IF(OR(ISNA(VLOOKUP($B28,'TICH LUY'!$B$11:$BY$85,54,0)),$B28=""),"",VLOOKUP($B28,'TICH LUY'!$B$11:$BY$85,54,0))</f>
        <v>5.0999999999999996</v>
      </c>
      <c r="EV28" s="507">
        <f>IF(OR(ISNA(VLOOKUP($B28,'TICH LUY'!$B$11:$BY$85,55,0)),$B28=""),"",VLOOKUP($B28,'TICH LUY'!$B$11:$BY$85,55,0))</f>
        <v>4.4000000000000004</v>
      </c>
      <c r="EW28" s="507">
        <f>IF(OR(ISNA(VLOOKUP($B28,'TICH LUY'!$B$11:$BY$85,56,0)),$B28=""),"",VLOOKUP($B28,'TICH LUY'!$B$11:$BY$85,56,0))</f>
        <v>5</v>
      </c>
      <c r="EX28" s="507">
        <f>IF(OR(ISNA(VLOOKUP($B28,'TICH LUY'!$B$11:$BY$85,57,0)),$B28=""),"",VLOOKUP($B28,'TICH LUY'!$B$11:$BY$85,57,0))</f>
        <v>6.4</v>
      </c>
      <c r="EY28" s="507">
        <f>IF(OR(ISNA(VLOOKUP($B28,'TICH LUY'!$B$11:$BY$85,58,0)),$B28=""),"",VLOOKUP($B28,'TICH LUY'!$B$11:$BY$85,58,0))</f>
        <v>4.4000000000000004</v>
      </c>
      <c r="EZ28" s="507">
        <f>IF(OR(ISNA(VLOOKUP($B28,'TICH LUY'!$B$11:$BY$85,59,0)),$B28=""),"",VLOOKUP($B28,'TICH LUY'!$B$11:$BY$85,59,0))</f>
        <v>5</v>
      </c>
      <c r="FA28" s="507">
        <f>IF(OR(ISNA(VLOOKUP($B28,'TICH LUY'!$B$11:$BY$85,60,0)),$B28=""),"",VLOOKUP($B28,'TICH LUY'!$B$11:$BY$85,60,0))</f>
        <v>5.4</v>
      </c>
      <c r="FB28" s="507" t="str">
        <f>IF(OR(ISNA(VLOOKUP($B28,'TICH LUY'!$B$11:$BY$85,61,0)),$B28=""),"",VLOOKUP($B28,'TICH LUY'!$B$11:$BY$85,61,0))</f>
        <v/>
      </c>
      <c r="FC28" s="507" t="str">
        <f>IF(OR(ISNA(VLOOKUP($B28,'TICH LUY'!$B$11:$BY$85,62,0)),$B28=""),"",VLOOKUP($B28,'TICH LUY'!$B$11:$BY$85,62,0))</f>
        <v/>
      </c>
      <c r="FD28" s="507">
        <f>IF(OR(ISNA(VLOOKUP($B28,'TICH LUY'!$B$11:$BY$85,63,0)),$B28=""),"",VLOOKUP($B28,'TICH LUY'!$B$11:$BY$85,63,0))</f>
        <v>7</v>
      </c>
      <c r="FE28" s="507">
        <f>IF(OR(ISNA(VLOOKUP($B28,'TICH LUY'!$B$11:$BY$85,64,0)),$B28=""),"",VLOOKUP($B28,'TICH LUY'!$B$11:$BY$85,64,0))</f>
        <v>4.5</v>
      </c>
      <c r="FF28" s="507" t="str">
        <f>IF(OR(ISNA(VLOOKUP($B28,'TICH LUY'!$B$11:$BY$85,65,0)),$B28=""),"",VLOOKUP($B28,'TICH LUY'!$B$11:$BY$85,65,0))</f>
        <v/>
      </c>
      <c r="FG28" s="507">
        <f>IF(OR(ISNA(VLOOKUP($B28,'TICH LUY'!$B$11:$BY$85,66,0)),$B28=""),"",VLOOKUP($B28,'TICH LUY'!$B$11:$BY$85,66,0))</f>
        <v>6.7</v>
      </c>
      <c r="FH28" s="507">
        <f>IF(OR(ISNA(VLOOKUP($B28,'TICH LUY'!$B$11:$BY$85,67,0)),$B28=""),"",VLOOKUP($B28,'TICH LUY'!$B$11:$BY$85,67,0))</f>
        <v>5.3</v>
      </c>
      <c r="FI28" s="507">
        <f>IF(OR(ISNA(VLOOKUP($B28,'TICH LUY'!$B$11:$BY$85,68,0)),$B28=""),"",VLOOKUP($B28,'TICH LUY'!$B$11:$BY$85,68,0))</f>
        <v>6.8</v>
      </c>
      <c r="FJ28" s="507">
        <f>IF(OR(ISNA(VLOOKUP($B28,'TICH LUY'!$B$11:$BY$85,69,0)),$B28=""),"",VLOOKUP($B28,'TICH LUY'!$B$11:$BY$85,69,0))</f>
        <v>5.6</v>
      </c>
      <c r="FK28" s="507" t="str">
        <f>IF(OR(ISNA(VLOOKUP($B28,'TICH LUY'!$B$11:$BY$85,70,0)),$B28=""),"",VLOOKUP($B28,'TICH LUY'!$B$11:$BY$85,70,0))</f>
        <v/>
      </c>
      <c r="FL28" s="507">
        <f>IF(OR(ISNA(VLOOKUP($B28,'TICH LUY'!$B$11:$BY$85,71,0)),$B28=""),"",VLOOKUP($B28,'TICH LUY'!$B$11:$BY$85,71,0))</f>
        <v>7.4</v>
      </c>
      <c r="FM28" s="507" t="str">
        <f>IF(OR(ISNA(VLOOKUP($B28,'TICH LUY'!$B$11:$BY$85,72,0)),$B28=""),"",VLOOKUP($B28,'TICH LUY'!$B$11:$BY$85,72,0))</f>
        <v/>
      </c>
      <c r="FN28" s="507" t="str">
        <f>IF(OR(ISNA(VLOOKUP($B28,'TICH LUY'!$B$11:$BY$85,73,0)),$B28=""),"",VLOOKUP($B28,'TICH LUY'!$B$11:$BY$85,73,0))</f>
        <v/>
      </c>
      <c r="FO28" s="507" t="str">
        <f>IF(OR(ISNA(VLOOKUP($B28,'TICH LUY'!$B$11:$BY$85,74,0)),$B28=""),"",VLOOKUP($B28,'TICH LUY'!$B$11:$BY$85,74,0))</f>
        <v/>
      </c>
      <c r="FP28" s="507">
        <f>IF(OR(ISNA(VLOOKUP($B28,'TICH LUY'!$B$11:$BY$85,75,0)),$B28=""),"",VLOOKUP($B28,'TICH LUY'!$B$11:$BY$85,75,0))</f>
        <v>6.6</v>
      </c>
      <c r="FQ28" s="529" t="str">
        <f>IF(OR(ISNA(VLOOKUP($B28,'TICH LUY'!$B$11:$BY$85,76,0)),$B28=""),"",VLOOKUP($B28,'TICH LUY'!$B$11:$BY$85,76,0))</f>
        <v/>
      </c>
      <c r="FR28" s="455">
        <f t="shared" si="69"/>
        <v>4</v>
      </c>
      <c r="FS28" s="456">
        <f t="shared" si="70"/>
        <v>6.1</v>
      </c>
      <c r="FT28" s="456">
        <f t="shared" si="71"/>
        <v>4.9000000000000004</v>
      </c>
      <c r="FU28" s="456" t="str">
        <f t="shared" si="72"/>
        <v/>
      </c>
      <c r="FV28" s="456">
        <f t="shared" si="73"/>
        <v>5.0999999999999996</v>
      </c>
      <c r="FW28" s="456" t="str">
        <f t="shared" si="74"/>
        <v/>
      </c>
      <c r="FX28" s="456" t="str">
        <f t="shared" si="75"/>
        <v/>
      </c>
      <c r="FY28" s="456" t="str">
        <f t="shared" si="76"/>
        <v/>
      </c>
      <c r="FZ28" s="456" t="str">
        <f t="shared" si="77"/>
        <v/>
      </c>
      <c r="GA28" s="456">
        <f t="shared" si="78"/>
        <v>6</v>
      </c>
      <c r="GB28" s="459">
        <f t="shared" si="79"/>
        <v>7.5</v>
      </c>
      <c r="GC28" s="457">
        <f t="shared" si="23"/>
        <v>5.55</v>
      </c>
    </row>
    <row r="29" spans="1:185" s="221" customFormat="1" ht="15.75">
      <c r="A29" s="449">
        <f>IF(B29="","",SUBTOTAL(3,$B$11:B29))</f>
        <v>19</v>
      </c>
      <c r="B29" s="198" t="s">
        <v>2059</v>
      </c>
      <c r="C29" s="450" t="str">
        <f>IF($B29="","",VLOOKUP($B29,'DS LOP HKI'!$B$2:$F$2642,2,0))</f>
        <v>Mai Đình</v>
      </c>
      <c r="D29" s="451" t="str">
        <f>IF($B29="","",VLOOKUP($B29,'DS LOP HKI'!$B$2:$F$2642,3,0))</f>
        <v>Luyện</v>
      </c>
      <c r="E29" s="154"/>
      <c r="F29" s="152"/>
      <c r="G29" s="156">
        <v>17</v>
      </c>
      <c r="H29" s="181" t="str">
        <f>IF(OR($H$6="",$H$7=""),"",IF($B29="","",IF(ISNA(VLOOKUP($B29,'LT01'!$B$11:$R$75,13,FALSE)),"",IF(VLOOKUP($B29,'LT01'!$B$11:$R$75,13,FALSE)="","",VLOOKUP($B29,'LT01'!$B$11:$R$75,13,FALSE)))))</f>
        <v/>
      </c>
      <c r="I29" s="182" t="str">
        <f>IF(OR($H$6="",$H$7=""),"",IF($B29="","",IF(ISNA(VLOOKUP($B29,'LT01'!$B$11:$R$75,14,FALSE)),"",VLOOKUP($B29,'LT01'!$B$11:$R$75,14,FALSE))))</f>
        <v/>
      </c>
      <c r="J29" s="183"/>
      <c r="K29" s="182" t="str">
        <f>IF(OR($H$6="",$H$7=""),"",IF($B29="","",IF(ISNA(VLOOKUP($B29,'LT01'!$B$11:$R$75,17,FALSE)),"",VLOOKUP($B29,'LT01'!$B$11:$R$75,17,FALSE))))</f>
        <v/>
      </c>
      <c r="L29" s="185" t="str">
        <f>IF(OR($H$6="",$H$7=""),"",IF($B29="","",IF(ISNA(VLOOKUP($B29,'LT02'!$B$11:$R$75,13,FALSE)),"",IF(VLOOKUP($B29,'LT02'!$B$11:$R$75,13,FALSE)="","",VLOOKUP($B29,'LT02'!$B$11:$R$75,13,FALSE)))))</f>
        <v/>
      </c>
      <c r="M29" s="182" t="str">
        <f>IF(OR($H$6="",$H$7=""),"",IF($B29="","",IF(ISNA(VLOOKUP($B29,'LT02'!$B$11:$R$75,14,FALSE)),"",VLOOKUP($B29,'LT02'!$B$11:$R$75,14,FALSE))))</f>
        <v/>
      </c>
      <c r="N29" s="183"/>
      <c r="O29" s="182" t="str">
        <f>IF(OR($H$6="",$H$7=""),"",IF($B29="","",IF(ISNA(VLOOKUP($B29,'LT02'!$B$11:$R$75,17,FALSE)),"",VLOOKUP($B29,'LT02'!$B$11:$R$75,17,FALSE))))</f>
        <v/>
      </c>
      <c r="P29" s="185">
        <f>IF(OR($H$6="",$H$7=""),"",IF($B29="","",IF(ISNA(VLOOKUP($B29,'LT03'!$B$11:$R$75,13,FALSE)),"",IF(VLOOKUP($B29,'LT03'!$B$11:$R$75,13,FALSE)="","",VLOOKUP($B29,'LT03'!$B$11:$R$75,13,FALSE)))))</f>
        <v>3.4</v>
      </c>
      <c r="Q29" s="182">
        <f>IF(OR($H$6="",$H$7=""),"",IF($B29="","",IF(ISNA(VLOOKUP($B29,'LT03'!$B$11:$R$75,14,FALSE)),"",VLOOKUP($B29,'LT03'!$B$11:$R$75,14,FALSE))))</f>
        <v>4.3</v>
      </c>
      <c r="R29" s="183"/>
      <c r="S29" s="182" t="str">
        <f>IF(OR($H$6="",$H$7=""),"",IF($B29="","",IF(ISNA(VLOOKUP($B29,'LT03'!$B$11:$R$75,17,FALSE)),"",VLOOKUP($B29,'LT03'!$B$11:$R$75,17,FALSE))))</f>
        <v/>
      </c>
      <c r="T29" s="185">
        <f>IF(OR($H$6="",$H$7=""),"",IF($B29="","",IF(ISNA(VLOOKUP($B29,'LT04'!$B$11:$R$75,13,FALSE)),"",IF(VLOOKUP($B29,'LT04'!$B$11:$R$75,13,FALSE)="","",VLOOKUP($B29,'LT04'!$B$11:$R$75,13,FALSE)))))</f>
        <v>2.8</v>
      </c>
      <c r="U29" s="182">
        <f>IF(OR($H$6="",$H$7=""),"",IF($B29="","",IF(ISNA(VLOOKUP($B29,'LT04'!$B$11:$R$75,14,FALSE)),"",VLOOKUP($B29,'LT04'!$B$11:$R$75,14,FALSE))))</f>
        <v>3.1</v>
      </c>
      <c r="V29" s="183"/>
      <c r="W29" s="184" t="str">
        <f>IF(OR($H$6="",$H$7=""),"",IF($B29="","",IF(ISNA(VLOOKUP($B29,'LT04'!$B$11:$R$75,17,FALSE)),"",VLOOKUP($B29,'LT04'!$B$11:$R$75,17,FALSE))))</f>
        <v/>
      </c>
      <c r="X29" s="185">
        <f>IF(OR($H$6="",$H$7=""),"",IF($B29="","",IF(ISNA(VLOOKUP($B29,'LT05'!$B$11:$R$75,13,FALSE)),"",IF(VLOOKUP($B29,'LT05'!$B$11:$R$75,13,FALSE)="","",VLOOKUP($B29,'LT05'!$B$11:$R$75,13,FALSE)))))</f>
        <v>5.8</v>
      </c>
      <c r="Y29" s="182">
        <f>IF(OR($H$6="",$H$7=""),"",IF($B29="","",IF(ISNA(VLOOKUP($B29,'LT05'!$B$11:$R$75,14,FALSE)),"",VLOOKUP($B29,'LT05'!$B$11:$R$75,14,FALSE))))</f>
        <v>4.4000000000000004</v>
      </c>
      <c r="Z29" s="183"/>
      <c r="AA29" s="182" t="str">
        <f>IF(OR($H$6="",$H$7=""),"",IF($B29="","",IF(ISNA(VLOOKUP($B29,'LT05'!$B$11:$R$75,17,FALSE)),"",VLOOKUP($B29,'LT05'!$B$11:$R$75,17,FALSE))))</f>
        <v/>
      </c>
      <c r="AB29" s="185">
        <f>IF(OR($H$6="",$H$7=""),"",IF($B29="","",IF(ISNA(VLOOKUP($B29,'LT06'!$B$11:$R$75,13,FALSE)),"",IF(VLOOKUP($B29,'LT06'!$B$11:$R$75,13,FALSE)="","",VLOOKUP($B29,'LT06'!$B$11:$R$75,13,FALSE)))))</f>
        <v>1</v>
      </c>
      <c r="AC29" s="182">
        <f>IF(OR($H$6="",$H$7=""),"",IF($B29="","",IF(ISNA(VLOOKUP($B29,'LT06'!$B$11:$R$75,14,FALSE)),"",VLOOKUP($B29,'LT06'!$B$11:$R$75,14,FALSE))))</f>
        <v>2.2999999999999998</v>
      </c>
      <c r="AD29" s="183"/>
      <c r="AE29" s="182" t="str">
        <f>IF(OR($H$6="",$H$7=""),"",IF($B29="","",IF(ISNA(VLOOKUP($B29,'LT06'!$B$11:$R$75,17,FALSE)),"",VLOOKUP($B29,'LT06'!$B$11:$R$75,17,FALSE))))</f>
        <v/>
      </c>
      <c r="AF29" s="185" t="str">
        <f>IF(OR($H$6="",$H$7=""),"",IF($B29="","",IF(ISNA(VLOOKUP($B29,'LT07'!$B$11:$R$75,13,FALSE)),"",IF(VLOOKUP($B29,'LT07'!$B$11:$R$75,13,FALSE)="","",VLOOKUP($B29,'LT07'!$B$11:$R$75,13,FALSE)))))</f>
        <v/>
      </c>
      <c r="AG29" s="182" t="str">
        <f>IF(OR($H$6="",$H$7=""),"",IF($B29="","",IF(ISNA(VLOOKUP($B29,'LT07'!$B$11:$R$75,14,FALSE)),"",VLOOKUP($B29,'LT07'!$B$11:$R$75,14,FALSE))))</f>
        <v/>
      </c>
      <c r="AH29" s="183"/>
      <c r="AI29" s="182" t="str">
        <f>IF(OR($H$6="",$H$7=""),"",IF($B29="","",IF(ISNA(VLOOKUP($B29,'LT07'!$B$11:$R$75,17,FALSE)),"",VLOOKUP($B29,'LT07'!$B$11:$R$75,17,FALSE))))</f>
        <v/>
      </c>
      <c r="AJ29" s="185" t="str">
        <f>IF(OR($H$6="",$H$7=""),"",IF($B29="","",IF(ISNA(VLOOKUP($B29,'LT08'!$B$11:$R$75,13,FALSE)),"",IF(VLOOKUP($B29,'LT08'!$B$11:$R$75,13,FALSE)="","",VLOOKUP($B29,'LT08'!$B$11:$R$75,13,FALSE)))))</f>
        <v/>
      </c>
      <c r="AK29" s="182" t="str">
        <f>IF(OR($H$6="",$H$7=""),"",IF($B29="","",IF(ISNA(VLOOKUP($B29,'LT08'!$B$11:$R$75,14,FALSE)),"",VLOOKUP($B29,'LT08'!$B$11:$R$75,14,FALSE))))</f>
        <v/>
      </c>
      <c r="AL29" s="183"/>
      <c r="AM29" s="182" t="str">
        <f>IF(OR($H$6="",$H$7=""),"",IF($B29="","",IF(ISNA(VLOOKUP($B29,'LT08'!$B$11:$R$75,17,FALSE)),"",VLOOKUP($B29,'LT08'!$B$11:$R$75,17,FALSE))))</f>
        <v/>
      </c>
      <c r="AN29" s="185" t="str">
        <f>IF(OR($H$6="",$H$7=""),"",IF($B29="","",IF(ISNA(VLOOKUP($B29,'LT09'!$B$11:$R$75,13,FALSE)),"",IF(VLOOKUP($B29,'LT09'!$B$11:$R$75,13,FALSE)="","",VLOOKUP($B29,'LT09'!$B$11:$R$75,13,FALSE)))))</f>
        <v/>
      </c>
      <c r="AO29" s="182" t="str">
        <f>IF(OR($H$6="",$H$7=""),"",IF($B29="","",IF(ISNA(VLOOKUP($B29,'LT09'!$B$11:$R$75,14,FALSE)),"",VLOOKUP($B29,'LT09'!$B$11:$R$75,14,FALSE))))</f>
        <v/>
      </c>
      <c r="AP29" s="183"/>
      <c r="AQ29" s="182" t="str">
        <f>IF(OR($H$6="",$H$7=""),"",IF($B29="","",IF(ISNA(VLOOKUP($B29,'LT09'!$B$11:$R$75,17,FALSE)),"",VLOOKUP($B29,'LT09'!$B$11:$R$75,17,FALSE))))</f>
        <v/>
      </c>
      <c r="AR29" s="186"/>
      <c r="AS29" s="182">
        <f>IF(OR($H$6="",$H$7=""),"",IF($B29="","",IF(ISNA(VLOOKUP($B29,'TH01'!$B$11:$R$75,14,FALSE)),"",VLOOKUP($B29,'TH01'!$B$11:$R$75,14,FALSE))))</f>
        <v>5</v>
      </c>
      <c r="AT29" s="183"/>
      <c r="AU29" s="187"/>
      <c r="AV29" s="186"/>
      <c r="AW29" s="182">
        <f>IF(OR($H$6="",$H$7=""),"",IF($B29="","",IF(ISNA(VLOOKUP($B29,'TH02'!$B$11:$R$75,14,FALSE)),"",VLOOKUP($B29,'TH02'!$B$11:$R$75,14,FALSE))))</f>
        <v>6.5</v>
      </c>
      <c r="AX29" s="183"/>
      <c r="AY29" s="187"/>
      <c r="AZ29" s="54">
        <f t="shared" si="24"/>
        <v>4.2699999999999996</v>
      </c>
      <c r="BA29" s="54" t="str">
        <f t="shared" si="0"/>
        <v/>
      </c>
      <c r="BB29" s="70">
        <v>23</v>
      </c>
      <c r="BC29" s="52" t="str">
        <f t="shared" si="25"/>
        <v>TBY</v>
      </c>
      <c r="BD29" s="52" t="str">
        <f t="shared" si="26"/>
        <v/>
      </c>
      <c r="BE29" s="52" t="str">
        <f t="shared" si="1"/>
        <v/>
      </c>
      <c r="BF29" s="149" t="str">
        <f t="shared" si="2"/>
        <v/>
      </c>
      <c r="BG29" s="52">
        <f t="shared" si="3"/>
        <v>9</v>
      </c>
      <c r="BH29" s="52">
        <f t="shared" si="27"/>
        <v>4</v>
      </c>
      <c r="BI29" s="52">
        <f t="shared" si="4"/>
        <v>9</v>
      </c>
      <c r="BJ29" s="52">
        <f t="shared" si="5"/>
        <v>4</v>
      </c>
      <c r="BK29" s="54">
        <f t="shared" si="6"/>
        <v>5.08</v>
      </c>
      <c r="BL29" s="54" t="str">
        <f t="shared" si="7"/>
        <v>Y</v>
      </c>
      <c r="BM29" s="54">
        <f t="shared" si="8"/>
        <v>5.08</v>
      </c>
      <c r="BN29" s="54" t="str">
        <f t="shared" si="9"/>
        <v>Y</v>
      </c>
      <c r="BO29" s="70"/>
      <c r="BP29" s="52">
        <f>IF(ISNA(VLOOKUP(B29,'TICH LUY'!B:D,2,0)),"",VLOOKUP(B29,'TICH LUY'!B:D,2,0)+BI29)</f>
        <v>37</v>
      </c>
      <c r="BQ29" s="52">
        <f>IF(ISNA(VLOOKUP(B29,'TICH LUY'!B:D,3,0)),"",VLOOKUP(B29,'TICH LUY'!B:D,3,0)+BJ29)</f>
        <v>15</v>
      </c>
      <c r="BR29" s="40">
        <f t="shared" si="10"/>
        <v>3</v>
      </c>
      <c r="BS29" s="452" t="str">
        <f t="shared" si="11"/>
        <v/>
      </c>
      <c r="BT29" s="452" t="str">
        <f t="shared" si="12"/>
        <v/>
      </c>
      <c r="BU29" s="452">
        <f t="shared" si="13"/>
        <v>3.4</v>
      </c>
      <c r="BV29" s="452">
        <f t="shared" si="14"/>
        <v>2.8</v>
      </c>
      <c r="BW29" s="452">
        <f t="shared" si="15"/>
        <v>5.8</v>
      </c>
      <c r="BX29" s="452">
        <f t="shared" si="16"/>
        <v>1</v>
      </c>
      <c r="BY29" s="452" t="str">
        <f t="shared" si="17"/>
        <v/>
      </c>
      <c r="BZ29" s="452" t="str">
        <f t="shared" si="28"/>
        <v/>
      </c>
      <c r="CA29" s="452" t="str">
        <f t="shared" si="29"/>
        <v/>
      </c>
      <c r="CB29" s="452">
        <f t="shared" si="30"/>
        <v>5</v>
      </c>
      <c r="CC29" s="452">
        <f t="shared" si="18"/>
        <v>6.5</v>
      </c>
      <c r="CD29" s="40">
        <f t="shared" si="31"/>
        <v>2</v>
      </c>
      <c r="CE29" s="453" t="str">
        <f t="shared" si="80"/>
        <v/>
      </c>
      <c r="CF29" s="452" t="str">
        <f t="shared" si="32"/>
        <v/>
      </c>
      <c r="CG29" s="452">
        <f t="shared" si="81"/>
        <v>4.3</v>
      </c>
      <c r="CH29" s="452">
        <f t="shared" si="82"/>
        <v>3.1</v>
      </c>
      <c r="CI29" s="452">
        <f t="shared" si="83"/>
        <v>4.4000000000000004</v>
      </c>
      <c r="CJ29" s="452">
        <f t="shared" si="84"/>
        <v>2.2999999999999998</v>
      </c>
      <c r="CK29" s="452" t="str">
        <f t="shared" si="85"/>
        <v/>
      </c>
      <c r="CL29" s="452" t="str">
        <f t="shared" si="33"/>
        <v/>
      </c>
      <c r="CM29" s="452" t="str">
        <f t="shared" si="34"/>
        <v/>
      </c>
      <c r="CN29" s="452">
        <f t="shared" si="35"/>
        <v>5</v>
      </c>
      <c r="CO29" s="452">
        <f t="shared" si="19"/>
        <v>6.5</v>
      </c>
      <c r="CP29" s="454">
        <f t="shared" si="36"/>
        <v>4.2699999999999996</v>
      </c>
      <c r="CQ29" s="527">
        <f>IF(OR(ISNA(VLOOKUP($B29,'TICH LUY'!$B$11:$BY$85,54,0)),$B29=""),"",VLOOKUP($B29,'TICH LUY'!$B$11:$BY$85,54,0))</f>
        <v>4.4000000000000004</v>
      </c>
      <c r="CR29" s="507">
        <f>IF(OR(ISNA(VLOOKUP($B29,'TICH LUY'!$B$11:$BY$85,55,0)),$B29=""),"",VLOOKUP($B29,'TICH LUY'!$B$11:$BY$85,55,0))</f>
        <v>4.5999999999999996</v>
      </c>
      <c r="CS29" s="507">
        <f>IF(OR(ISNA(VLOOKUP($B29,'TICH LUY'!$B$11:$BY$85,56,0)),$B29=""),"",VLOOKUP($B29,'TICH LUY'!$B$11:$BY$85,56,0))</f>
        <v>5.0999999999999996</v>
      </c>
      <c r="CT29" s="507">
        <f>IF(OR(ISNA(VLOOKUP($B29,'TICH LUY'!$B$11:$BY$85,57,0)),$B29=""),"",VLOOKUP($B29,'TICH LUY'!$B$11:$BY$85,57,0))</f>
        <v>5.5</v>
      </c>
      <c r="CU29" s="507">
        <f>IF(OR(ISNA(VLOOKUP($B29,'TICH LUY'!$B$11:$BY$85,58,0)),$B29=""),"",VLOOKUP($B29,'TICH LUY'!$B$11:$BY$85,58,0))</f>
        <v>5</v>
      </c>
      <c r="CV29" s="507" t="str">
        <f>IF(OR(ISNA(VLOOKUP($B29,'TICH LUY'!$B$11:$BY$85,59,0)),$B29=""),"",VLOOKUP($B29,'TICH LUY'!$B$11:$BY$85,59,0))</f>
        <v/>
      </c>
      <c r="CW29" s="507">
        <f>IF(OR(ISNA(VLOOKUP($B29,'TICH LUY'!$B$11:$BY$85,60,0)),$B29=""),"",VLOOKUP($B29,'TICH LUY'!$B$11:$BY$85,60,0))</f>
        <v>5.7</v>
      </c>
      <c r="CX29" s="507" t="str">
        <f>IF(OR(ISNA(VLOOKUP($B29,'TICH LUY'!$B$11:$BY$85,61,0)),$B29=""),"",VLOOKUP($B29,'TICH LUY'!$B$11:$BY$85,61,0))</f>
        <v/>
      </c>
      <c r="CY29" s="507" t="str">
        <f>IF(OR(ISNA(VLOOKUP($B29,'TICH LUY'!$B$11:$BY$85,62,0)),$B29=""),"",VLOOKUP($B29,'TICH LUY'!$B$11:$BY$85,62,0))</f>
        <v/>
      </c>
      <c r="CZ29" s="507" t="str">
        <f>IF(OR(ISNA(VLOOKUP($B29,'TICH LUY'!$B$11:$BY$85,63,0)),$B29=""),"",VLOOKUP($B29,'TICH LUY'!$B$11:$BY$85,63,0))</f>
        <v/>
      </c>
      <c r="DA29" s="507">
        <f>IF(OR(ISNA(VLOOKUP($B29,'TICH LUY'!$B$11:$BY$85,64,0)),$B29=""),"",VLOOKUP($B29,'TICH LUY'!$B$11:$BY$85,64,0))</f>
        <v>4.5999999999999996</v>
      </c>
      <c r="DB29" s="507" t="str">
        <f>IF(OR(ISNA(VLOOKUP($B29,'TICH LUY'!$B$11:$BY$85,65,0)),$B29=""),"",VLOOKUP($B29,'TICH LUY'!$B$11:$BY$85,65,0))</f>
        <v/>
      </c>
      <c r="DC29" s="507">
        <f>IF(OR(ISNA(VLOOKUP($B29,'TICH LUY'!$B$11:$BY$85,66,0)),$B29=""),"",VLOOKUP($B29,'TICH LUY'!$B$11:$BY$85,66,0))</f>
        <v>4.9000000000000004</v>
      </c>
      <c r="DD29" s="507" t="str">
        <f>IF(OR(ISNA(VLOOKUP($B29,'TICH LUY'!$B$11:$BY$85,67,0)),$B29=""),"",VLOOKUP($B29,'TICH LUY'!$B$11:$BY$85,67,0))</f>
        <v/>
      </c>
      <c r="DE29" s="507">
        <f>IF(OR(ISNA(VLOOKUP($B29,'TICH LUY'!$B$11:$BY$85,68,0)),$B29=""),"",VLOOKUP($B29,'TICH LUY'!$B$11:$BY$85,68,0))</f>
        <v>5.6</v>
      </c>
      <c r="DF29" s="507">
        <f>IF(OR(ISNA(VLOOKUP($B29,'TICH LUY'!$B$11:$BY$85,69,0)),$B29=""),"",VLOOKUP($B29,'TICH LUY'!$B$11:$BY$85,69,0))</f>
        <v>5.3</v>
      </c>
      <c r="DG29" s="507" t="str">
        <f>IF(OR(ISNA(VLOOKUP($B29,'TICH LUY'!$B$11:$BY$85,70,0)),$B29=""),"",VLOOKUP($B29,'TICH LUY'!$B$11:$BY$85,70,0))</f>
        <v/>
      </c>
      <c r="DH29" s="507">
        <f>IF(OR(ISNA(VLOOKUP($B29,'TICH LUY'!$B$11:$BY$85,71,0)),$B29=""),"",VLOOKUP($B29,'TICH LUY'!$B$11:$BY$85,71,0))</f>
        <v>6.3</v>
      </c>
      <c r="DI29" s="507" t="str">
        <f>IF(OR(ISNA(VLOOKUP($B29,'TICH LUY'!$B$11:$BY$85,72,0)),$B29=""),"",VLOOKUP($B29,'TICH LUY'!$B$11:$BY$85,72,0))</f>
        <v/>
      </c>
      <c r="DJ29" s="507" t="str">
        <f>IF(OR(ISNA(VLOOKUP($B29,'TICH LUY'!$B$11:$BY$85,73,0)),$B29=""),"",VLOOKUP($B29,'TICH LUY'!$B$11:$BY$85,73,0))</f>
        <v/>
      </c>
      <c r="DK29" s="507" t="str">
        <f>IF(OR(ISNA(VLOOKUP($B29,'TICH LUY'!$B$11:$BY$85,74,0)),$B29=""),"",VLOOKUP($B29,'TICH LUY'!$B$11:$BY$85,74,0))</f>
        <v/>
      </c>
      <c r="DL29" s="507">
        <f>IF(OR(ISNA(VLOOKUP($B29,'TICH LUY'!$B$11:$BY$85,75,0)),$B29=""),"",VLOOKUP($B29,'TICH LUY'!$B$11:$BY$85,75,0))</f>
        <v>5.4</v>
      </c>
      <c r="DM29" s="529" t="str">
        <f>IF(OR(ISNA(VLOOKUP($B29,'TICH LUY'!$B$11:$BY$85,76,0)),$B29=""),"",VLOOKUP($B29,'TICH LUY'!$B$11:$BY$85,76,0))</f>
        <v/>
      </c>
      <c r="DN29" s="455" t="str">
        <f t="shared" si="37"/>
        <v/>
      </c>
      <c r="DO29" s="456" t="str">
        <f t="shared" si="38"/>
        <v/>
      </c>
      <c r="DP29" s="456">
        <f t="shared" si="39"/>
        <v>4.3</v>
      </c>
      <c r="DQ29" s="456" t="str">
        <f t="shared" si="40"/>
        <v/>
      </c>
      <c r="DR29" s="456">
        <f t="shared" si="41"/>
        <v>4.4000000000000004</v>
      </c>
      <c r="DS29" s="456" t="str">
        <f t="shared" si="42"/>
        <v/>
      </c>
      <c r="DT29" s="456" t="str">
        <f t="shared" si="43"/>
        <v/>
      </c>
      <c r="DU29" s="456" t="str">
        <f t="shared" si="44"/>
        <v/>
      </c>
      <c r="DV29" s="456" t="str">
        <f t="shared" si="45"/>
        <v/>
      </c>
      <c r="DW29" s="456">
        <f t="shared" si="46"/>
        <v>5</v>
      </c>
      <c r="DX29" s="456">
        <f t="shared" si="47"/>
        <v>6.5</v>
      </c>
      <c r="DY29" s="457">
        <f t="shared" si="48"/>
        <v>5.08</v>
      </c>
      <c r="DZ29" s="453" t="str">
        <f t="shared" si="49"/>
        <v/>
      </c>
      <c r="EA29" s="452" t="str">
        <f t="shared" si="50"/>
        <v/>
      </c>
      <c r="EB29" s="452" t="str">
        <f t="shared" si="51"/>
        <v/>
      </c>
      <c r="EC29" s="452" t="str">
        <f t="shared" si="52"/>
        <v/>
      </c>
      <c r="ED29" s="452" t="str">
        <f t="shared" si="53"/>
        <v/>
      </c>
      <c r="EE29" s="452" t="str">
        <f t="shared" si="54"/>
        <v/>
      </c>
      <c r="EF29" s="452" t="str">
        <f t="shared" si="55"/>
        <v/>
      </c>
      <c r="EG29" s="452" t="str">
        <f t="shared" si="56"/>
        <v/>
      </c>
      <c r="EH29" s="452" t="str">
        <f t="shared" si="57"/>
        <v/>
      </c>
      <c r="EI29" s="453" t="str">
        <f t="shared" si="58"/>
        <v/>
      </c>
      <c r="EJ29" s="452" t="str">
        <f t="shared" si="59"/>
        <v/>
      </c>
      <c r="EK29" s="452">
        <f t="shared" si="60"/>
        <v>4.3</v>
      </c>
      <c r="EL29" s="452">
        <f t="shared" si="61"/>
        <v>3.1</v>
      </c>
      <c r="EM29" s="452">
        <f t="shared" si="62"/>
        <v>4.4000000000000004</v>
      </c>
      <c r="EN29" s="452">
        <f t="shared" si="63"/>
        <v>2.2999999999999998</v>
      </c>
      <c r="EO29" s="452" t="str">
        <f t="shared" si="64"/>
        <v/>
      </c>
      <c r="EP29" s="452" t="str">
        <f t="shared" si="65"/>
        <v/>
      </c>
      <c r="EQ29" s="452" t="str">
        <f t="shared" si="66"/>
        <v/>
      </c>
      <c r="ER29" s="452">
        <f t="shared" si="67"/>
        <v>5</v>
      </c>
      <c r="ES29" s="452">
        <f t="shared" si="21"/>
        <v>6.5</v>
      </c>
      <c r="ET29" s="458" t="str">
        <f t="shared" si="68"/>
        <v/>
      </c>
      <c r="EU29" s="527">
        <f>IF(OR(ISNA(VLOOKUP($B29,'TICH LUY'!$B$11:$BY$85,54,0)),$B29=""),"",VLOOKUP($B29,'TICH LUY'!$B$11:$BY$85,54,0))</f>
        <v>4.4000000000000004</v>
      </c>
      <c r="EV29" s="507">
        <f>IF(OR(ISNA(VLOOKUP($B29,'TICH LUY'!$B$11:$BY$85,55,0)),$B29=""),"",VLOOKUP($B29,'TICH LUY'!$B$11:$BY$85,55,0))</f>
        <v>4.5999999999999996</v>
      </c>
      <c r="EW29" s="507">
        <f>IF(OR(ISNA(VLOOKUP($B29,'TICH LUY'!$B$11:$BY$85,56,0)),$B29=""),"",VLOOKUP($B29,'TICH LUY'!$B$11:$BY$85,56,0))</f>
        <v>5.0999999999999996</v>
      </c>
      <c r="EX29" s="507">
        <f>IF(OR(ISNA(VLOOKUP($B29,'TICH LUY'!$B$11:$BY$85,57,0)),$B29=""),"",VLOOKUP($B29,'TICH LUY'!$B$11:$BY$85,57,0))</f>
        <v>5.5</v>
      </c>
      <c r="EY29" s="507">
        <f>IF(OR(ISNA(VLOOKUP($B29,'TICH LUY'!$B$11:$BY$85,58,0)),$B29=""),"",VLOOKUP($B29,'TICH LUY'!$B$11:$BY$85,58,0))</f>
        <v>5</v>
      </c>
      <c r="EZ29" s="507" t="str">
        <f>IF(OR(ISNA(VLOOKUP($B29,'TICH LUY'!$B$11:$BY$85,59,0)),$B29=""),"",VLOOKUP($B29,'TICH LUY'!$B$11:$BY$85,59,0))</f>
        <v/>
      </c>
      <c r="FA29" s="507">
        <f>IF(OR(ISNA(VLOOKUP($B29,'TICH LUY'!$B$11:$BY$85,60,0)),$B29=""),"",VLOOKUP($B29,'TICH LUY'!$B$11:$BY$85,60,0))</f>
        <v>5.7</v>
      </c>
      <c r="FB29" s="507" t="str">
        <f>IF(OR(ISNA(VLOOKUP($B29,'TICH LUY'!$B$11:$BY$85,61,0)),$B29=""),"",VLOOKUP($B29,'TICH LUY'!$B$11:$BY$85,61,0))</f>
        <v/>
      </c>
      <c r="FC29" s="507" t="str">
        <f>IF(OR(ISNA(VLOOKUP($B29,'TICH LUY'!$B$11:$BY$85,62,0)),$B29=""),"",VLOOKUP($B29,'TICH LUY'!$B$11:$BY$85,62,0))</f>
        <v/>
      </c>
      <c r="FD29" s="507" t="str">
        <f>IF(OR(ISNA(VLOOKUP($B29,'TICH LUY'!$B$11:$BY$85,63,0)),$B29=""),"",VLOOKUP($B29,'TICH LUY'!$B$11:$BY$85,63,0))</f>
        <v/>
      </c>
      <c r="FE29" s="507">
        <f>IF(OR(ISNA(VLOOKUP($B29,'TICH LUY'!$B$11:$BY$85,64,0)),$B29=""),"",VLOOKUP($B29,'TICH LUY'!$B$11:$BY$85,64,0))</f>
        <v>4.5999999999999996</v>
      </c>
      <c r="FF29" s="507" t="str">
        <f>IF(OR(ISNA(VLOOKUP($B29,'TICH LUY'!$B$11:$BY$85,65,0)),$B29=""),"",VLOOKUP($B29,'TICH LUY'!$B$11:$BY$85,65,0))</f>
        <v/>
      </c>
      <c r="FG29" s="507">
        <f>IF(OR(ISNA(VLOOKUP($B29,'TICH LUY'!$B$11:$BY$85,66,0)),$B29=""),"",VLOOKUP($B29,'TICH LUY'!$B$11:$BY$85,66,0))</f>
        <v>4.9000000000000004</v>
      </c>
      <c r="FH29" s="507" t="str">
        <f>IF(OR(ISNA(VLOOKUP($B29,'TICH LUY'!$B$11:$BY$85,67,0)),$B29=""),"",VLOOKUP($B29,'TICH LUY'!$B$11:$BY$85,67,0))</f>
        <v/>
      </c>
      <c r="FI29" s="507">
        <f>IF(OR(ISNA(VLOOKUP($B29,'TICH LUY'!$B$11:$BY$85,68,0)),$B29=""),"",VLOOKUP($B29,'TICH LUY'!$B$11:$BY$85,68,0))</f>
        <v>5.6</v>
      </c>
      <c r="FJ29" s="507">
        <f>IF(OR(ISNA(VLOOKUP($B29,'TICH LUY'!$B$11:$BY$85,69,0)),$B29=""),"",VLOOKUP($B29,'TICH LUY'!$B$11:$BY$85,69,0))</f>
        <v>5.3</v>
      </c>
      <c r="FK29" s="507" t="str">
        <f>IF(OR(ISNA(VLOOKUP($B29,'TICH LUY'!$B$11:$BY$85,70,0)),$B29=""),"",VLOOKUP($B29,'TICH LUY'!$B$11:$BY$85,70,0))</f>
        <v/>
      </c>
      <c r="FL29" s="507">
        <f>IF(OR(ISNA(VLOOKUP($B29,'TICH LUY'!$B$11:$BY$85,71,0)),$B29=""),"",VLOOKUP($B29,'TICH LUY'!$B$11:$BY$85,71,0))</f>
        <v>6.3</v>
      </c>
      <c r="FM29" s="507" t="str">
        <f>IF(OR(ISNA(VLOOKUP($B29,'TICH LUY'!$B$11:$BY$85,72,0)),$B29=""),"",VLOOKUP($B29,'TICH LUY'!$B$11:$BY$85,72,0))</f>
        <v/>
      </c>
      <c r="FN29" s="507" t="str">
        <f>IF(OR(ISNA(VLOOKUP($B29,'TICH LUY'!$B$11:$BY$85,73,0)),$B29=""),"",VLOOKUP($B29,'TICH LUY'!$B$11:$BY$85,73,0))</f>
        <v/>
      </c>
      <c r="FO29" s="507" t="str">
        <f>IF(OR(ISNA(VLOOKUP($B29,'TICH LUY'!$B$11:$BY$85,74,0)),$B29=""),"",VLOOKUP($B29,'TICH LUY'!$B$11:$BY$85,74,0))</f>
        <v/>
      </c>
      <c r="FP29" s="507">
        <f>IF(OR(ISNA(VLOOKUP($B29,'TICH LUY'!$B$11:$BY$85,75,0)),$B29=""),"",VLOOKUP($B29,'TICH LUY'!$B$11:$BY$85,75,0))</f>
        <v>5.4</v>
      </c>
      <c r="FQ29" s="529" t="str">
        <f>IF(OR(ISNA(VLOOKUP($B29,'TICH LUY'!$B$11:$BY$85,76,0)),$B29=""),"",VLOOKUP($B29,'TICH LUY'!$B$11:$BY$85,76,0))</f>
        <v/>
      </c>
      <c r="FR29" s="455" t="str">
        <f t="shared" si="69"/>
        <v/>
      </c>
      <c r="FS29" s="456" t="str">
        <f t="shared" si="70"/>
        <v/>
      </c>
      <c r="FT29" s="456">
        <f t="shared" si="71"/>
        <v>4.3</v>
      </c>
      <c r="FU29" s="456" t="str">
        <f t="shared" si="72"/>
        <v/>
      </c>
      <c r="FV29" s="456">
        <f t="shared" si="73"/>
        <v>4.4000000000000004</v>
      </c>
      <c r="FW29" s="456" t="str">
        <f t="shared" si="74"/>
        <v/>
      </c>
      <c r="FX29" s="456" t="str">
        <f t="shared" si="75"/>
        <v/>
      </c>
      <c r="FY29" s="456" t="str">
        <f t="shared" si="76"/>
        <v/>
      </c>
      <c r="FZ29" s="456" t="str">
        <f t="shared" si="77"/>
        <v/>
      </c>
      <c r="GA29" s="456">
        <f t="shared" si="78"/>
        <v>5</v>
      </c>
      <c r="GB29" s="459">
        <f t="shared" si="79"/>
        <v>6.5</v>
      </c>
      <c r="GC29" s="457">
        <f t="shared" si="23"/>
        <v>5.08</v>
      </c>
    </row>
    <row r="30" spans="1:185" s="221" customFormat="1" ht="15.75">
      <c r="A30" s="449">
        <f>IF(B30="","",SUBTOTAL(3,$B$11:B30))</f>
        <v>20</v>
      </c>
      <c r="B30" s="198" t="s">
        <v>2063</v>
      </c>
      <c r="C30" s="450" t="str">
        <f>IF($B30="","",VLOOKUP($B30,'DS LOP HKI'!$B$2:$F$2642,2,0))</f>
        <v>Võ Hoài</v>
      </c>
      <c r="D30" s="451" t="str">
        <f>IF($B30="","",VLOOKUP($B30,'DS LOP HKI'!$B$2:$F$2642,3,0))</f>
        <v>Nam</v>
      </c>
      <c r="E30" s="154"/>
      <c r="F30" s="152"/>
      <c r="G30" s="156">
        <v>5</v>
      </c>
      <c r="H30" s="181">
        <f>IF(OR($H$6="",$H$7=""),"",IF($B30="","",IF(ISNA(VLOOKUP($B30,'LT01'!$B$11:$R$75,13,FALSE)),"",IF(VLOOKUP($B30,'LT01'!$B$11:$R$75,13,FALSE)="","",VLOOKUP($B30,'LT01'!$B$11:$R$75,13,FALSE)))))</f>
        <v>3.4</v>
      </c>
      <c r="I30" s="182">
        <f>IF(OR($H$6="",$H$7=""),"",IF($B30="","",IF(ISNA(VLOOKUP($B30,'LT01'!$B$11:$R$75,14,FALSE)),"",VLOOKUP($B30,'LT01'!$B$11:$R$75,14,FALSE))))</f>
        <v>5.7</v>
      </c>
      <c r="J30" s="183"/>
      <c r="K30" s="182" t="str">
        <f>IF(OR($H$6="",$H$7=""),"",IF($B30="","",IF(ISNA(VLOOKUP($B30,'LT01'!$B$11:$R$75,17,FALSE)),"",VLOOKUP($B30,'LT01'!$B$11:$R$75,17,FALSE))))</f>
        <v/>
      </c>
      <c r="L30" s="185">
        <f>IF(OR($H$6="",$H$7=""),"",IF($B30="","",IF(ISNA(VLOOKUP($B30,'LT02'!$B$11:$R$75,13,FALSE)),"",IF(VLOOKUP($B30,'LT02'!$B$11:$R$75,13,FALSE)="","",VLOOKUP($B30,'LT02'!$B$11:$R$75,13,FALSE)))))</f>
        <v>6.5</v>
      </c>
      <c r="M30" s="182">
        <f>IF(OR($H$6="",$H$7=""),"",IF($B30="","",IF(ISNA(VLOOKUP($B30,'LT02'!$B$11:$R$75,14,FALSE)),"",VLOOKUP($B30,'LT02'!$B$11:$R$75,14,FALSE))))</f>
        <v>6.3</v>
      </c>
      <c r="N30" s="183"/>
      <c r="O30" s="182" t="str">
        <f>IF(OR($H$6="",$H$7=""),"",IF($B30="","",IF(ISNA(VLOOKUP($B30,'LT02'!$B$11:$R$75,17,FALSE)),"",VLOOKUP($B30,'LT02'!$B$11:$R$75,17,FALSE))))</f>
        <v/>
      </c>
      <c r="P30" s="185">
        <f>IF(OR($H$6="",$H$7=""),"",IF($B30="","",IF(ISNA(VLOOKUP($B30,'LT03'!$B$11:$R$75,13,FALSE)),"",IF(VLOOKUP($B30,'LT03'!$B$11:$R$75,13,FALSE)="","",VLOOKUP($B30,'LT03'!$B$11:$R$75,13,FALSE)))))</f>
        <v>3.6</v>
      </c>
      <c r="Q30" s="182">
        <f>IF(OR($H$6="",$H$7=""),"",IF($B30="","",IF(ISNA(VLOOKUP($B30,'LT03'!$B$11:$R$75,14,FALSE)),"",VLOOKUP($B30,'LT03'!$B$11:$R$75,14,FALSE))))</f>
        <v>4.9000000000000004</v>
      </c>
      <c r="R30" s="183"/>
      <c r="S30" s="182" t="str">
        <f>IF(OR($H$6="",$H$7=""),"",IF($B30="","",IF(ISNA(VLOOKUP($B30,'LT03'!$B$11:$R$75,17,FALSE)),"",VLOOKUP($B30,'LT03'!$B$11:$R$75,17,FALSE))))</f>
        <v/>
      </c>
      <c r="T30" s="185">
        <f>IF(OR($H$6="",$H$7=""),"",IF($B30="","",IF(ISNA(VLOOKUP($B30,'LT04'!$B$11:$R$75,13,FALSE)),"",IF(VLOOKUP($B30,'LT04'!$B$11:$R$75,13,FALSE)="","",VLOOKUP($B30,'LT04'!$B$11:$R$75,13,FALSE)))))</f>
        <v>3.3</v>
      </c>
      <c r="U30" s="182">
        <f>IF(OR($H$6="",$H$7=""),"",IF($B30="","",IF(ISNA(VLOOKUP($B30,'LT04'!$B$11:$R$75,14,FALSE)),"",VLOOKUP($B30,'LT04'!$B$11:$R$75,14,FALSE))))</f>
        <v>4.2</v>
      </c>
      <c r="V30" s="183"/>
      <c r="W30" s="184" t="str">
        <f>IF(OR($H$6="",$H$7=""),"",IF($B30="","",IF(ISNA(VLOOKUP($B30,'LT04'!$B$11:$R$75,17,FALSE)),"",VLOOKUP($B30,'LT04'!$B$11:$R$75,17,FALSE))))</f>
        <v/>
      </c>
      <c r="X30" s="185">
        <f>IF(OR($H$6="",$H$7=""),"",IF($B30="","",IF(ISNA(VLOOKUP($B30,'LT05'!$B$11:$R$75,13,FALSE)),"",IF(VLOOKUP($B30,'LT05'!$B$11:$R$75,13,FALSE)="","",VLOOKUP($B30,'LT05'!$B$11:$R$75,13,FALSE)))))</f>
        <v>4.5</v>
      </c>
      <c r="Y30" s="182">
        <f>IF(OR($H$6="",$H$7=""),"",IF($B30="","",IF(ISNA(VLOOKUP($B30,'LT05'!$B$11:$R$75,14,FALSE)),"",VLOOKUP($B30,'LT05'!$B$11:$R$75,14,FALSE))))</f>
        <v>5.3</v>
      </c>
      <c r="Z30" s="183"/>
      <c r="AA30" s="182" t="str">
        <f>IF(OR($H$6="",$H$7=""),"",IF($B30="","",IF(ISNA(VLOOKUP($B30,'LT05'!$B$11:$R$75,17,FALSE)),"",VLOOKUP($B30,'LT05'!$B$11:$R$75,17,FALSE))))</f>
        <v/>
      </c>
      <c r="AB30" s="185">
        <f>IF(OR($H$6="",$H$7=""),"",IF($B30="","",IF(ISNA(VLOOKUP($B30,'LT06'!$B$11:$R$75,13,FALSE)),"",IF(VLOOKUP($B30,'LT06'!$B$11:$R$75,13,FALSE)="","",VLOOKUP($B30,'LT06'!$B$11:$R$75,13,FALSE)))))</f>
        <v>2.5</v>
      </c>
      <c r="AC30" s="182">
        <f>IF(OR($H$6="",$H$7=""),"",IF($B30="","",IF(ISNA(VLOOKUP($B30,'LT06'!$B$11:$R$75,14,FALSE)),"",VLOOKUP($B30,'LT06'!$B$11:$R$75,14,FALSE))))</f>
        <v>3.5</v>
      </c>
      <c r="AD30" s="183"/>
      <c r="AE30" s="182" t="str">
        <f>IF(OR($H$6="",$H$7=""),"",IF($B30="","",IF(ISNA(VLOOKUP($B30,'LT06'!$B$11:$R$75,17,FALSE)),"",VLOOKUP($B30,'LT06'!$B$11:$R$75,17,FALSE))))</f>
        <v/>
      </c>
      <c r="AF30" s="185" t="str">
        <f>IF(OR($H$6="",$H$7=""),"",IF($B30="","",IF(ISNA(VLOOKUP($B30,'LT07'!$B$11:$R$75,13,FALSE)),"",IF(VLOOKUP($B30,'LT07'!$B$11:$R$75,13,FALSE)="","",VLOOKUP($B30,'LT07'!$B$11:$R$75,13,FALSE)))))</f>
        <v/>
      </c>
      <c r="AG30" s="182" t="str">
        <f>IF(OR($H$6="",$H$7=""),"",IF($B30="","",IF(ISNA(VLOOKUP($B30,'LT07'!$B$11:$R$75,14,FALSE)),"",VLOOKUP($B30,'LT07'!$B$11:$R$75,14,FALSE))))</f>
        <v/>
      </c>
      <c r="AH30" s="183"/>
      <c r="AI30" s="182" t="str">
        <f>IF(OR($H$6="",$H$7=""),"",IF($B30="","",IF(ISNA(VLOOKUP($B30,'LT07'!$B$11:$R$75,17,FALSE)),"",VLOOKUP($B30,'LT07'!$B$11:$R$75,17,FALSE))))</f>
        <v/>
      </c>
      <c r="AJ30" s="185" t="str">
        <f>IF(OR($H$6="",$H$7=""),"",IF($B30="","",IF(ISNA(VLOOKUP($B30,'LT08'!$B$11:$R$75,13,FALSE)),"",IF(VLOOKUP($B30,'LT08'!$B$11:$R$75,13,FALSE)="","",VLOOKUP($B30,'LT08'!$B$11:$R$75,13,FALSE)))))</f>
        <v/>
      </c>
      <c r="AK30" s="182" t="str">
        <f>IF(OR($H$6="",$H$7=""),"",IF($B30="","",IF(ISNA(VLOOKUP($B30,'LT08'!$B$11:$R$75,14,FALSE)),"",VLOOKUP($B30,'LT08'!$B$11:$R$75,14,FALSE))))</f>
        <v/>
      </c>
      <c r="AL30" s="183"/>
      <c r="AM30" s="182" t="str">
        <f>IF(OR($H$6="",$H$7=""),"",IF($B30="","",IF(ISNA(VLOOKUP($B30,'LT08'!$B$11:$R$75,17,FALSE)),"",VLOOKUP($B30,'LT08'!$B$11:$R$75,17,FALSE))))</f>
        <v/>
      </c>
      <c r="AN30" s="185" t="str">
        <f>IF(OR($H$6="",$H$7=""),"",IF($B30="","",IF(ISNA(VLOOKUP($B30,'LT09'!$B$11:$R$75,13,FALSE)),"",IF(VLOOKUP($B30,'LT09'!$B$11:$R$75,13,FALSE)="","",VLOOKUP($B30,'LT09'!$B$11:$R$75,13,FALSE)))))</f>
        <v/>
      </c>
      <c r="AO30" s="182" t="str">
        <f>IF(OR($H$6="",$H$7=""),"",IF($B30="","",IF(ISNA(VLOOKUP($B30,'LT09'!$B$11:$R$75,14,FALSE)),"",VLOOKUP($B30,'LT09'!$B$11:$R$75,14,FALSE))))</f>
        <v/>
      </c>
      <c r="AP30" s="183"/>
      <c r="AQ30" s="182" t="str">
        <f>IF(OR($H$6="",$H$7=""),"",IF($B30="","",IF(ISNA(VLOOKUP($B30,'LT09'!$B$11:$R$75,17,FALSE)),"",VLOOKUP($B30,'LT09'!$B$11:$R$75,17,FALSE))))</f>
        <v/>
      </c>
      <c r="AR30" s="186"/>
      <c r="AS30" s="182">
        <f>IF(OR($H$6="",$H$7=""),"",IF($B30="","",IF(ISNA(VLOOKUP($B30,'TH01'!$B$11:$R$75,14,FALSE)),"",VLOOKUP($B30,'TH01'!$B$11:$R$75,14,FALSE))))</f>
        <v>6</v>
      </c>
      <c r="AT30" s="183"/>
      <c r="AU30" s="187"/>
      <c r="AV30" s="186"/>
      <c r="AW30" s="182">
        <f>IF(OR($H$6="",$H$7=""),"",IF($B30="","",IF(ISNA(VLOOKUP($B30,'TH02'!$B$11:$R$75,14,FALSE)),"",VLOOKUP($B30,'TH02'!$B$11:$R$75,14,FALSE))))</f>
        <v>7</v>
      </c>
      <c r="AX30" s="183"/>
      <c r="AY30" s="187"/>
      <c r="AZ30" s="54">
        <f t="shared" si="24"/>
        <v>5.39</v>
      </c>
      <c r="BA30" s="54" t="str">
        <f t="shared" si="0"/>
        <v/>
      </c>
      <c r="BB30" s="70">
        <v>50</v>
      </c>
      <c r="BC30" s="52" t="str">
        <f t="shared" si="25"/>
        <v>TBY</v>
      </c>
      <c r="BD30" s="52" t="str">
        <f t="shared" si="26"/>
        <v/>
      </c>
      <c r="BE30" s="52" t="str">
        <f t="shared" si="1"/>
        <v/>
      </c>
      <c r="BF30" s="149" t="str">
        <f t="shared" si="2"/>
        <v/>
      </c>
      <c r="BG30" s="52">
        <f t="shared" si="3"/>
        <v>16</v>
      </c>
      <c r="BH30" s="52">
        <f t="shared" si="27"/>
        <v>2</v>
      </c>
      <c r="BI30" s="52">
        <f t="shared" si="4"/>
        <v>16</v>
      </c>
      <c r="BJ30" s="52">
        <f t="shared" si="5"/>
        <v>2</v>
      </c>
      <c r="BK30" s="54">
        <f t="shared" si="6"/>
        <v>5.92</v>
      </c>
      <c r="BL30" s="54" t="str">
        <f t="shared" si="7"/>
        <v>BT</v>
      </c>
      <c r="BM30" s="54">
        <f t="shared" si="8"/>
        <v>5.92</v>
      </c>
      <c r="BN30" s="54" t="str">
        <f t="shared" si="9"/>
        <v>BT</v>
      </c>
      <c r="BO30" s="70"/>
      <c r="BP30" s="52">
        <f>IF(ISNA(VLOOKUP(B30,'TICH LUY'!B:D,2,0)),"",VLOOKUP(B30,'TICH LUY'!B:D,2,0)+BI30)</f>
        <v>53</v>
      </c>
      <c r="BQ30" s="52">
        <f>IF(ISNA(VLOOKUP(B30,'TICH LUY'!B:D,3,0)),"",VLOOKUP(B30,'TICH LUY'!B:D,3,0)+BJ30)</f>
        <v>4</v>
      </c>
      <c r="BR30" s="40">
        <f t="shared" si="10"/>
        <v>5</v>
      </c>
      <c r="BS30" s="452">
        <f t="shared" si="11"/>
        <v>3.4</v>
      </c>
      <c r="BT30" s="452">
        <f t="shared" si="12"/>
        <v>6.5</v>
      </c>
      <c r="BU30" s="452">
        <f t="shared" si="13"/>
        <v>3.6</v>
      </c>
      <c r="BV30" s="452">
        <f t="shared" si="14"/>
        <v>3.3</v>
      </c>
      <c r="BW30" s="452">
        <f t="shared" si="15"/>
        <v>4.5</v>
      </c>
      <c r="BX30" s="452">
        <f t="shared" si="16"/>
        <v>2.5</v>
      </c>
      <c r="BY30" s="452" t="str">
        <f t="shared" si="17"/>
        <v/>
      </c>
      <c r="BZ30" s="452" t="str">
        <f t="shared" si="28"/>
        <v/>
      </c>
      <c r="CA30" s="452" t="str">
        <f t="shared" si="29"/>
        <v/>
      </c>
      <c r="CB30" s="452">
        <f t="shared" si="30"/>
        <v>6</v>
      </c>
      <c r="CC30" s="452">
        <f t="shared" si="18"/>
        <v>7</v>
      </c>
      <c r="CD30" s="40">
        <f t="shared" si="31"/>
        <v>1</v>
      </c>
      <c r="CE30" s="453">
        <f t="shared" si="80"/>
        <v>5.7</v>
      </c>
      <c r="CF30" s="452">
        <f t="shared" si="32"/>
        <v>6.3</v>
      </c>
      <c r="CG30" s="452">
        <f t="shared" si="81"/>
        <v>4.9000000000000004</v>
      </c>
      <c r="CH30" s="452">
        <f t="shared" si="82"/>
        <v>4.2</v>
      </c>
      <c r="CI30" s="452">
        <f t="shared" si="83"/>
        <v>5.3</v>
      </c>
      <c r="CJ30" s="452">
        <f t="shared" si="84"/>
        <v>3.5</v>
      </c>
      <c r="CK30" s="452" t="str">
        <f t="shared" si="85"/>
        <v/>
      </c>
      <c r="CL30" s="452" t="str">
        <f t="shared" si="33"/>
        <v/>
      </c>
      <c r="CM30" s="452" t="str">
        <f t="shared" si="34"/>
        <v/>
      </c>
      <c r="CN30" s="452">
        <f t="shared" si="35"/>
        <v>6</v>
      </c>
      <c r="CO30" s="452">
        <f t="shared" si="19"/>
        <v>7</v>
      </c>
      <c r="CP30" s="454">
        <f t="shared" si="36"/>
        <v>5.39</v>
      </c>
      <c r="CQ30" s="527">
        <f>IF(OR(ISNA(VLOOKUP($B30,'TICH LUY'!$B$11:$BY$85,54,0)),$B30=""),"",VLOOKUP($B30,'TICH LUY'!$B$11:$BY$85,54,0))</f>
        <v>5.3</v>
      </c>
      <c r="CR30" s="507">
        <f>IF(OR(ISNA(VLOOKUP($B30,'TICH LUY'!$B$11:$BY$85,55,0)),$B30=""),"",VLOOKUP($B30,'TICH LUY'!$B$11:$BY$85,55,0))</f>
        <v>6.9</v>
      </c>
      <c r="CS30" s="507">
        <f>IF(OR(ISNA(VLOOKUP($B30,'TICH LUY'!$B$11:$BY$85,56,0)),$B30=""),"",VLOOKUP($B30,'TICH LUY'!$B$11:$BY$85,56,0))</f>
        <v>5.9</v>
      </c>
      <c r="CT30" s="507">
        <f>IF(OR(ISNA(VLOOKUP($B30,'TICH LUY'!$B$11:$BY$85,57,0)),$B30=""),"",VLOOKUP($B30,'TICH LUY'!$B$11:$BY$85,57,0))</f>
        <v>4.5999999999999996</v>
      </c>
      <c r="CU30" s="507">
        <f>IF(OR(ISNA(VLOOKUP($B30,'TICH LUY'!$B$11:$BY$85,58,0)),$B30=""),"",VLOOKUP($B30,'TICH LUY'!$B$11:$BY$85,58,0))</f>
        <v>5.9</v>
      </c>
      <c r="CV30" s="507">
        <f>IF(OR(ISNA(VLOOKUP($B30,'TICH LUY'!$B$11:$BY$85,59,0)),$B30=""),"",VLOOKUP($B30,'TICH LUY'!$B$11:$BY$85,59,0))</f>
        <v>5.6</v>
      </c>
      <c r="CW30" s="507">
        <f>IF(OR(ISNA(VLOOKUP($B30,'TICH LUY'!$B$11:$BY$85,60,0)),$B30=""),"",VLOOKUP($B30,'TICH LUY'!$B$11:$BY$85,60,0))</f>
        <v>6.1</v>
      </c>
      <c r="CX30" s="507" t="str">
        <f>IF(OR(ISNA(VLOOKUP($B30,'TICH LUY'!$B$11:$BY$85,61,0)),$B30=""),"",VLOOKUP($B30,'TICH LUY'!$B$11:$BY$85,61,0))</f>
        <v/>
      </c>
      <c r="CY30" s="507" t="str">
        <f>IF(OR(ISNA(VLOOKUP($B30,'TICH LUY'!$B$11:$BY$85,62,0)),$B30=""),"",VLOOKUP($B30,'TICH LUY'!$B$11:$BY$85,62,0))</f>
        <v/>
      </c>
      <c r="CZ30" s="507">
        <f>IF(OR(ISNA(VLOOKUP($B30,'TICH LUY'!$B$11:$BY$85,63,0)),$B30=""),"",VLOOKUP($B30,'TICH LUY'!$B$11:$BY$85,63,0))</f>
        <v>6.5</v>
      </c>
      <c r="DA30" s="507">
        <f>IF(OR(ISNA(VLOOKUP($B30,'TICH LUY'!$B$11:$BY$85,64,0)),$B30=""),"",VLOOKUP($B30,'TICH LUY'!$B$11:$BY$85,64,0))</f>
        <v>7.4</v>
      </c>
      <c r="DB30" s="507">
        <f>IF(OR(ISNA(VLOOKUP($B30,'TICH LUY'!$B$11:$BY$85,65,0)),$B30=""),"",VLOOKUP($B30,'TICH LUY'!$B$11:$BY$85,65,0))</f>
        <v>6.4</v>
      </c>
      <c r="DC30" s="507" t="str">
        <f>IF(OR(ISNA(VLOOKUP($B30,'TICH LUY'!$B$11:$BY$85,66,0)),$B30=""),"",VLOOKUP($B30,'TICH LUY'!$B$11:$BY$85,66,0))</f>
        <v/>
      </c>
      <c r="DD30" s="507">
        <f>IF(OR(ISNA(VLOOKUP($B30,'TICH LUY'!$B$11:$BY$85,67,0)),$B30=""),"",VLOOKUP($B30,'TICH LUY'!$B$11:$BY$85,67,0))</f>
        <v>5.5</v>
      </c>
      <c r="DE30" s="507">
        <f>IF(OR(ISNA(VLOOKUP($B30,'TICH LUY'!$B$11:$BY$85,68,0)),$B30=""),"",VLOOKUP($B30,'TICH LUY'!$B$11:$BY$85,68,0))</f>
        <v>6.5</v>
      </c>
      <c r="DF30" s="507">
        <f>IF(OR(ISNA(VLOOKUP($B30,'TICH LUY'!$B$11:$BY$85,69,0)),$B30=""),"",VLOOKUP($B30,'TICH LUY'!$B$11:$BY$85,69,0))</f>
        <v>6.2</v>
      </c>
      <c r="DG30" s="507" t="str">
        <f>IF(OR(ISNA(VLOOKUP($B30,'TICH LUY'!$B$11:$BY$85,70,0)),$B30=""),"",VLOOKUP($B30,'TICH LUY'!$B$11:$BY$85,70,0))</f>
        <v/>
      </c>
      <c r="DH30" s="507">
        <f>IF(OR(ISNA(VLOOKUP($B30,'TICH LUY'!$B$11:$BY$85,71,0)),$B30=""),"",VLOOKUP($B30,'TICH LUY'!$B$11:$BY$85,71,0))</f>
        <v>7</v>
      </c>
      <c r="DI30" s="507" t="str">
        <f>IF(OR(ISNA(VLOOKUP($B30,'TICH LUY'!$B$11:$BY$85,72,0)),$B30=""),"",VLOOKUP($B30,'TICH LUY'!$B$11:$BY$85,72,0))</f>
        <v/>
      </c>
      <c r="DJ30" s="507" t="str">
        <f>IF(OR(ISNA(VLOOKUP($B30,'TICH LUY'!$B$11:$BY$85,73,0)),$B30=""),"",VLOOKUP($B30,'TICH LUY'!$B$11:$BY$85,73,0))</f>
        <v/>
      </c>
      <c r="DK30" s="507" t="str">
        <f>IF(OR(ISNA(VLOOKUP($B30,'TICH LUY'!$B$11:$BY$85,74,0)),$B30=""),"",VLOOKUP($B30,'TICH LUY'!$B$11:$BY$85,74,0))</f>
        <v/>
      </c>
      <c r="DL30" s="507">
        <f>IF(OR(ISNA(VLOOKUP($B30,'TICH LUY'!$B$11:$BY$85,75,0)),$B30=""),"",VLOOKUP($B30,'TICH LUY'!$B$11:$BY$85,75,0))</f>
        <v>5</v>
      </c>
      <c r="DM30" s="529" t="str">
        <f>IF(OR(ISNA(VLOOKUP($B30,'TICH LUY'!$B$11:$BY$85,76,0)),$B30=""),"",VLOOKUP($B30,'TICH LUY'!$B$11:$BY$85,76,0))</f>
        <v/>
      </c>
      <c r="DN30" s="455">
        <f t="shared" si="37"/>
        <v>5.7</v>
      </c>
      <c r="DO30" s="456">
        <f t="shared" si="38"/>
        <v>6.3</v>
      </c>
      <c r="DP30" s="456">
        <f t="shared" si="39"/>
        <v>4.9000000000000004</v>
      </c>
      <c r="DQ30" s="456">
        <f t="shared" si="40"/>
        <v>4.2</v>
      </c>
      <c r="DR30" s="456">
        <f t="shared" si="41"/>
        <v>5.3</v>
      </c>
      <c r="DS30" s="456" t="str">
        <f t="shared" si="42"/>
        <v/>
      </c>
      <c r="DT30" s="456" t="str">
        <f t="shared" si="43"/>
        <v/>
      </c>
      <c r="DU30" s="456" t="str">
        <f t="shared" si="44"/>
        <v/>
      </c>
      <c r="DV30" s="456" t="str">
        <f t="shared" si="45"/>
        <v/>
      </c>
      <c r="DW30" s="456">
        <f t="shared" si="46"/>
        <v>6</v>
      </c>
      <c r="DX30" s="456">
        <f t="shared" si="47"/>
        <v>7</v>
      </c>
      <c r="DY30" s="457">
        <f t="shared" si="48"/>
        <v>5.92</v>
      </c>
      <c r="DZ30" s="453" t="str">
        <f t="shared" si="49"/>
        <v/>
      </c>
      <c r="EA30" s="452" t="str">
        <f t="shared" si="50"/>
        <v/>
      </c>
      <c r="EB30" s="452" t="str">
        <f t="shared" si="51"/>
        <v/>
      </c>
      <c r="EC30" s="452" t="str">
        <f t="shared" si="52"/>
        <v/>
      </c>
      <c r="ED30" s="452" t="str">
        <f t="shared" si="53"/>
        <v/>
      </c>
      <c r="EE30" s="452" t="str">
        <f t="shared" si="54"/>
        <v/>
      </c>
      <c r="EF30" s="452" t="str">
        <f t="shared" si="55"/>
        <v/>
      </c>
      <c r="EG30" s="452" t="str">
        <f t="shared" si="56"/>
        <v/>
      </c>
      <c r="EH30" s="452" t="str">
        <f t="shared" si="57"/>
        <v/>
      </c>
      <c r="EI30" s="453">
        <f t="shared" si="58"/>
        <v>5.7</v>
      </c>
      <c r="EJ30" s="452">
        <f t="shared" si="59"/>
        <v>6.3</v>
      </c>
      <c r="EK30" s="452">
        <f t="shared" si="60"/>
        <v>4.9000000000000004</v>
      </c>
      <c r="EL30" s="452">
        <f t="shared" si="61"/>
        <v>4.2</v>
      </c>
      <c r="EM30" s="452">
        <f t="shared" si="62"/>
        <v>5.3</v>
      </c>
      <c r="EN30" s="452">
        <f t="shared" si="63"/>
        <v>3.5</v>
      </c>
      <c r="EO30" s="452" t="str">
        <f t="shared" si="64"/>
        <v/>
      </c>
      <c r="EP30" s="452" t="str">
        <f t="shared" si="65"/>
        <v/>
      </c>
      <c r="EQ30" s="452" t="str">
        <f t="shared" si="66"/>
        <v/>
      </c>
      <c r="ER30" s="452">
        <f t="shared" si="67"/>
        <v>6</v>
      </c>
      <c r="ES30" s="452">
        <f t="shared" si="21"/>
        <v>7</v>
      </c>
      <c r="ET30" s="458" t="str">
        <f t="shared" si="68"/>
        <v/>
      </c>
      <c r="EU30" s="527">
        <f>IF(OR(ISNA(VLOOKUP($B30,'TICH LUY'!$B$11:$BY$85,54,0)),$B30=""),"",VLOOKUP($B30,'TICH LUY'!$B$11:$BY$85,54,0))</f>
        <v>5.3</v>
      </c>
      <c r="EV30" s="507">
        <f>IF(OR(ISNA(VLOOKUP($B30,'TICH LUY'!$B$11:$BY$85,55,0)),$B30=""),"",VLOOKUP($B30,'TICH LUY'!$B$11:$BY$85,55,0))</f>
        <v>6.9</v>
      </c>
      <c r="EW30" s="507">
        <f>IF(OR(ISNA(VLOOKUP($B30,'TICH LUY'!$B$11:$BY$85,56,0)),$B30=""),"",VLOOKUP($B30,'TICH LUY'!$B$11:$BY$85,56,0))</f>
        <v>5.9</v>
      </c>
      <c r="EX30" s="507">
        <f>IF(OR(ISNA(VLOOKUP($B30,'TICH LUY'!$B$11:$BY$85,57,0)),$B30=""),"",VLOOKUP($B30,'TICH LUY'!$B$11:$BY$85,57,0))</f>
        <v>4.5999999999999996</v>
      </c>
      <c r="EY30" s="507">
        <f>IF(OR(ISNA(VLOOKUP($B30,'TICH LUY'!$B$11:$BY$85,58,0)),$B30=""),"",VLOOKUP($B30,'TICH LUY'!$B$11:$BY$85,58,0))</f>
        <v>5.9</v>
      </c>
      <c r="EZ30" s="507">
        <f>IF(OR(ISNA(VLOOKUP($B30,'TICH LUY'!$B$11:$BY$85,59,0)),$B30=""),"",VLOOKUP($B30,'TICH LUY'!$B$11:$BY$85,59,0))</f>
        <v>5.6</v>
      </c>
      <c r="FA30" s="507">
        <f>IF(OR(ISNA(VLOOKUP($B30,'TICH LUY'!$B$11:$BY$85,60,0)),$B30=""),"",VLOOKUP($B30,'TICH LUY'!$B$11:$BY$85,60,0))</f>
        <v>6.1</v>
      </c>
      <c r="FB30" s="507" t="str">
        <f>IF(OR(ISNA(VLOOKUP($B30,'TICH LUY'!$B$11:$BY$85,61,0)),$B30=""),"",VLOOKUP($B30,'TICH LUY'!$B$11:$BY$85,61,0))</f>
        <v/>
      </c>
      <c r="FC30" s="507" t="str">
        <f>IF(OR(ISNA(VLOOKUP($B30,'TICH LUY'!$B$11:$BY$85,62,0)),$B30=""),"",VLOOKUP($B30,'TICH LUY'!$B$11:$BY$85,62,0))</f>
        <v/>
      </c>
      <c r="FD30" s="507">
        <f>IF(OR(ISNA(VLOOKUP($B30,'TICH LUY'!$B$11:$BY$85,63,0)),$B30=""),"",VLOOKUP($B30,'TICH LUY'!$B$11:$BY$85,63,0))</f>
        <v>6.5</v>
      </c>
      <c r="FE30" s="507">
        <f>IF(OR(ISNA(VLOOKUP($B30,'TICH LUY'!$B$11:$BY$85,64,0)),$B30=""),"",VLOOKUP($B30,'TICH LUY'!$B$11:$BY$85,64,0))</f>
        <v>7.4</v>
      </c>
      <c r="FF30" s="507">
        <f>IF(OR(ISNA(VLOOKUP($B30,'TICH LUY'!$B$11:$BY$85,65,0)),$B30=""),"",VLOOKUP($B30,'TICH LUY'!$B$11:$BY$85,65,0))</f>
        <v>6.4</v>
      </c>
      <c r="FG30" s="507" t="str">
        <f>IF(OR(ISNA(VLOOKUP($B30,'TICH LUY'!$B$11:$BY$85,66,0)),$B30=""),"",VLOOKUP($B30,'TICH LUY'!$B$11:$BY$85,66,0))</f>
        <v/>
      </c>
      <c r="FH30" s="507">
        <f>IF(OR(ISNA(VLOOKUP($B30,'TICH LUY'!$B$11:$BY$85,67,0)),$B30=""),"",VLOOKUP($B30,'TICH LUY'!$B$11:$BY$85,67,0))</f>
        <v>5.5</v>
      </c>
      <c r="FI30" s="507">
        <f>IF(OR(ISNA(VLOOKUP($B30,'TICH LUY'!$B$11:$BY$85,68,0)),$B30=""),"",VLOOKUP($B30,'TICH LUY'!$B$11:$BY$85,68,0))</f>
        <v>6.5</v>
      </c>
      <c r="FJ30" s="507">
        <f>IF(OR(ISNA(VLOOKUP($B30,'TICH LUY'!$B$11:$BY$85,69,0)),$B30=""),"",VLOOKUP($B30,'TICH LUY'!$B$11:$BY$85,69,0))</f>
        <v>6.2</v>
      </c>
      <c r="FK30" s="507" t="str">
        <f>IF(OR(ISNA(VLOOKUP($B30,'TICH LUY'!$B$11:$BY$85,70,0)),$B30=""),"",VLOOKUP($B30,'TICH LUY'!$B$11:$BY$85,70,0))</f>
        <v/>
      </c>
      <c r="FL30" s="507">
        <f>IF(OR(ISNA(VLOOKUP($B30,'TICH LUY'!$B$11:$BY$85,71,0)),$B30=""),"",VLOOKUP($B30,'TICH LUY'!$B$11:$BY$85,71,0))</f>
        <v>7</v>
      </c>
      <c r="FM30" s="507" t="str">
        <f>IF(OR(ISNA(VLOOKUP($B30,'TICH LUY'!$B$11:$BY$85,72,0)),$B30=""),"",VLOOKUP($B30,'TICH LUY'!$B$11:$BY$85,72,0))</f>
        <v/>
      </c>
      <c r="FN30" s="507" t="str">
        <f>IF(OR(ISNA(VLOOKUP($B30,'TICH LUY'!$B$11:$BY$85,73,0)),$B30=""),"",VLOOKUP($B30,'TICH LUY'!$B$11:$BY$85,73,0))</f>
        <v/>
      </c>
      <c r="FO30" s="507" t="str">
        <f>IF(OR(ISNA(VLOOKUP($B30,'TICH LUY'!$B$11:$BY$85,74,0)),$B30=""),"",VLOOKUP($B30,'TICH LUY'!$B$11:$BY$85,74,0))</f>
        <v/>
      </c>
      <c r="FP30" s="507">
        <f>IF(OR(ISNA(VLOOKUP($B30,'TICH LUY'!$B$11:$BY$85,75,0)),$B30=""),"",VLOOKUP($B30,'TICH LUY'!$B$11:$BY$85,75,0))</f>
        <v>5</v>
      </c>
      <c r="FQ30" s="529" t="str">
        <f>IF(OR(ISNA(VLOOKUP($B30,'TICH LUY'!$B$11:$BY$85,76,0)),$B30=""),"",VLOOKUP($B30,'TICH LUY'!$B$11:$BY$85,76,0))</f>
        <v/>
      </c>
      <c r="FR30" s="455">
        <f t="shared" si="69"/>
        <v>5.7</v>
      </c>
      <c r="FS30" s="456">
        <f t="shared" si="70"/>
        <v>6.3</v>
      </c>
      <c r="FT30" s="456">
        <f t="shared" si="71"/>
        <v>4.9000000000000004</v>
      </c>
      <c r="FU30" s="456">
        <f t="shared" si="72"/>
        <v>4.2</v>
      </c>
      <c r="FV30" s="456">
        <f t="shared" si="73"/>
        <v>5.3</v>
      </c>
      <c r="FW30" s="456" t="str">
        <f t="shared" si="74"/>
        <v/>
      </c>
      <c r="FX30" s="456" t="str">
        <f t="shared" si="75"/>
        <v/>
      </c>
      <c r="FY30" s="456" t="str">
        <f t="shared" si="76"/>
        <v/>
      </c>
      <c r="FZ30" s="456" t="str">
        <f t="shared" si="77"/>
        <v/>
      </c>
      <c r="GA30" s="456">
        <f t="shared" si="78"/>
        <v>6</v>
      </c>
      <c r="GB30" s="459">
        <f t="shared" si="79"/>
        <v>7</v>
      </c>
      <c r="GC30" s="457">
        <f t="shared" si="23"/>
        <v>5.92</v>
      </c>
    </row>
    <row r="31" spans="1:185" s="221" customFormat="1" ht="15.75">
      <c r="A31" s="449">
        <f>IF(B31="","",SUBTOTAL(3,$B$11:B31))</f>
        <v>21</v>
      </c>
      <c r="B31" s="198" t="s">
        <v>2065</v>
      </c>
      <c r="C31" s="450" t="str">
        <f>IF($B31="","",VLOOKUP($B31,'DS LOP HKI'!$B$2:$F$2642,2,0))</f>
        <v>Nguyễn Hữu</v>
      </c>
      <c r="D31" s="451" t="str">
        <f>IF($B31="","",VLOOKUP($B31,'DS LOP HKI'!$B$2:$F$2642,3,0))</f>
        <v>Nghĩa</v>
      </c>
      <c r="E31" s="154"/>
      <c r="F31" s="152"/>
      <c r="G31" s="156">
        <v>8</v>
      </c>
      <c r="H31" s="181">
        <f>IF(OR($H$6="",$H$7=""),"",IF($B31="","",IF(ISNA(VLOOKUP($B31,'LT01'!$B$11:$R$75,13,FALSE)),"",IF(VLOOKUP($B31,'LT01'!$B$11:$R$75,13,FALSE)="","",VLOOKUP($B31,'LT01'!$B$11:$R$75,13,FALSE)))))</f>
        <v>2.6</v>
      </c>
      <c r="I31" s="182">
        <f>IF(OR($H$6="",$H$7=""),"",IF($B31="","",IF(ISNA(VLOOKUP($B31,'LT01'!$B$11:$R$75,14,FALSE)),"",VLOOKUP($B31,'LT01'!$B$11:$R$75,14,FALSE))))</f>
        <v>4</v>
      </c>
      <c r="J31" s="183"/>
      <c r="K31" s="182" t="str">
        <f>IF(OR($H$6="",$H$7=""),"",IF($B31="","",IF(ISNA(VLOOKUP($B31,'LT01'!$B$11:$R$75,17,FALSE)),"",VLOOKUP($B31,'LT01'!$B$11:$R$75,17,FALSE))))</f>
        <v/>
      </c>
      <c r="L31" s="185">
        <f>IF(OR($H$6="",$H$7=""),"",IF($B31="","",IF(ISNA(VLOOKUP($B31,'LT02'!$B$11:$R$75,13,FALSE)),"",IF(VLOOKUP($B31,'LT02'!$B$11:$R$75,13,FALSE)="","",VLOOKUP($B31,'LT02'!$B$11:$R$75,13,FALSE)))))</f>
        <v>5.8</v>
      </c>
      <c r="M31" s="182">
        <f>IF(OR($H$6="",$H$7=""),"",IF($B31="","",IF(ISNA(VLOOKUP($B31,'LT02'!$B$11:$R$75,14,FALSE)),"",VLOOKUP($B31,'LT02'!$B$11:$R$75,14,FALSE))))</f>
        <v>6.5</v>
      </c>
      <c r="N31" s="183"/>
      <c r="O31" s="182" t="str">
        <f>IF(OR($H$6="",$H$7=""),"",IF($B31="","",IF(ISNA(VLOOKUP($B31,'LT02'!$B$11:$R$75,17,FALSE)),"",VLOOKUP($B31,'LT02'!$B$11:$R$75,17,FALSE))))</f>
        <v/>
      </c>
      <c r="P31" s="185">
        <f>IF(OR($H$6="",$H$7=""),"",IF($B31="","",IF(ISNA(VLOOKUP($B31,'LT03'!$B$11:$R$75,13,FALSE)),"",IF(VLOOKUP($B31,'LT03'!$B$11:$R$75,13,FALSE)="","",VLOOKUP($B31,'LT03'!$B$11:$R$75,13,FALSE)))))</f>
        <v>5.0999999999999996</v>
      </c>
      <c r="Q31" s="182">
        <f>IF(OR($H$6="",$H$7=""),"",IF($B31="","",IF(ISNA(VLOOKUP($B31,'LT03'!$B$11:$R$75,14,FALSE)),"",VLOOKUP($B31,'LT03'!$B$11:$R$75,14,FALSE))))</f>
        <v>5.7</v>
      </c>
      <c r="R31" s="183"/>
      <c r="S31" s="182" t="str">
        <f>IF(OR($H$6="",$H$7=""),"",IF($B31="","",IF(ISNA(VLOOKUP($B31,'LT03'!$B$11:$R$75,17,FALSE)),"",VLOOKUP($B31,'LT03'!$B$11:$R$75,17,FALSE))))</f>
        <v/>
      </c>
      <c r="T31" s="185">
        <f>IF(OR($H$6="",$H$7=""),"",IF($B31="","",IF(ISNA(VLOOKUP($B31,'LT04'!$B$11:$R$75,13,FALSE)),"",IF(VLOOKUP($B31,'LT04'!$B$11:$R$75,13,FALSE)="","",VLOOKUP($B31,'LT04'!$B$11:$R$75,13,FALSE)))))</f>
        <v>3.5</v>
      </c>
      <c r="U31" s="182">
        <f>IF(OR($H$6="",$H$7=""),"",IF($B31="","",IF(ISNA(VLOOKUP($B31,'LT04'!$B$11:$R$75,14,FALSE)),"",VLOOKUP($B31,'LT04'!$B$11:$R$75,14,FALSE))))</f>
        <v>4.4000000000000004</v>
      </c>
      <c r="V31" s="183"/>
      <c r="W31" s="184" t="str">
        <f>IF(OR($H$6="",$H$7=""),"",IF($B31="","",IF(ISNA(VLOOKUP($B31,'LT04'!$B$11:$R$75,17,FALSE)),"",VLOOKUP($B31,'LT04'!$B$11:$R$75,17,FALSE))))</f>
        <v/>
      </c>
      <c r="X31" s="185">
        <f>IF(OR($H$6="",$H$7=""),"",IF($B31="","",IF(ISNA(VLOOKUP($B31,'LT05'!$B$11:$R$75,13,FALSE)),"",IF(VLOOKUP($B31,'LT05'!$B$11:$R$75,13,FALSE)="","",VLOOKUP($B31,'LT05'!$B$11:$R$75,13,FALSE)))))</f>
        <v>5.8</v>
      </c>
      <c r="Y31" s="182">
        <f>IF(OR($H$6="",$H$7=""),"",IF($B31="","",IF(ISNA(VLOOKUP($B31,'LT05'!$B$11:$R$75,14,FALSE)),"",VLOOKUP($B31,'LT05'!$B$11:$R$75,14,FALSE))))</f>
        <v>3.7</v>
      </c>
      <c r="Z31" s="183"/>
      <c r="AA31" s="182" t="str">
        <f>IF(OR($H$6="",$H$7=""),"",IF($B31="","",IF(ISNA(VLOOKUP($B31,'LT05'!$B$11:$R$75,17,FALSE)),"",VLOOKUP($B31,'LT05'!$B$11:$R$75,17,FALSE))))</f>
        <v/>
      </c>
      <c r="AB31" s="185">
        <f>IF(OR($H$6="",$H$7=""),"",IF($B31="","",IF(ISNA(VLOOKUP($B31,'LT06'!$B$11:$R$75,13,FALSE)),"",IF(VLOOKUP($B31,'LT06'!$B$11:$R$75,13,FALSE)="","",VLOOKUP($B31,'LT06'!$B$11:$R$75,13,FALSE)))))</f>
        <v>1</v>
      </c>
      <c r="AC31" s="182">
        <f>IF(OR($H$6="",$H$7=""),"",IF($B31="","",IF(ISNA(VLOOKUP($B31,'LT06'!$B$11:$R$75,14,FALSE)),"",VLOOKUP($B31,'LT06'!$B$11:$R$75,14,FALSE))))</f>
        <v>3.1</v>
      </c>
      <c r="AD31" s="183"/>
      <c r="AE31" s="182" t="str">
        <f>IF(OR($H$6="",$H$7=""),"",IF($B31="","",IF(ISNA(VLOOKUP($B31,'LT06'!$B$11:$R$75,17,FALSE)),"",VLOOKUP($B31,'LT06'!$B$11:$R$75,17,FALSE))))</f>
        <v/>
      </c>
      <c r="AF31" s="185" t="str">
        <f>IF(OR($H$6="",$H$7=""),"",IF($B31="","",IF(ISNA(VLOOKUP($B31,'LT07'!$B$11:$R$75,13,FALSE)),"",IF(VLOOKUP($B31,'LT07'!$B$11:$R$75,13,FALSE)="","",VLOOKUP($B31,'LT07'!$B$11:$R$75,13,FALSE)))))</f>
        <v/>
      </c>
      <c r="AG31" s="182" t="str">
        <f>IF(OR($H$6="",$H$7=""),"",IF($B31="","",IF(ISNA(VLOOKUP($B31,'LT07'!$B$11:$R$75,14,FALSE)),"",VLOOKUP($B31,'LT07'!$B$11:$R$75,14,FALSE))))</f>
        <v/>
      </c>
      <c r="AH31" s="183"/>
      <c r="AI31" s="182" t="str">
        <f>IF(OR($H$6="",$H$7=""),"",IF($B31="","",IF(ISNA(VLOOKUP($B31,'LT07'!$B$11:$R$75,17,FALSE)),"",VLOOKUP($B31,'LT07'!$B$11:$R$75,17,FALSE))))</f>
        <v/>
      </c>
      <c r="AJ31" s="185" t="str">
        <f>IF(OR($H$6="",$H$7=""),"",IF($B31="","",IF(ISNA(VLOOKUP($B31,'LT08'!$B$11:$R$75,13,FALSE)),"",IF(VLOOKUP($B31,'LT08'!$B$11:$R$75,13,FALSE)="","",VLOOKUP($B31,'LT08'!$B$11:$R$75,13,FALSE)))))</f>
        <v/>
      </c>
      <c r="AK31" s="182" t="str">
        <f>IF(OR($H$6="",$H$7=""),"",IF($B31="","",IF(ISNA(VLOOKUP($B31,'LT08'!$B$11:$R$75,14,FALSE)),"",VLOOKUP($B31,'LT08'!$B$11:$R$75,14,FALSE))))</f>
        <v/>
      </c>
      <c r="AL31" s="183"/>
      <c r="AM31" s="182" t="str">
        <f>IF(OR($H$6="",$H$7=""),"",IF($B31="","",IF(ISNA(VLOOKUP($B31,'LT08'!$B$11:$R$75,17,FALSE)),"",VLOOKUP($B31,'LT08'!$B$11:$R$75,17,FALSE))))</f>
        <v/>
      </c>
      <c r="AN31" s="185" t="str">
        <f>IF(OR($H$6="",$H$7=""),"",IF($B31="","",IF(ISNA(VLOOKUP($B31,'LT09'!$B$11:$R$75,13,FALSE)),"",IF(VLOOKUP($B31,'LT09'!$B$11:$R$75,13,FALSE)="","",VLOOKUP($B31,'LT09'!$B$11:$R$75,13,FALSE)))))</f>
        <v/>
      </c>
      <c r="AO31" s="182" t="str">
        <f>IF(OR($H$6="",$H$7=""),"",IF($B31="","",IF(ISNA(VLOOKUP($B31,'LT09'!$B$11:$R$75,14,FALSE)),"",VLOOKUP($B31,'LT09'!$B$11:$R$75,14,FALSE))))</f>
        <v/>
      </c>
      <c r="AP31" s="183"/>
      <c r="AQ31" s="182" t="str">
        <f>IF(OR($H$6="",$H$7=""),"",IF($B31="","",IF(ISNA(VLOOKUP($B31,'LT09'!$B$11:$R$75,17,FALSE)),"",VLOOKUP($B31,'LT09'!$B$11:$R$75,17,FALSE))))</f>
        <v/>
      </c>
      <c r="AR31" s="186"/>
      <c r="AS31" s="182">
        <f>IF(OR($H$6="",$H$7=""),"",IF($B31="","",IF(ISNA(VLOOKUP($B31,'TH01'!$B$11:$R$75,14,FALSE)),"",VLOOKUP($B31,'TH01'!$B$11:$R$75,14,FALSE))))</f>
        <v>6.8</v>
      </c>
      <c r="AT31" s="183"/>
      <c r="AU31" s="187"/>
      <c r="AV31" s="186"/>
      <c r="AW31" s="182">
        <f>IF(OR($H$6="",$H$7=""),"",IF($B31="","",IF(ISNA(VLOOKUP($B31,'TH02'!$B$11:$R$75,14,FALSE)),"",VLOOKUP($B31,'TH02'!$B$11:$R$75,14,FALSE))))</f>
        <v>6.3</v>
      </c>
      <c r="AX31" s="183"/>
      <c r="AY31" s="187"/>
      <c r="AZ31" s="54">
        <f t="shared" si="24"/>
        <v>5.18</v>
      </c>
      <c r="BA31" s="54" t="str">
        <f t="shared" si="0"/>
        <v/>
      </c>
      <c r="BB31" s="70">
        <v>50</v>
      </c>
      <c r="BC31" s="52" t="str">
        <f t="shared" si="25"/>
        <v>TBY</v>
      </c>
      <c r="BD31" s="52" t="str">
        <f t="shared" si="26"/>
        <v/>
      </c>
      <c r="BE31" s="52" t="str">
        <f t="shared" si="1"/>
        <v/>
      </c>
      <c r="BF31" s="149" t="str">
        <f t="shared" si="2"/>
        <v/>
      </c>
      <c r="BG31" s="52">
        <f t="shared" si="3"/>
        <v>14</v>
      </c>
      <c r="BH31" s="52">
        <f t="shared" si="27"/>
        <v>4</v>
      </c>
      <c r="BI31" s="52">
        <f t="shared" si="4"/>
        <v>14</v>
      </c>
      <c r="BJ31" s="52">
        <f t="shared" si="5"/>
        <v>4</v>
      </c>
      <c r="BK31" s="54">
        <f t="shared" si="6"/>
        <v>5.98</v>
      </c>
      <c r="BL31" s="54" t="str">
        <f t="shared" si="7"/>
        <v>BT</v>
      </c>
      <c r="BM31" s="54">
        <f t="shared" si="8"/>
        <v>5.98</v>
      </c>
      <c r="BN31" s="54" t="str">
        <f t="shared" si="9"/>
        <v>BT</v>
      </c>
      <c r="BO31" s="70"/>
      <c r="BP31" s="52">
        <f>IF(ISNA(VLOOKUP(B31,'TICH LUY'!B:D,2,0)),"",VLOOKUP(B31,'TICH LUY'!B:D,2,0)+BI31)</f>
        <v>53</v>
      </c>
      <c r="BQ31" s="52">
        <f>IF(ISNA(VLOOKUP(B31,'TICH LUY'!B:D,3,0)),"",VLOOKUP(B31,'TICH LUY'!B:D,3,0)+BJ31)</f>
        <v>4</v>
      </c>
      <c r="BR31" s="40">
        <f t="shared" si="10"/>
        <v>3</v>
      </c>
      <c r="BS31" s="452">
        <f t="shared" si="11"/>
        <v>2.6</v>
      </c>
      <c r="BT31" s="452">
        <f t="shared" si="12"/>
        <v>5.8</v>
      </c>
      <c r="BU31" s="452">
        <f t="shared" si="13"/>
        <v>5.0999999999999996</v>
      </c>
      <c r="BV31" s="452">
        <f t="shared" si="14"/>
        <v>3.5</v>
      </c>
      <c r="BW31" s="452">
        <f t="shared" si="15"/>
        <v>5.8</v>
      </c>
      <c r="BX31" s="452">
        <f t="shared" si="16"/>
        <v>1</v>
      </c>
      <c r="BY31" s="452" t="str">
        <f t="shared" si="17"/>
        <v/>
      </c>
      <c r="BZ31" s="452" t="str">
        <f t="shared" si="28"/>
        <v/>
      </c>
      <c r="CA31" s="452" t="str">
        <f t="shared" si="29"/>
        <v/>
      </c>
      <c r="CB31" s="452">
        <f t="shared" si="30"/>
        <v>6.8</v>
      </c>
      <c r="CC31" s="452">
        <f t="shared" si="18"/>
        <v>6.3</v>
      </c>
      <c r="CD31" s="40">
        <f t="shared" si="31"/>
        <v>2</v>
      </c>
      <c r="CE31" s="453">
        <f t="shared" si="80"/>
        <v>4</v>
      </c>
      <c r="CF31" s="452">
        <f t="shared" si="32"/>
        <v>6.5</v>
      </c>
      <c r="CG31" s="452">
        <f t="shared" si="81"/>
        <v>5.7</v>
      </c>
      <c r="CH31" s="452">
        <f t="shared" si="82"/>
        <v>4.4000000000000004</v>
      </c>
      <c r="CI31" s="452">
        <f t="shared" si="83"/>
        <v>3.7</v>
      </c>
      <c r="CJ31" s="452">
        <f t="shared" si="84"/>
        <v>3.1</v>
      </c>
      <c r="CK31" s="452" t="str">
        <f t="shared" si="85"/>
        <v/>
      </c>
      <c r="CL31" s="452" t="str">
        <f t="shared" si="33"/>
        <v/>
      </c>
      <c r="CM31" s="452" t="str">
        <f t="shared" si="34"/>
        <v/>
      </c>
      <c r="CN31" s="452">
        <f t="shared" si="35"/>
        <v>6.8</v>
      </c>
      <c r="CO31" s="452">
        <f t="shared" si="19"/>
        <v>6.3</v>
      </c>
      <c r="CP31" s="454">
        <f t="shared" si="36"/>
        <v>5.18</v>
      </c>
      <c r="CQ31" s="527">
        <f>IF(OR(ISNA(VLOOKUP($B31,'TICH LUY'!$B$11:$BY$85,54,0)),$B31=""),"",VLOOKUP($B31,'TICH LUY'!$B$11:$BY$85,54,0))</f>
        <v>6.3</v>
      </c>
      <c r="CR31" s="507">
        <f>IF(OR(ISNA(VLOOKUP($B31,'TICH LUY'!$B$11:$BY$85,55,0)),$B31=""),"",VLOOKUP($B31,'TICH LUY'!$B$11:$BY$85,55,0))</f>
        <v>6.4</v>
      </c>
      <c r="CS31" s="507">
        <f>IF(OR(ISNA(VLOOKUP($B31,'TICH LUY'!$B$11:$BY$85,56,0)),$B31=""),"",VLOOKUP($B31,'TICH LUY'!$B$11:$BY$85,56,0))</f>
        <v>5</v>
      </c>
      <c r="CT31" s="507">
        <f>IF(OR(ISNA(VLOOKUP($B31,'TICH LUY'!$B$11:$BY$85,57,0)),$B31=""),"",VLOOKUP($B31,'TICH LUY'!$B$11:$BY$85,57,0))</f>
        <v>5.4</v>
      </c>
      <c r="CU31" s="507">
        <f>IF(OR(ISNA(VLOOKUP($B31,'TICH LUY'!$B$11:$BY$85,58,0)),$B31=""),"",VLOOKUP($B31,'TICH LUY'!$B$11:$BY$85,58,0))</f>
        <v>6.5</v>
      </c>
      <c r="CV31" s="507">
        <f>IF(OR(ISNA(VLOOKUP($B31,'TICH LUY'!$B$11:$BY$85,59,0)),$B31=""),"",VLOOKUP($B31,'TICH LUY'!$B$11:$BY$85,59,0))</f>
        <v>6.5</v>
      </c>
      <c r="CW31" s="507">
        <f>IF(OR(ISNA(VLOOKUP($B31,'TICH LUY'!$B$11:$BY$85,60,0)),$B31=""),"",VLOOKUP($B31,'TICH LUY'!$B$11:$BY$85,60,0))</f>
        <v>5.8</v>
      </c>
      <c r="CX31" s="507" t="str">
        <f>IF(OR(ISNA(VLOOKUP($B31,'TICH LUY'!$B$11:$BY$85,61,0)),$B31=""),"",VLOOKUP($B31,'TICH LUY'!$B$11:$BY$85,61,0))</f>
        <v/>
      </c>
      <c r="CY31" s="507" t="str">
        <f>IF(OR(ISNA(VLOOKUP($B31,'TICH LUY'!$B$11:$BY$85,62,0)),$B31=""),"",VLOOKUP($B31,'TICH LUY'!$B$11:$BY$85,62,0))</f>
        <v/>
      </c>
      <c r="CZ31" s="507">
        <f>IF(OR(ISNA(VLOOKUP($B31,'TICH LUY'!$B$11:$BY$85,63,0)),$B31=""),"",VLOOKUP($B31,'TICH LUY'!$B$11:$BY$85,63,0))</f>
        <v>5</v>
      </c>
      <c r="DA31" s="507">
        <f>IF(OR(ISNA(VLOOKUP($B31,'TICH LUY'!$B$11:$BY$85,64,0)),$B31=""),"",VLOOKUP($B31,'TICH LUY'!$B$11:$BY$85,64,0))</f>
        <v>5.2</v>
      </c>
      <c r="DB31" s="507">
        <f>IF(OR(ISNA(VLOOKUP($B31,'TICH LUY'!$B$11:$BY$85,65,0)),$B31=""),"",VLOOKUP($B31,'TICH LUY'!$B$11:$BY$85,65,0))</f>
        <v>5.9</v>
      </c>
      <c r="DC31" s="507">
        <f>IF(OR(ISNA(VLOOKUP($B31,'TICH LUY'!$B$11:$BY$85,66,0)),$B31=""),"",VLOOKUP($B31,'TICH LUY'!$B$11:$BY$85,66,0))</f>
        <v>7.6</v>
      </c>
      <c r="DD31" s="507" t="str">
        <f>IF(OR(ISNA(VLOOKUP($B31,'TICH LUY'!$B$11:$BY$85,67,0)),$B31=""),"",VLOOKUP($B31,'TICH LUY'!$B$11:$BY$85,67,0))</f>
        <v/>
      </c>
      <c r="DE31" s="507">
        <f>IF(OR(ISNA(VLOOKUP($B31,'TICH LUY'!$B$11:$BY$85,68,0)),$B31=""),"",VLOOKUP($B31,'TICH LUY'!$B$11:$BY$85,68,0))</f>
        <v>6.2</v>
      </c>
      <c r="DF31" s="507">
        <f>IF(OR(ISNA(VLOOKUP($B31,'TICH LUY'!$B$11:$BY$85,69,0)),$B31=""),"",VLOOKUP($B31,'TICH LUY'!$B$11:$BY$85,69,0))</f>
        <v>6.6</v>
      </c>
      <c r="DG31" s="507">
        <f>IF(OR(ISNA(VLOOKUP($B31,'TICH LUY'!$B$11:$BY$85,70,0)),$B31=""),"",VLOOKUP($B31,'TICH LUY'!$B$11:$BY$85,70,0))</f>
        <v>6</v>
      </c>
      <c r="DH31" s="507">
        <f>IF(OR(ISNA(VLOOKUP($B31,'TICH LUY'!$B$11:$BY$85,71,0)),$B31=""),"",VLOOKUP($B31,'TICH LUY'!$B$11:$BY$85,71,0))</f>
        <v>5.5</v>
      </c>
      <c r="DI31" s="507" t="str">
        <f>IF(OR(ISNA(VLOOKUP($B31,'TICH LUY'!$B$11:$BY$85,72,0)),$B31=""),"",VLOOKUP($B31,'TICH LUY'!$B$11:$BY$85,72,0))</f>
        <v/>
      </c>
      <c r="DJ31" s="507" t="str">
        <f>IF(OR(ISNA(VLOOKUP($B31,'TICH LUY'!$B$11:$BY$85,73,0)),$B31=""),"",VLOOKUP($B31,'TICH LUY'!$B$11:$BY$85,73,0))</f>
        <v/>
      </c>
      <c r="DK31" s="507" t="str">
        <f>IF(OR(ISNA(VLOOKUP($B31,'TICH LUY'!$B$11:$BY$85,74,0)),$B31=""),"",VLOOKUP($B31,'TICH LUY'!$B$11:$BY$85,74,0))</f>
        <v/>
      </c>
      <c r="DL31" s="507">
        <f>IF(OR(ISNA(VLOOKUP($B31,'TICH LUY'!$B$11:$BY$85,75,0)),$B31=""),"",VLOOKUP($B31,'TICH LUY'!$B$11:$BY$85,75,0))</f>
        <v>6.7</v>
      </c>
      <c r="DM31" s="529" t="str">
        <f>IF(OR(ISNA(VLOOKUP($B31,'TICH LUY'!$B$11:$BY$85,76,0)),$B31=""),"",VLOOKUP($B31,'TICH LUY'!$B$11:$BY$85,76,0))</f>
        <v/>
      </c>
      <c r="DN31" s="455">
        <f t="shared" si="37"/>
        <v>4</v>
      </c>
      <c r="DO31" s="456">
        <f t="shared" si="38"/>
        <v>6.5</v>
      </c>
      <c r="DP31" s="456">
        <f t="shared" si="39"/>
        <v>5.7</v>
      </c>
      <c r="DQ31" s="456">
        <f t="shared" si="40"/>
        <v>4.4000000000000004</v>
      </c>
      <c r="DR31" s="456" t="str">
        <f t="shared" si="41"/>
        <v/>
      </c>
      <c r="DS31" s="456" t="str">
        <f t="shared" si="42"/>
        <v/>
      </c>
      <c r="DT31" s="456" t="str">
        <f t="shared" si="43"/>
        <v/>
      </c>
      <c r="DU31" s="456" t="str">
        <f t="shared" si="44"/>
        <v/>
      </c>
      <c r="DV31" s="456" t="str">
        <f t="shared" si="45"/>
        <v/>
      </c>
      <c r="DW31" s="456">
        <f t="shared" si="46"/>
        <v>6.8</v>
      </c>
      <c r="DX31" s="456">
        <f t="shared" si="47"/>
        <v>6.3</v>
      </c>
      <c r="DY31" s="457">
        <f t="shared" si="48"/>
        <v>5.98</v>
      </c>
      <c r="DZ31" s="453" t="str">
        <f t="shared" si="49"/>
        <v/>
      </c>
      <c r="EA31" s="452" t="str">
        <f t="shared" si="50"/>
        <v/>
      </c>
      <c r="EB31" s="452" t="str">
        <f t="shared" si="51"/>
        <v/>
      </c>
      <c r="EC31" s="452" t="str">
        <f t="shared" si="52"/>
        <v/>
      </c>
      <c r="ED31" s="452" t="str">
        <f t="shared" si="53"/>
        <v/>
      </c>
      <c r="EE31" s="452" t="str">
        <f t="shared" si="54"/>
        <v/>
      </c>
      <c r="EF31" s="452" t="str">
        <f t="shared" si="55"/>
        <v/>
      </c>
      <c r="EG31" s="452" t="str">
        <f t="shared" si="56"/>
        <v/>
      </c>
      <c r="EH31" s="452" t="str">
        <f t="shared" si="57"/>
        <v/>
      </c>
      <c r="EI31" s="453">
        <f t="shared" si="58"/>
        <v>4</v>
      </c>
      <c r="EJ31" s="452">
        <f t="shared" si="59"/>
        <v>6.5</v>
      </c>
      <c r="EK31" s="452">
        <f t="shared" si="60"/>
        <v>5.7</v>
      </c>
      <c r="EL31" s="452">
        <f t="shared" si="61"/>
        <v>4.4000000000000004</v>
      </c>
      <c r="EM31" s="452">
        <f t="shared" si="62"/>
        <v>3.7</v>
      </c>
      <c r="EN31" s="452">
        <f t="shared" si="63"/>
        <v>3.1</v>
      </c>
      <c r="EO31" s="452" t="str">
        <f t="shared" si="64"/>
        <v/>
      </c>
      <c r="EP31" s="452" t="str">
        <f t="shared" si="65"/>
        <v/>
      </c>
      <c r="EQ31" s="452" t="str">
        <f t="shared" si="66"/>
        <v/>
      </c>
      <c r="ER31" s="452">
        <f t="shared" si="67"/>
        <v>6.8</v>
      </c>
      <c r="ES31" s="452">
        <f t="shared" si="21"/>
        <v>6.3</v>
      </c>
      <c r="ET31" s="458" t="str">
        <f t="shared" si="68"/>
        <v/>
      </c>
      <c r="EU31" s="527">
        <f>IF(OR(ISNA(VLOOKUP($B31,'TICH LUY'!$B$11:$BY$85,54,0)),$B31=""),"",VLOOKUP($B31,'TICH LUY'!$B$11:$BY$85,54,0))</f>
        <v>6.3</v>
      </c>
      <c r="EV31" s="507">
        <f>IF(OR(ISNA(VLOOKUP($B31,'TICH LUY'!$B$11:$BY$85,55,0)),$B31=""),"",VLOOKUP($B31,'TICH LUY'!$B$11:$BY$85,55,0))</f>
        <v>6.4</v>
      </c>
      <c r="EW31" s="507">
        <f>IF(OR(ISNA(VLOOKUP($B31,'TICH LUY'!$B$11:$BY$85,56,0)),$B31=""),"",VLOOKUP($B31,'TICH LUY'!$B$11:$BY$85,56,0))</f>
        <v>5</v>
      </c>
      <c r="EX31" s="507">
        <f>IF(OR(ISNA(VLOOKUP($B31,'TICH LUY'!$B$11:$BY$85,57,0)),$B31=""),"",VLOOKUP($B31,'TICH LUY'!$B$11:$BY$85,57,0))</f>
        <v>5.4</v>
      </c>
      <c r="EY31" s="507">
        <f>IF(OR(ISNA(VLOOKUP($B31,'TICH LUY'!$B$11:$BY$85,58,0)),$B31=""),"",VLOOKUP($B31,'TICH LUY'!$B$11:$BY$85,58,0))</f>
        <v>6.5</v>
      </c>
      <c r="EZ31" s="507">
        <f>IF(OR(ISNA(VLOOKUP($B31,'TICH LUY'!$B$11:$BY$85,59,0)),$B31=""),"",VLOOKUP($B31,'TICH LUY'!$B$11:$BY$85,59,0))</f>
        <v>6.5</v>
      </c>
      <c r="FA31" s="507">
        <f>IF(OR(ISNA(VLOOKUP($B31,'TICH LUY'!$B$11:$BY$85,60,0)),$B31=""),"",VLOOKUP($B31,'TICH LUY'!$B$11:$BY$85,60,0))</f>
        <v>5.8</v>
      </c>
      <c r="FB31" s="507" t="str">
        <f>IF(OR(ISNA(VLOOKUP($B31,'TICH LUY'!$B$11:$BY$85,61,0)),$B31=""),"",VLOOKUP($B31,'TICH LUY'!$B$11:$BY$85,61,0))</f>
        <v/>
      </c>
      <c r="FC31" s="507" t="str">
        <f>IF(OR(ISNA(VLOOKUP($B31,'TICH LUY'!$B$11:$BY$85,62,0)),$B31=""),"",VLOOKUP($B31,'TICH LUY'!$B$11:$BY$85,62,0))</f>
        <v/>
      </c>
      <c r="FD31" s="507">
        <f>IF(OR(ISNA(VLOOKUP($B31,'TICH LUY'!$B$11:$BY$85,63,0)),$B31=""),"",VLOOKUP($B31,'TICH LUY'!$B$11:$BY$85,63,0))</f>
        <v>5</v>
      </c>
      <c r="FE31" s="507">
        <f>IF(OR(ISNA(VLOOKUP($B31,'TICH LUY'!$B$11:$BY$85,64,0)),$B31=""),"",VLOOKUP($B31,'TICH LUY'!$B$11:$BY$85,64,0))</f>
        <v>5.2</v>
      </c>
      <c r="FF31" s="507">
        <f>IF(OR(ISNA(VLOOKUP($B31,'TICH LUY'!$B$11:$BY$85,65,0)),$B31=""),"",VLOOKUP($B31,'TICH LUY'!$B$11:$BY$85,65,0))</f>
        <v>5.9</v>
      </c>
      <c r="FG31" s="507">
        <f>IF(OR(ISNA(VLOOKUP($B31,'TICH LUY'!$B$11:$BY$85,66,0)),$B31=""),"",VLOOKUP($B31,'TICH LUY'!$B$11:$BY$85,66,0))</f>
        <v>7.6</v>
      </c>
      <c r="FH31" s="507" t="str">
        <f>IF(OR(ISNA(VLOOKUP($B31,'TICH LUY'!$B$11:$BY$85,67,0)),$B31=""),"",VLOOKUP($B31,'TICH LUY'!$B$11:$BY$85,67,0))</f>
        <v/>
      </c>
      <c r="FI31" s="507">
        <f>IF(OR(ISNA(VLOOKUP($B31,'TICH LUY'!$B$11:$BY$85,68,0)),$B31=""),"",VLOOKUP($B31,'TICH LUY'!$B$11:$BY$85,68,0))</f>
        <v>6.2</v>
      </c>
      <c r="FJ31" s="507">
        <f>IF(OR(ISNA(VLOOKUP($B31,'TICH LUY'!$B$11:$BY$85,69,0)),$B31=""),"",VLOOKUP($B31,'TICH LUY'!$B$11:$BY$85,69,0))</f>
        <v>6.6</v>
      </c>
      <c r="FK31" s="507">
        <f>IF(OR(ISNA(VLOOKUP($B31,'TICH LUY'!$B$11:$BY$85,70,0)),$B31=""),"",VLOOKUP($B31,'TICH LUY'!$B$11:$BY$85,70,0))</f>
        <v>6</v>
      </c>
      <c r="FL31" s="507">
        <f>IF(OR(ISNA(VLOOKUP($B31,'TICH LUY'!$B$11:$BY$85,71,0)),$B31=""),"",VLOOKUP($B31,'TICH LUY'!$B$11:$BY$85,71,0))</f>
        <v>5.5</v>
      </c>
      <c r="FM31" s="507" t="str">
        <f>IF(OR(ISNA(VLOOKUP($B31,'TICH LUY'!$B$11:$BY$85,72,0)),$B31=""),"",VLOOKUP($B31,'TICH LUY'!$B$11:$BY$85,72,0))</f>
        <v/>
      </c>
      <c r="FN31" s="507" t="str">
        <f>IF(OR(ISNA(VLOOKUP($B31,'TICH LUY'!$B$11:$BY$85,73,0)),$B31=""),"",VLOOKUP($B31,'TICH LUY'!$B$11:$BY$85,73,0))</f>
        <v/>
      </c>
      <c r="FO31" s="507" t="str">
        <f>IF(OR(ISNA(VLOOKUP($B31,'TICH LUY'!$B$11:$BY$85,74,0)),$B31=""),"",VLOOKUP($B31,'TICH LUY'!$B$11:$BY$85,74,0))</f>
        <v/>
      </c>
      <c r="FP31" s="507">
        <f>IF(OR(ISNA(VLOOKUP($B31,'TICH LUY'!$B$11:$BY$85,75,0)),$B31=""),"",VLOOKUP($B31,'TICH LUY'!$B$11:$BY$85,75,0))</f>
        <v>6.7</v>
      </c>
      <c r="FQ31" s="529" t="str">
        <f>IF(OR(ISNA(VLOOKUP($B31,'TICH LUY'!$B$11:$BY$85,76,0)),$B31=""),"",VLOOKUP($B31,'TICH LUY'!$B$11:$BY$85,76,0))</f>
        <v/>
      </c>
      <c r="FR31" s="455">
        <f t="shared" si="69"/>
        <v>4</v>
      </c>
      <c r="FS31" s="456">
        <f t="shared" si="70"/>
        <v>6.5</v>
      </c>
      <c r="FT31" s="456">
        <f t="shared" si="71"/>
        <v>5.7</v>
      </c>
      <c r="FU31" s="456">
        <f t="shared" si="72"/>
        <v>4.4000000000000004</v>
      </c>
      <c r="FV31" s="456" t="str">
        <f t="shared" si="73"/>
        <v/>
      </c>
      <c r="FW31" s="456" t="str">
        <f t="shared" si="74"/>
        <v/>
      </c>
      <c r="FX31" s="456" t="str">
        <f t="shared" si="75"/>
        <v/>
      </c>
      <c r="FY31" s="456" t="str">
        <f t="shared" si="76"/>
        <v/>
      </c>
      <c r="FZ31" s="456" t="str">
        <f t="shared" si="77"/>
        <v/>
      </c>
      <c r="GA31" s="456">
        <f t="shared" si="78"/>
        <v>6.8</v>
      </c>
      <c r="GB31" s="459">
        <f t="shared" si="79"/>
        <v>6.3</v>
      </c>
      <c r="GC31" s="457">
        <f t="shared" si="23"/>
        <v>5.98</v>
      </c>
    </row>
    <row r="32" spans="1:185" s="221" customFormat="1" ht="15.75">
      <c r="A32" s="449">
        <f>IF(B32="","",SUBTOTAL(3,$B$11:B32))</f>
        <v>22</v>
      </c>
      <c r="B32" s="198" t="s">
        <v>2086</v>
      </c>
      <c r="C32" s="450" t="str">
        <f>IF($B32="","",VLOOKUP($B32,'DS LOP HKI'!$B$2:$F$2642,2,0))</f>
        <v>Nguyễn Thành</v>
      </c>
      <c r="D32" s="451" t="str">
        <f>IF($B32="","",VLOOKUP($B32,'DS LOP HKI'!$B$2:$F$2642,3,0))</f>
        <v>Phát</v>
      </c>
      <c r="E32" s="154"/>
      <c r="F32" s="152"/>
      <c r="G32" s="156">
        <v>1</v>
      </c>
      <c r="H32" s="181">
        <f>IF(OR($H$6="",$H$7=""),"",IF($B32="","",IF(ISNA(VLOOKUP($B32,'LT01'!$B$11:$R$75,13,FALSE)),"",IF(VLOOKUP($B32,'LT01'!$B$11:$R$75,13,FALSE)="","",VLOOKUP($B32,'LT01'!$B$11:$R$75,13,FALSE)))))</f>
        <v>3.3</v>
      </c>
      <c r="I32" s="182">
        <f>IF(OR($H$6="",$H$7=""),"",IF($B32="","",IF(ISNA(VLOOKUP($B32,'LT01'!$B$11:$R$75,14,FALSE)),"",VLOOKUP($B32,'LT01'!$B$11:$R$75,14,FALSE))))</f>
        <v>4.4000000000000004</v>
      </c>
      <c r="J32" s="183"/>
      <c r="K32" s="182" t="str">
        <f>IF(OR($H$6="",$H$7=""),"",IF($B32="","",IF(ISNA(VLOOKUP($B32,'LT01'!$B$11:$R$75,17,FALSE)),"",VLOOKUP($B32,'LT01'!$B$11:$R$75,17,FALSE))))</f>
        <v/>
      </c>
      <c r="L32" s="185">
        <f>IF(OR($H$6="",$H$7=""),"",IF($B32="","",IF(ISNA(VLOOKUP($B32,'LT02'!$B$11:$R$75,13,FALSE)),"",IF(VLOOKUP($B32,'LT02'!$B$11:$R$75,13,FALSE)="","",VLOOKUP($B32,'LT02'!$B$11:$R$75,13,FALSE)))))</f>
        <v>5.8</v>
      </c>
      <c r="M32" s="182">
        <f>IF(OR($H$6="",$H$7=""),"",IF($B32="","",IF(ISNA(VLOOKUP($B32,'LT02'!$B$11:$R$75,14,FALSE)),"",VLOOKUP($B32,'LT02'!$B$11:$R$75,14,FALSE))))</f>
        <v>5.7</v>
      </c>
      <c r="N32" s="183"/>
      <c r="O32" s="182" t="str">
        <f>IF(OR($H$6="",$H$7=""),"",IF($B32="","",IF(ISNA(VLOOKUP($B32,'LT02'!$B$11:$R$75,17,FALSE)),"",VLOOKUP($B32,'LT02'!$B$11:$R$75,17,FALSE))))</f>
        <v/>
      </c>
      <c r="P32" s="185">
        <f>IF(OR($H$6="",$H$7=""),"",IF($B32="","",IF(ISNA(VLOOKUP($B32,'LT03'!$B$11:$R$75,13,FALSE)),"",IF(VLOOKUP($B32,'LT03'!$B$11:$R$75,13,FALSE)="","",VLOOKUP($B32,'LT03'!$B$11:$R$75,13,FALSE)))))</f>
        <v>3.9</v>
      </c>
      <c r="Q32" s="182">
        <f>IF(OR($H$6="",$H$7=""),"",IF($B32="","",IF(ISNA(VLOOKUP($B32,'LT03'!$B$11:$R$75,14,FALSE)),"",VLOOKUP($B32,'LT03'!$B$11:$R$75,14,FALSE))))</f>
        <v>5.2</v>
      </c>
      <c r="R32" s="183"/>
      <c r="S32" s="182" t="str">
        <f>IF(OR($H$6="",$H$7=""),"",IF($B32="","",IF(ISNA(VLOOKUP($B32,'LT03'!$B$11:$R$75,17,FALSE)),"",VLOOKUP($B32,'LT03'!$B$11:$R$75,17,FALSE))))</f>
        <v/>
      </c>
      <c r="T32" s="185">
        <f>IF(OR($H$6="",$H$7=""),"",IF($B32="","",IF(ISNA(VLOOKUP($B32,'LT04'!$B$11:$R$75,13,FALSE)),"",IF(VLOOKUP($B32,'LT04'!$B$11:$R$75,13,FALSE)="","",VLOOKUP($B32,'LT04'!$B$11:$R$75,13,FALSE)))))</f>
        <v>4.5</v>
      </c>
      <c r="U32" s="182">
        <f>IF(OR($H$6="",$H$7=""),"",IF($B32="","",IF(ISNA(VLOOKUP($B32,'LT04'!$B$11:$R$75,14,FALSE)),"",VLOOKUP($B32,'LT04'!$B$11:$R$75,14,FALSE))))</f>
        <v>4.2</v>
      </c>
      <c r="V32" s="183"/>
      <c r="W32" s="184" t="str">
        <f>IF(OR($H$6="",$H$7=""),"",IF($B32="","",IF(ISNA(VLOOKUP($B32,'LT04'!$B$11:$R$75,17,FALSE)),"",VLOOKUP($B32,'LT04'!$B$11:$R$75,17,FALSE))))</f>
        <v/>
      </c>
      <c r="X32" s="185">
        <f>IF(OR($H$6="",$H$7=""),"",IF($B32="","",IF(ISNA(VLOOKUP($B32,'LT05'!$B$11:$R$75,13,FALSE)),"",IF(VLOOKUP($B32,'LT05'!$B$11:$R$75,13,FALSE)="","",VLOOKUP($B32,'LT05'!$B$11:$R$75,13,FALSE)))))</f>
        <v>7.5</v>
      </c>
      <c r="Y32" s="182">
        <f>IF(OR($H$6="",$H$7=""),"",IF($B32="","",IF(ISNA(VLOOKUP($B32,'LT05'!$B$11:$R$75,14,FALSE)),"",VLOOKUP($B32,'LT05'!$B$11:$R$75,14,FALSE))))</f>
        <v>7.8</v>
      </c>
      <c r="Z32" s="183"/>
      <c r="AA32" s="182" t="str">
        <f>IF(OR($H$6="",$H$7=""),"",IF($B32="","",IF(ISNA(VLOOKUP($B32,'LT05'!$B$11:$R$75,17,FALSE)),"",VLOOKUP($B32,'LT05'!$B$11:$R$75,17,FALSE))))</f>
        <v/>
      </c>
      <c r="AB32" s="185">
        <f>IF(OR($H$6="",$H$7=""),"",IF($B32="","",IF(ISNA(VLOOKUP($B32,'LT06'!$B$11:$R$75,13,FALSE)),"",IF(VLOOKUP($B32,'LT06'!$B$11:$R$75,13,FALSE)="","",VLOOKUP($B32,'LT06'!$B$11:$R$75,13,FALSE)))))</f>
        <v>5</v>
      </c>
      <c r="AC32" s="182">
        <f>IF(OR($H$6="",$H$7=""),"",IF($B32="","",IF(ISNA(VLOOKUP($B32,'LT06'!$B$11:$R$75,14,FALSE)),"",VLOOKUP($B32,'LT06'!$B$11:$R$75,14,FALSE))))</f>
        <v>5.3</v>
      </c>
      <c r="AD32" s="183"/>
      <c r="AE32" s="182" t="str">
        <f>IF(OR($H$6="",$H$7=""),"",IF($B32="","",IF(ISNA(VLOOKUP($B32,'LT06'!$B$11:$R$75,17,FALSE)),"",VLOOKUP($B32,'LT06'!$B$11:$R$75,17,FALSE))))</f>
        <v/>
      </c>
      <c r="AF32" s="185" t="str">
        <f>IF(OR($H$6="",$H$7=""),"",IF($B32="","",IF(ISNA(VLOOKUP($B32,'LT07'!$B$11:$R$75,13,FALSE)),"",IF(VLOOKUP($B32,'LT07'!$B$11:$R$75,13,FALSE)="","",VLOOKUP($B32,'LT07'!$B$11:$R$75,13,FALSE)))))</f>
        <v/>
      </c>
      <c r="AG32" s="182" t="str">
        <f>IF(OR($H$6="",$H$7=""),"",IF($B32="","",IF(ISNA(VLOOKUP($B32,'LT07'!$B$11:$R$75,14,FALSE)),"",VLOOKUP($B32,'LT07'!$B$11:$R$75,14,FALSE))))</f>
        <v/>
      </c>
      <c r="AH32" s="183"/>
      <c r="AI32" s="182" t="str">
        <f>IF(OR($H$6="",$H$7=""),"",IF($B32="","",IF(ISNA(VLOOKUP($B32,'LT07'!$B$11:$R$75,17,FALSE)),"",VLOOKUP($B32,'LT07'!$B$11:$R$75,17,FALSE))))</f>
        <v/>
      </c>
      <c r="AJ32" s="185" t="str">
        <f>IF(OR($H$6="",$H$7=""),"",IF($B32="","",IF(ISNA(VLOOKUP($B32,'LT08'!$B$11:$R$75,13,FALSE)),"",IF(VLOOKUP($B32,'LT08'!$B$11:$R$75,13,FALSE)="","",VLOOKUP($B32,'LT08'!$B$11:$R$75,13,FALSE)))))</f>
        <v/>
      </c>
      <c r="AK32" s="182" t="str">
        <f>IF(OR($H$6="",$H$7=""),"",IF($B32="","",IF(ISNA(VLOOKUP($B32,'LT08'!$B$11:$R$75,14,FALSE)),"",VLOOKUP($B32,'LT08'!$B$11:$R$75,14,FALSE))))</f>
        <v/>
      </c>
      <c r="AL32" s="183"/>
      <c r="AM32" s="182" t="str">
        <f>IF(OR($H$6="",$H$7=""),"",IF($B32="","",IF(ISNA(VLOOKUP($B32,'LT08'!$B$11:$R$75,17,FALSE)),"",VLOOKUP($B32,'LT08'!$B$11:$R$75,17,FALSE))))</f>
        <v/>
      </c>
      <c r="AN32" s="185" t="str">
        <f>IF(OR($H$6="",$H$7=""),"",IF($B32="","",IF(ISNA(VLOOKUP($B32,'LT09'!$B$11:$R$75,13,FALSE)),"",IF(VLOOKUP($B32,'LT09'!$B$11:$R$75,13,FALSE)="","",VLOOKUP($B32,'LT09'!$B$11:$R$75,13,FALSE)))))</f>
        <v/>
      </c>
      <c r="AO32" s="182" t="str">
        <f>IF(OR($H$6="",$H$7=""),"",IF($B32="","",IF(ISNA(VLOOKUP($B32,'LT09'!$B$11:$R$75,14,FALSE)),"",VLOOKUP($B32,'LT09'!$B$11:$R$75,14,FALSE))))</f>
        <v/>
      </c>
      <c r="AP32" s="183"/>
      <c r="AQ32" s="182" t="str">
        <f>IF(OR($H$6="",$H$7=""),"",IF($B32="","",IF(ISNA(VLOOKUP($B32,'LT09'!$B$11:$R$75,17,FALSE)),"",VLOOKUP($B32,'LT09'!$B$11:$R$75,17,FALSE))))</f>
        <v/>
      </c>
      <c r="AR32" s="186"/>
      <c r="AS32" s="182">
        <f>IF(OR($H$6="",$H$7=""),"",IF($B32="","",IF(ISNA(VLOOKUP($B32,'TH01'!$B$11:$R$75,14,FALSE)),"",VLOOKUP($B32,'TH01'!$B$11:$R$75,14,FALSE))))</f>
        <v>7.8</v>
      </c>
      <c r="AT32" s="183"/>
      <c r="AU32" s="187"/>
      <c r="AV32" s="186"/>
      <c r="AW32" s="182">
        <f>IF(OR($H$6="",$H$7=""),"",IF($B32="","",IF(ISNA(VLOOKUP($B32,'TH02'!$B$11:$R$75,14,FALSE)),"",VLOOKUP($B32,'TH02'!$B$11:$R$75,14,FALSE))))</f>
        <v>8</v>
      </c>
      <c r="AX32" s="183"/>
      <c r="AY32" s="187"/>
      <c r="AZ32" s="54">
        <f t="shared" si="24"/>
        <v>5.98</v>
      </c>
      <c r="BA32" s="54" t="str">
        <f t="shared" si="0"/>
        <v/>
      </c>
      <c r="BB32" s="70">
        <v>61</v>
      </c>
      <c r="BC32" s="52" t="str">
        <f t="shared" si="25"/>
        <v>TB</v>
      </c>
      <c r="BD32" s="52" t="str">
        <f t="shared" si="26"/>
        <v/>
      </c>
      <c r="BE32" s="52" t="str">
        <f t="shared" si="1"/>
        <v/>
      </c>
      <c r="BF32" s="149" t="str">
        <f t="shared" si="2"/>
        <v/>
      </c>
      <c r="BG32" s="52">
        <f t="shared" si="3"/>
        <v>18</v>
      </c>
      <c r="BH32" s="52">
        <f t="shared" si="27"/>
        <v>0</v>
      </c>
      <c r="BI32" s="52">
        <f t="shared" si="4"/>
        <v>18</v>
      </c>
      <c r="BJ32" s="52">
        <f t="shared" si="5"/>
        <v>0</v>
      </c>
      <c r="BK32" s="54">
        <f t="shared" si="6"/>
        <v>6.32</v>
      </c>
      <c r="BL32" s="54" t="str">
        <f t="shared" si="7"/>
        <v>BT</v>
      </c>
      <c r="BM32" s="54">
        <f t="shared" si="8"/>
        <v>6.32</v>
      </c>
      <c r="BN32" s="54" t="str">
        <f t="shared" si="9"/>
        <v>BT</v>
      </c>
      <c r="BO32" s="70"/>
      <c r="BP32" s="52">
        <f>IF(ISNA(VLOOKUP(B32,'TICH LUY'!B:D,2,0)),"",VLOOKUP(B32,'TICH LUY'!B:D,2,0)+BI32)</f>
        <v>57</v>
      </c>
      <c r="BQ32" s="52">
        <f>IF(ISNA(VLOOKUP(B32,'TICH LUY'!B:D,3,0)),"",VLOOKUP(B32,'TICH LUY'!B:D,3,0)+BJ32)</f>
        <v>0</v>
      </c>
      <c r="BR32" s="40">
        <f t="shared" si="10"/>
        <v>3</v>
      </c>
      <c r="BS32" s="452">
        <f t="shared" si="11"/>
        <v>3.3</v>
      </c>
      <c r="BT32" s="452">
        <f t="shared" si="12"/>
        <v>5.8</v>
      </c>
      <c r="BU32" s="452">
        <f t="shared" si="13"/>
        <v>3.9</v>
      </c>
      <c r="BV32" s="452">
        <f t="shared" si="14"/>
        <v>4.5</v>
      </c>
      <c r="BW32" s="452">
        <f t="shared" si="15"/>
        <v>7.5</v>
      </c>
      <c r="BX32" s="452">
        <f t="shared" si="16"/>
        <v>5</v>
      </c>
      <c r="BY32" s="452" t="str">
        <f t="shared" si="17"/>
        <v/>
      </c>
      <c r="BZ32" s="452" t="str">
        <f t="shared" si="28"/>
        <v/>
      </c>
      <c r="CA32" s="452" t="str">
        <f t="shared" si="29"/>
        <v/>
      </c>
      <c r="CB32" s="452">
        <f t="shared" si="30"/>
        <v>7.8</v>
      </c>
      <c r="CC32" s="452">
        <f t="shared" si="18"/>
        <v>8</v>
      </c>
      <c r="CD32" s="40">
        <f t="shared" si="31"/>
        <v>0</v>
      </c>
      <c r="CE32" s="453">
        <f t="shared" si="80"/>
        <v>4.4000000000000004</v>
      </c>
      <c r="CF32" s="452">
        <f t="shared" si="32"/>
        <v>5.7</v>
      </c>
      <c r="CG32" s="452">
        <f t="shared" si="81"/>
        <v>5.2</v>
      </c>
      <c r="CH32" s="452">
        <f t="shared" si="82"/>
        <v>4.2</v>
      </c>
      <c r="CI32" s="452">
        <f t="shared" si="83"/>
        <v>7.8</v>
      </c>
      <c r="CJ32" s="452">
        <f t="shared" si="84"/>
        <v>5.3</v>
      </c>
      <c r="CK32" s="452" t="str">
        <f t="shared" si="85"/>
        <v/>
      </c>
      <c r="CL32" s="452" t="str">
        <f t="shared" si="33"/>
        <v/>
      </c>
      <c r="CM32" s="452" t="str">
        <f t="shared" si="34"/>
        <v/>
      </c>
      <c r="CN32" s="452">
        <f t="shared" si="35"/>
        <v>7.8</v>
      </c>
      <c r="CO32" s="452">
        <f t="shared" si="19"/>
        <v>8</v>
      </c>
      <c r="CP32" s="454">
        <f t="shared" si="36"/>
        <v>5.98</v>
      </c>
      <c r="CQ32" s="527">
        <f>IF(OR(ISNA(VLOOKUP($B32,'TICH LUY'!$B$11:$BY$85,54,0)),$B32=""),"",VLOOKUP($B32,'TICH LUY'!$B$11:$BY$85,54,0))</f>
        <v>5.7</v>
      </c>
      <c r="CR32" s="507">
        <f>IF(OR(ISNA(VLOOKUP($B32,'TICH LUY'!$B$11:$BY$85,55,0)),$B32=""),"",VLOOKUP($B32,'TICH LUY'!$B$11:$BY$85,55,0))</f>
        <v>5</v>
      </c>
      <c r="CS32" s="507">
        <f>IF(OR(ISNA(VLOOKUP($B32,'TICH LUY'!$B$11:$BY$85,56,0)),$B32=""),"",VLOOKUP($B32,'TICH LUY'!$B$11:$BY$85,56,0))</f>
        <v>6.4</v>
      </c>
      <c r="CT32" s="507">
        <f>IF(OR(ISNA(VLOOKUP($B32,'TICH LUY'!$B$11:$BY$85,57,0)),$B32=""),"",VLOOKUP($B32,'TICH LUY'!$B$11:$BY$85,57,0))</f>
        <v>7</v>
      </c>
      <c r="CU32" s="507">
        <f>IF(OR(ISNA(VLOOKUP($B32,'TICH LUY'!$B$11:$BY$85,58,0)),$B32=""),"",VLOOKUP($B32,'TICH LUY'!$B$11:$BY$85,58,0))</f>
        <v>5.6</v>
      </c>
      <c r="CV32" s="507">
        <f>IF(OR(ISNA(VLOOKUP($B32,'TICH LUY'!$B$11:$BY$85,59,0)),$B32=""),"",VLOOKUP($B32,'TICH LUY'!$B$11:$BY$85,59,0))</f>
        <v>6.1</v>
      </c>
      <c r="CW32" s="507">
        <f>IF(OR(ISNA(VLOOKUP($B32,'TICH LUY'!$B$11:$BY$85,60,0)),$B32=""),"",VLOOKUP($B32,'TICH LUY'!$B$11:$BY$85,60,0))</f>
        <v>7.4</v>
      </c>
      <c r="CX32" s="507" t="str">
        <f>IF(OR(ISNA(VLOOKUP($B32,'TICH LUY'!$B$11:$BY$85,61,0)),$B32=""),"",VLOOKUP($B32,'TICH LUY'!$B$11:$BY$85,61,0))</f>
        <v/>
      </c>
      <c r="CY32" s="507" t="str">
        <f>IF(OR(ISNA(VLOOKUP($B32,'TICH LUY'!$B$11:$BY$85,62,0)),$B32=""),"",VLOOKUP($B32,'TICH LUY'!$B$11:$BY$85,62,0))</f>
        <v/>
      </c>
      <c r="CZ32" s="507">
        <f>IF(OR(ISNA(VLOOKUP($B32,'TICH LUY'!$B$11:$BY$85,63,0)),$B32=""),"",VLOOKUP($B32,'TICH LUY'!$B$11:$BY$85,63,0))</f>
        <v>5.3</v>
      </c>
      <c r="DA32" s="507">
        <f>IF(OR(ISNA(VLOOKUP($B32,'TICH LUY'!$B$11:$BY$85,64,0)),$B32=""),"",VLOOKUP($B32,'TICH LUY'!$B$11:$BY$85,64,0))</f>
        <v>5.4</v>
      </c>
      <c r="DB32" s="507" t="str">
        <f>IF(OR(ISNA(VLOOKUP($B32,'TICH LUY'!$B$11:$BY$85,65,0)),$B32=""),"",VLOOKUP($B32,'TICH LUY'!$B$11:$BY$85,65,0))</f>
        <v/>
      </c>
      <c r="DC32" s="507">
        <f>IF(OR(ISNA(VLOOKUP($B32,'TICH LUY'!$B$11:$BY$85,66,0)),$B32=""),"",VLOOKUP($B32,'TICH LUY'!$B$11:$BY$85,66,0))</f>
        <v>8.1999999999999993</v>
      </c>
      <c r="DD32" s="507">
        <f>IF(OR(ISNA(VLOOKUP($B32,'TICH LUY'!$B$11:$BY$85,67,0)),$B32=""),"",VLOOKUP($B32,'TICH LUY'!$B$11:$BY$85,67,0))</f>
        <v>7.2</v>
      </c>
      <c r="DE32" s="507">
        <f>IF(OR(ISNA(VLOOKUP($B32,'TICH LUY'!$B$11:$BY$85,68,0)),$B32=""),"",VLOOKUP($B32,'TICH LUY'!$B$11:$BY$85,68,0))</f>
        <v>7.3</v>
      </c>
      <c r="DF32" s="507">
        <f>IF(OR(ISNA(VLOOKUP($B32,'TICH LUY'!$B$11:$BY$85,69,0)),$B32=""),"",VLOOKUP($B32,'TICH LUY'!$B$11:$BY$85,69,0))</f>
        <v>7.6</v>
      </c>
      <c r="DG32" s="507">
        <f>IF(OR(ISNA(VLOOKUP($B32,'TICH LUY'!$B$11:$BY$85,70,0)),$B32=""),"",VLOOKUP($B32,'TICH LUY'!$B$11:$BY$85,70,0))</f>
        <v>7.4</v>
      </c>
      <c r="DH32" s="507">
        <f>IF(OR(ISNA(VLOOKUP($B32,'TICH LUY'!$B$11:$BY$85,71,0)),$B32=""),"",VLOOKUP($B32,'TICH LUY'!$B$11:$BY$85,71,0))</f>
        <v>7.6</v>
      </c>
      <c r="DI32" s="507" t="str">
        <f>IF(OR(ISNA(VLOOKUP($B32,'TICH LUY'!$B$11:$BY$85,72,0)),$B32=""),"",VLOOKUP($B32,'TICH LUY'!$B$11:$BY$85,72,0))</f>
        <v/>
      </c>
      <c r="DJ32" s="507" t="str">
        <f>IF(OR(ISNA(VLOOKUP($B32,'TICH LUY'!$B$11:$BY$85,73,0)),$B32=""),"",VLOOKUP($B32,'TICH LUY'!$B$11:$BY$85,73,0))</f>
        <v/>
      </c>
      <c r="DK32" s="507" t="str">
        <f>IF(OR(ISNA(VLOOKUP($B32,'TICH LUY'!$B$11:$BY$85,74,0)),$B32=""),"",VLOOKUP($B32,'TICH LUY'!$B$11:$BY$85,74,0))</f>
        <v/>
      </c>
      <c r="DL32" s="507">
        <f>IF(OR(ISNA(VLOOKUP($B32,'TICH LUY'!$B$11:$BY$85,75,0)),$B32=""),"",VLOOKUP($B32,'TICH LUY'!$B$11:$BY$85,75,0))</f>
        <v>7.2</v>
      </c>
      <c r="DM32" s="529" t="str">
        <f>IF(OR(ISNA(VLOOKUP($B32,'TICH LUY'!$B$11:$BY$85,76,0)),$B32=""),"",VLOOKUP($B32,'TICH LUY'!$B$11:$BY$85,76,0))</f>
        <v/>
      </c>
      <c r="DN32" s="455">
        <f t="shared" si="37"/>
        <v>4.4000000000000004</v>
      </c>
      <c r="DO32" s="456">
        <f t="shared" si="38"/>
        <v>5.7</v>
      </c>
      <c r="DP32" s="456">
        <f t="shared" si="39"/>
        <v>5.2</v>
      </c>
      <c r="DQ32" s="456">
        <f t="shared" si="40"/>
        <v>4.2</v>
      </c>
      <c r="DR32" s="456">
        <f t="shared" si="41"/>
        <v>7.8</v>
      </c>
      <c r="DS32" s="456">
        <f t="shared" si="42"/>
        <v>5.3</v>
      </c>
      <c r="DT32" s="456" t="str">
        <f t="shared" si="43"/>
        <v/>
      </c>
      <c r="DU32" s="456" t="str">
        <f t="shared" si="44"/>
        <v/>
      </c>
      <c r="DV32" s="456" t="str">
        <f t="shared" si="45"/>
        <v/>
      </c>
      <c r="DW32" s="456">
        <f t="shared" si="46"/>
        <v>7.8</v>
      </c>
      <c r="DX32" s="456">
        <f t="shared" si="47"/>
        <v>8</v>
      </c>
      <c r="DY32" s="457">
        <f t="shared" si="48"/>
        <v>6.32</v>
      </c>
      <c r="DZ32" s="453" t="str">
        <f t="shared" si="49"/>
        <v/>
      </c>
      <c r="EA32" s="452" t="str">
        <f t="shared" si="50"/>
        <v/>
      </c>
      <c r="EB32" s="452" t="str">
        <f t="shared" si="51"/>
        <v/>
      </c>
      <c r="EC32" s="452" t="str">
        <f t="shared" si="52"/>
        <v/>
      </c>
      <c r="ED32" s="452" t="str">
        <f t="shared" si="53"/>
        <v/>
      </c>
      <c r="EE32" s="452" t="str">
        <f t="shared" si="54"/>
        <v/>
      </c>
      <c r="EF32" s="452" t="str">
        <f t="shared" si="55"/>
        <v/>
      </c>
      <c r="EG32" s="452" t="str">
        <f t="shared" si="56"/>
        <v/>
      </c>
      <c r="EH32" s="452" t="str">
        <f t="shared" si="57"/>
        <v/>
      </c>
      <c r="EI32" s="453">
        <f t="shared" si="58"/>
        <v>4.4000000000000004</v>
      </c>
      <c r="EJ32" s="452">
        <f t="shared" si="59"/>
        <v>5.7</v>
      </c>
      <c r="EK32" s="452">
        <f t="shared" si="60"/>
        <v>5.2</v>
      </c>
      <c r="EL32" s="452">
        <f t="shared" si="61"/>
        <v>4.2</v>
      </c>
      <c r="EM32" s="452">
        <f t="shared" si="62"/>
        <v>7.8</v>
      </c>
      <c r="EN32" s="452">
        <f t="shared" si="63"/>
        <v>5.3</v>
      </c>
      <c r="EO32" s="452" t="str">
        <f t="shared" si="64"/>
        <v/>
      </c>
      <c r="EP32" s="452" t="str">
        <f t="shared" si="65"/>
        <v/>
      </c>
      <c r="EQ32" s="452" t="str">
        <f t="shared" si="66"/>
        <v/>
      </c>
      <c r="ER32" s="452">
        <f t="shared" si="67"/>
        <v>7.8</v>
      </c>
      <c r="ES32" s="452">
        <f t="shared" si="21"/>
        <v>8</v>
      </c>
      <c r="ET32" s="458" t="str">
        <f t="shared" si="68"/>
        <v/>
      </c>
      <c r="EU32" s="527">
        <f>IF(OR(ISNA(VLOOKUP($B32,'TICH LUY'!$B$11:$BY$85,54,0)),$B32=""),"",VLOOKUP($B32,'TICH LUY'!$B$11:$BY$85,54,0))</f>
        <v>5.7</v>
      </c>
      <c r="EV32" s="507">
        <f>IF(OR(ISNA(VLOOKUP($B32,'TICH LUY'!$B$11:$BY$85,55,0)),$B32=""),"",VLOOKUP($B32,'TICH LUY'!$B$11:$BY$85,55,0))</f>
        <v>5</v>
      </c>
      <c r="EW32" s="507">
        <f>IF(OR(ISNA(VLOOKUP($B32,'TICH LUY'!$B$11:$BY$85,56,0)),$B32=""),"",VLOOKUP($B32,'TICH LUY'!$B$11:$BY$85,56,0))</f>
        <v>6.4</v>
      </c>
      <c r="EX32" s="507">
        <f>IF(OR(ISNA(VLOOKUP($B32,'TICH LUY'!$B$11:$BY$85,57,0)),$B32=""),"",VLOOKUP($B32,'TICH LUY'!$B$11:$BY$85,57,0))</f>
        <v>7</v>
      </c>
      <c r="EY32" s="507">
        <f>IF(OR(ISNA(VLOOKUP($B32,'TICH LUY'!$B$11:$BY$85,58,0)),$B32=""),"",VLOOKUP($B32,'TICH LUY'!$B$11:$BY$85,58,0))</f>
        <v>5.6</v>
      </c>
      <c r="EZ32" s="507">
        <f>IF(OR(ISNA(VLOOKUP($B32,'TICH LUY'!$B$11:$BY$85,59,0)),$B32=""),"",VLOOKUP($B32,'TICH LUY'!$B$11:$BY$85,59,0))</f>
        <v>6.1</v>
      </c>
      <c r="FA32" s="507">
        <f>IF(OR(ISNA(VLOOKUP($B32,'TICH LUY'!$B$11:$BY$85,60,0)),$B32=""),"",VLOOKUP($B32,'TICH LUY'!$B$11:$BY$85,60,0))</f>
        <v>7.4</v>
      </c>
      <c r="FB32" s="507" t="str">
        <f>IF(OR(ISNA(VLOOKUP($B32,'TICH LUY'!$B$11:$BY$85,61,0)),$B32=""),"",VLOOKUP($B32,'TICH LUY'!$B$11:$BY$85,61,0))</f>
        <v/>
      </c>
      <c r="FC32" s="507" t="str">
        <f>IF(OR(ISNA(VLOOKUP($B32,'TICH LUY'!$B$11:$BY$85,62,0)),$B32=""),"",VLOOKUP($B32,'TICH LUY'!$B$11:$BY$85,62,0))</f>
        <v/>
      </c>
      <c r="FD32" s="507">
        <f>IF(OR(ISNA(VLOOKUP($B32,'TICH LUY'!$B$11:$BY$85,63,0)),$B32=""),"",VLOOKUP($B32,'TICH LUY'!$B$11:$BY$85,63,0))</f>
        <v>5.3</v>
      </c>
      <c r="FE32" s="507">
        <f>IF(OR(ISNA(VLOOKUP($B32,'TICH LUY'!$B$11:$BY$85,64,0)),$B32=""),"",VLOOKUP($B32,'TICH LUY'!$B$11:$BY$85,64,0))</f>
        <v>5.4</v>
      </c>
      <c r="FF32" s="507" t="str">
        <f>IF(OR(ISNA(VLOOKUP($B32,'TICH LUY'!$B$11:$BY$85,65,0)),$B32=""),"",VLOOKUP($B32,'TICH LUY'!$B$11:$BY$85,65,0))</f>
        <v/>
      </c>
      <c r="FG32" s="507">
        <f>IF(OR(ISNA(VLOOKUP($B32,'TICH LUY'!$B$11:$BY$85,66,0)),$B32=""),"",VLOOKUP($B32,'TICH LUY'!$B$11:$BY$85,66,0))</f>
        <v>8.1999999999999993</v>
      </c>
      <c r="FH32" s="507">
        <f>IF(OR(ISNA(VLOOKUP($B32,'TICH LUY'!$B$11:$BY$85,67,0)),$B32=""),"",VLOOKUP($B32,'TICH LUY'!$B$11:$BY$85,67,0))</f>
        <v>7.2</v>
      </c>
      <c r="FI32" s="507">
        <f>IF(OR(ISNA(VLOOKUP($B32,'TICH LUY'!$B$11:$BY$85,68,0)),$B32=""),"",VLOOKUP($B32,'TICH LUY'!$B$11:$BY$85,68,0))</f>
        <v>7.3</v>
      </c>
      <c r="FJ32" s="507">
        <f>IF(OR(ISNA(VLOOKUP($B32,'TICH LUY'!$B$11:$BY$85,69,0)),$B32=""),"",VLOOKUP($B32,'TICH LUY'!$B$11:$BY$85,69,0))</f>
        <v>7.6</v>
      </c>
      <c r="FK32" s="507">
        <f>IF(OR(ISNA(VLOOKUP($B32,'TICH LUY'!$B$11:$BY$85,70,0)),$B32=""),"",VLOOKUP($B32,'TICH LUY'!$B$11:$BY$85,70,0))</f>
        <v>7.4</v>
      </c>
      <c r="FL32" s="507">
        <f>IF(OR(ISNA(VLOOKUP($B32,'TICH LUY'!$B$11:$BY$85,71,0)),$B32=""),"",VLOOKUP($B32,'TICH LUY'!$B$11:$BY$85,71,0))</f>
        <v>7.6</v>
      </c>
      <c r="FM32" s="507" t="str">
        <f>IF(OR(ISNA(VLOOKUP($B32,'TICH LUY'!$B$11:$BY$85,72,0)),$B32=""),"",VLOOKUP($B32,'TICH LUY'!$B$11:$BY$85,72,0))</f>
        <v/>
      </c>
      <c r="FN32" s="507" t="str">
        <f>IF(OR(ISNA(VLOOKUP($B32,'TICH LUY'!$B$11:$BY$85,73,0)),$B32=""),"",VLOOKUP($B32,'TICH LUY'!$B$11:$BY$85,73,0))</f>
        <v/>
      </c>
      <c r="FO32" s="507" t="str">
        <f>IF(OR(ISNA(VLOOKUP($B32,'TICH LUY'!$B$11:$BY$85,74,0)),$B32=""),"",VLOOKUP($B32,'TICH LUY'!$B$11:$BY$85,74,0))</f>
        <v/>
      </c>
      <c r="FP32" s="507">
        <f>IF(OR(ISNA(VLOOKUP($B32,'TICH LUY'!$B$11:$BY$85,75,0)),$B32=""),"",VLOOKUP($B32,'TICH LUY'!$B$11:$BY$85,75,0))</f>
        <v>7.2</v>
      </c>
      <c r="FQ32" s="529" t="str">
        <f>IF(OR(ISNA(VLOOKUP($B32,'TICH LUY'!$B$11:$BY$85,76,0)),$B32=""),"",VLOOKUP($B32,'TICH LUY'!$B$11:$BY$85,76,0))</f>
        <v/>
      </c>
      <c r="FR32" s="455">
        <f t="shared" si="69"/>
        <v>4.4000000000000004</v>
      </c>
      <c r="FS32" s="456">
        <f t="shared" si="70"/>
        <v>5.7</v>
      </c>
      <c r="FT32" s="456">
        <f t="shared" si="71"/>
        <v>5.2</v>
      </c>
      <c r="FU32" s="456">
        <f t="shared" si="72"/>
        <v>4.2</v>
      </c>
      <c r="FV32" s="456">
        <f t="shared" si="73"/>
        <v>7.8</v>
      </c>
      <c r="FW32" s="456">
        <f t="shared" si="74"/>
        <v>5.3</v>
      </c>
      <c r="FX32" s="456" t="str">
        <f t="shared" si="75"/>
        <v/>
      </c>
      <c r="FY32" s="456" t="str">
        <f t="shared" si="76"/>
        <v/>
      </c>
      <c r="FZ32" s="456" t="str">
        <f t="shared" si="77"/>
        <v/>
      </c>
      <c r="GA32" s="456">
        <f t="shared" si="78"/>
        <v>7.8</v>
      </c>
      <c r="GB32" s="459">
        <f t="shared" si="79"/>
        <v>8</v>
      </c>
      <c r="GC32" s="457">
        <f t="shared" si="23"/>
        <v>6.32</v>
      </c>
    </row>
    <row r="33" spans="1:185" s="221" customFormat="1" ht="15.75">
      <c r="A33" s="449">
        <f>IF(B33="","",SUBTOTAL(3,$B$11:B33))</f>
        <v>23</v>
      </c>
      <c r="B33" s="198" t="s">
        <v>2087</v>
      </c>
      <c r="C33" s="450" t="str">
        <f>IF($B33="","",VLOOKUP($B33,'DS LOP HKI'!$B$2:$F$2642,2,0))</f>
        <v>Huỳnh Thanh</v>
      </c>
      <c r="D33" s="451" t="str">
        <f>IF($B33="","",VLOOKUP($B33,'DS LOP HKI'!$B$2:$F$2642,3,0))</f>
        <v>Phú</v>
      </c>
      <c r="E33" s="154"/>
      <c r="F33" s="152"/>
      <c r="G33" s="156">
        <v>19</v>
      </c>
      <c r="H33" s="181">
        <f>IF(OR($H$6="",$H$7=""),"",IF($B33="","",IF(ISNA(VLOOKUP($B33,'LT01'!$B$11:$R$75,13,FALSE)),"",IF(VLOOKUP($B33,'LT01'!$B$11:$R$75,13,FALSE)="","",VLOOKUP($B33,'LT01'!$B$11:$R$75,13,FALSE)))))</f>
        <v>0</v>
      </c>
      <c r="I33" s="182">
        <f>IF(OR($H$6="",$H$7=""),"",IF($B33="","",IF(ISNA(VLOOKUP($B33,'LT01'!$B$11:$R$75,14,FALSE)),"",VLOOKUP($B33,'LT01'!$B$11:$R$75,14,FALSE))))</f>
        <v>0</v>
      </c>
      <c r="J33" s="183"/>
      <c r="K33" s="182" t="str">
        <f>IF(OR($H$6="",$H$7=""),"",IF($B33="","",IF(ISNA(VLOOKUP($B33,'LT01'!$B$11:$R$75,17,FALSE)),"",VLOOKUP($B33,'LT01'!$B$11:$R$75,17,FALSE))))</f>
        <v/>
      </c>
      <c r="L33" s="185">
        <f>IF(OR($H$6="",$H$7=""),"",IF($B33="","",IF(ISNA(VLOOKUP($B33,'LT02'!$B$11:$R$75,13,FALSE)),"",IF(VLOOKUP($B33,'LT02'!$B$11:$R$75,13,FALSE)="","",VLOOKUP($B33,'LT02'!$B$11:$R$75,13,FALSE)))))</f>
        <v>0</v>
      </c>
      <c r="M33" s="182">
        <f>IF(OR($H$6="",$H$7=""),"",IF($B33="","",IF(ISNA(VLOOKUP($B33,'LT02'!$B$11:$R$75,14,FALSE)),"",VLOOKUP($B33,'LT02'!$B$11:$R$75,14,FALSE))))</f>
        <v>0</v>
      </c>
      <c r="N33" s="183"/>
      <c r="O33" s="182" t="str">
        <f>IF(OR($H$6="",$H$7=""),"",IF($B33="","",IF(ISNA(VLOOKUP($B33,'LT02'!$B$11:$R$75,17,FALSE)),"",VLOOKUP($B33,'LT02'!$B$11:$R$75,17,FALSE))))</f>
        <v/>
      </c>
      <c r="P33" s="185">
        <f>IF(OR($H$6="",$H$7=""),"",IF($B33="","",IF(ISNA(VLOOKUP($B33,'LT03'!$B$11:$R$75,13,FALSE)),"",IF(VLOOKUP($B33,'LT03'!$B$11:$R$75,13,FALSE)="","",VLOOKUP($B33,'LT03'!$B$11:$R$75,13,FALSE)))))</f>
        <v>2.8</v>
      </c>
      <c r="Q33" s="182">
        <f>IF(OR($H$6="",$H$7=""),"",IF($B33="","",IF(ISNA(VLOOKUP($B33,'LT03'!$B$11:$R$75,14,FALSE)),"",VLOOKUP($B33,'LT03'!$B$11:$R$75,14,FALSE))))</f>
        <v>3.7</v>
      </c>
      <c r="R33" s="183"/>
      <c r="S33" s="182" t="str">
        <f>IF(OR($H$6="",$H$7=""),"",IF($B33="","",IF(ISNA(VLOOKUP($B33,'LT03'!$B$11:$R$75,17,FALSE)),"",VLOOKUP($B33,'LT03'!$B$11:$R$75,17,FALSE))))</f>
        <v/>
      </c>
      <c r="T33" s="185">
        <f>IF(OR($H$6="",$H$7=""),"",IF($B33="","",IF(ISNA(VLOOKUP($B33,'LT04'!$B$11:$R$75,13,FALSE)),"",IF(VLOOKUP($B33,'LT04'!$B$11:$R$75,13,FALSE)="","",VLOOKUP($B33,'LT04'!$B$11:$R$75,13,FALSE)))))</f>
        <v>0</v>
      </c>
      <c r="U33" s="182">
        <f>IF(OR($H$6="",$H$7=""),"",IF($B33="","",IF(ISNA(VLOOKUP($B33,'LT04'!$B$11:$R$75,14,FALSE)),"",VLOOKUP($B33,'LT04'!$B$11:$R$75,14,FALSE))))</f>
        <v>0.5</v>
      </c>
      <c r="V33" s="183"/>
      <c r="W33" s="184" t="str">
        <f>IF(OR($H$6="",$H$7=""),"",IF($B33="","",IF(ISNA(VLOOKUP($B33,'LT04'!$B$11:$R$75,17,FALSE)),"",VLOOKUP($B33,'LT04'!$B$11:$R$75,17,FALSE))))</f>
        <v/>
      </c>
      <c r="X33" s="185">
        <f>IF(OR($H$6="",$H$7=""),"",IF($B33="","",IF(ISNA(VLOOKUP($B33,'LT05'!$B$11:$R$75,13,FALSE)),"",IF(VLOOKUP($B33,'LT05'!$B$11:$R$75,13,FALSE)="","",VLOOKUP($B33,'LT05'!$B$11:$R$75,13,FALSE)))))</f>
        <v>0</v>
      </c>
      <c r="Y33" s="182">
        <f>IF(OR($H$6="",$H$7=""),"",IF($B33="","",IF(ISNA(VLOOKUP($B33,'LT05'!$B$11:$R$75,14,FALSE)),"",VLOOKUP($B33,'LT05'!$B$11:$R$75,14,FALSE))))</f>
        <v>0.1</v>
      </c>
      <c r="Z33" s="183"/>
      <c r="AA33" s="182" t="str">
        <f>IF(OR($H$6="",$H$7=""),"",IF($B33="","",IF(ISNA(VLOOKUP($B33,'LT05'!$B$11:$R$75,17,FALSE)),"",VLOOKUP($B33,'LT05'!$B$11:$R$75,17,FALSE))))</f>
        <v/>
      </c>
      <c r="AB33" s="185">
        <f>IF(OR($H$6="",$H$7=""),"",IF($B33="","",IF(ISNA(VLOOKUP($B33,'LT06'!$B$11:$R$75,13,FALSE)),"",IF(VLOOKUP($B33,'LT06'!$B$11:$R$75,13,FALSE)="","",VLOOKUP($B33,'LT06'!$B$11:$R$75,13,FALSE)))))</f>
        <v>1</v>
      </c>
      <c r="AC33" s="182">
        <f>IF(OR($H$6="",$H$7=""),"",IF($B33="","",IF(ISNA(VLOOKUP($B33,'LT06'!$B$11:$R$75,14,FALSE)),"",VLOOKUP($B33,'LT06'!$B$11:$R$75,14,FALSE))))</f>
        <v>2.6</v>
      </c>
      <c r="AD33" s="183"/>
      <c r="AE33" s="182" t="str">
        <f>IF(OR($H$6="",$H$7=""),"",IF($B33="","",IF(ISNA(VLOOKUP($B33,'LT06'!$B$11:$R$75,17,FALSE)),"",VLOOKUP($B33,'LT06'!$B$11:$R$75,17,FALSE))))</f>
        <v/>
      </c>
      <c r="AF33" s="185" t="str">
        <f>IF(OR($H$6="",$H$7=""),"",IF($B33="","",IF(ISNA(VLOOKUP($B33,'LT07'!$B$11:$R$75,13,FALSE)),"",IF(VLOOKUP($B33,'LT07'!$B$11:$R$75,13,FALSE)="","",VLOOKUP($B33,'LT07'!$B$11:$R$75,13,FALSE)))))</f>
        <v/>
      </c>
      <c r="AG33" s="182" t="str">
        <f>IF(OR($H$6="",$H$7=""),"",IF($B33="","",IF(ISNA(VLOOKUP($B33,'LT07'!$B$11:$R$75,14,FALSE)),"",VLOOKUP($B33,'LT07'!$B$11:$R$75,14,FALSE))))</f>
        <v/>
      </c>
      <c r="AH33" s="183"/>
      <c r="AI33" s="182" t="str">
        <f>IF(OR($H$6="",$H$7=""),"",IF($B33="","",IF(ISNA(VLOOKUP($B33,'LT07'!$B$11:$R$75,17,FALSE)),"",VLOOKUP($B33,'LT07'!$B$11:$R$75,17,FALSE))))</f>
        <v/>
      </c>
      <c r="AJ33" s="185" t="str">
        <f>IF(OR($H$6="",$H$7=""),"",IF($B33="","",IF(ISNA(VLOOKUP($B33,'LT08'!$B$11:$R$75,13,FALSE)),"",IF(VLOOKUP($B33,'LT08'!$B$11:$R$75,13,FALSE)="","",VLOOKUP($B33,'LT08'!$B$11:$R$75,13,FALSE)))))</f>
        <v/>
      </c>
      <c r="AK33" s="182" t="str">
        <f>IF(OR($H$6="",$H$7=""),"",IF($B33="","",IF(ISNA(VLOOKUP($B33,'LT08'!$B$11:$R$75,14,FALSE)),"",VLOOKUP($B33,'LT08'!$B$11:$R$75,14,FALSE))))</f>
        <v/>
      </c>
      <c r="AL33" s="183"/>
      <c r="AM33" s="182" t="str">
        <f>IF(OR($H$6="",$H$7=""),"",IF($B33="","",IF(ISNA(VLOOKUP($B33,'LT08'!$B$11:$R$75,17,FALSE)),"",VLOOKUP($B33,'LT08'!$B$11:$R$75,17,FALSE))))</f>
        <v/>
      </c>
      <c r="AN33" s="185" t="str">
        <f>IF(OR($H$6="",$H$7=""),"",IF($B33="","",IF(ISNA(VLOOKUP($B33,'LT09'!$B$11:$R$75,13,FALSE)),"",IF(VLOOKUP($B33,'LT09'!$B$11:$R$75,13,FALSE)="","",VLOOKUP($B33,'LT09'!$B$11:$R$75,13,FALSE)))))</f>
        <v/>
      </c>
      <c r="AO33" s="182" t="str">
        <f>IF(OR($H$6="",$H$7=""),"",IF($B33="","",IF(ISNA(VLOOKUP($B33,'LT09'!$B$11:$R$75,14,FALSE)),"",VLOOKUP($B33,'LT09'!$B$11:$R$75,14,FALSE))))</f>
        <v/>
      </c>
      <c r="AP33" s="183"/>
      <c r="AQ33" s="182" t="str">
        <f>IF(OR($H$6="",$H$7=""),"",IF($B33="","",IF(ISNA(VLOOKUP($B33,'LT09'!$B$11:$R$75,17,FALSE)),"",VLOOKUP($B33,'LT09'!$B$11:$R$75,17,FALSE))))</f>
        <v/>
      </c>
      <c r="AR33" s="186"/>
      <c r="AS33" s="182">
        <f>IF(OR($H$6="",$H$7=""),"",IF($B33="","",IF(ISNA(VLOOKUP($B33,'TH01'!$B$11:$R$75,14,FALSE)),"",VLOOKUP($B33,'TH01'!$B$11:$R$75,14,FALSE))))</f>
        <v>5.8</v>
      </c>
      <c r="AT33" s="183"/>
      <c r="AU33" s="187"/>
      <c r="AV33" s="186"/>
      <c r="AW33" s="182">
        <f>IF(OR($H$6="",$H$7=""),"",IF($B33="","",IF(ISNA(VLOOKUP($B33,'TH02'!$B$11:$R$75,14,FALSE)),"",VLOOKUP($B33,'TH02'!$B$11:$R$75,14,FALSE))))</f>
        <v>5</v>
      </c>
      <c r="AX33" s="183"/>
      <c r="AY33" s="187"/>
      <c r="AZ33" s="54">
        <f t="shared" si="24"/>
        <v>2.17</v>
      </c>
      <c r="BA33" s="54" t="str">
        <f t="shared" si="0"/>
        <v/>
      </c>
      <c r="BB33" s="70">
        <v>31</v>
      </c>
      <c r="BC33" s="52" t="str">
        <f t="shared" si="25"/>
        <v>Kém</v>
      </c>
      <c r="BD33" s="52" t="str">
        <f t="shared" si="26"/>
        <v/>
      </c>
      <c r="BE33" s="52" t="str">
        <f t="shared" si="1"/>
        <v/>
      </c>
      <c r="BF33" s="149" t="str">
        <f t="shared" si="2"/>
        <v>Cảnh Báo</v>
      </c>
      <c r="BG33" s="52">
        <f t="shared" si="3"/>
        <v>4</v>
      </c>
      <c r="BH33" s="52">
        <f t="shared" si="27"/>
        <v>14</v>
      </c>
      <c r="BI33" s="52">
        <f t="shared" si="4"/>
        <v>4</v>
      </c>
      <c r="BJ33" s="52">
        <f t="shared" si="5"/>
        <v>14</v>
      </c>
      <c r="BK33" s="54">
        <f t="shared" si="6"/>
        <v>5.4</v>
      </c>
      <c r="BL33" s="54" t="str">
        <f t="shared" si="7"/>
        <v>Y</v>
      </c>
      <c r="BM33" s="54">
        <f t="shared" si="8"/>
        <v>5.4</v>
      </c>
      <c r="BN33" s="54" t="str">
        <f t="shared" si="9"/>
        <v>Y</v>
      </c>
      <c r="BO33" s="70"/>
      <c r="BP33" s="52">
        <f>IF(ISNA(VLOOKUP(B33,'TICH LUY'!B:D,2,0)),"",VLOOKUP(B33,'TICH LUY'!B:D,2,0)+BI33)</f>
        <v>41</v>
      </c>
      <c r="BQ33" s="52">
        <f>IF(ISNA(VLOOKUP(B33,'TICH LUY'!B:D,3,0)),"",VLOOKUP(B33,'TICH LUY'!B:D,3,0)+BJ33)</f>
        <v>16</v>
      </c>
      <c r="BR33" s="40">
        <f t="shared" si="10"/>
        <v>6</v>
      </c>
      <c r="BS33" s="452">
        <f t="shared" si="11"/>
        <v>0</v>
      </c>
      <c r="BT33" s="452">
        <f t="shared" si="12"/>
        <v>0</v>
      </c>
      <c r="BU33" s="452">
        <f t="shared" si="13"/>
        <v>2.8</v>
      </c>
      <c r="BV33" s="452">
        <f t="shared" si="14"/>
        <v>0</v>
      </c>
      <c r="BW33" s="452">
        <f t="shared" si="15"/>
        <v>0</v>
      </c>
      <c r="BX33" s="452">
        <f t="shared" si="16"/>
        <v>1</v>
      </c>
      <c r="BY33" s="452" t="str">
        <f t="shared" si="17"/>
        <v/>
      </c>
      <c r="BZ33" s="452" t="str">
        <f t="shared" si="28"/>
        <v/>
      </c>
      <c r="CA33" s="452" t="str">
        <f t="shared" si="29"/>
        <v/>
      </c>
      <c r="CB33" s="452">
        <f t="shared" si="30"/>
        <v>5.8</v>
      </c>
      <c r="CC33" s="452">
        <f t="shared" si="18"/>
        <v>5</v>
      </c>
      <c r="CD33" s="40">
        <f t="shared" si="31"/>
        <v>6</v>
      </c>
      <c r="CE33" s="453">
        <f t="shared" si="80"/>
        <v>0</v>
      </c>
      <c r="CF33" s="452">
        <f t="shared" si="32"/>
        <v>0</v>
      </c>
      <c r="CG33" s="452">
        <f t="shared" si="81"/>
        <v>3.7</v>
      </c>
      <c r="CH33" s="452">
        <f t="shared" si="82"/>
        <v>0.5</v>
      </c>
      <c r="CI33" s="452">
        <f t="shared" si="83"/>
        <v>0.1</v>
      </c>
      <c r="CJ33" s="452">
        <f t="shared" si="84"/>
        <v>2.6</v>
      </c>
      <c r="CK33" s="452" t="str">
        <f t="shared" si="85"/>
        <v/>
      </c>
      <c r="CL33" s="452" t="str">
        <f t="shared" si="33"/>
        <v/>
      </c>
      <c r="CM33" s="452" t="str">
        <f t="shared" si="34"/>
        <v/>
      </c>
      <c r="CN33" s="452">
        <f t="shared" si="35"/>
        <v>5.8</v>
      </c>
      <c r="CO33" s="452">
        <f t="shared" si="19"/>
        <v>5</v>
      </c>
      <c r="CP33" s="454">
        <f t="shared" si="36"/>
        <v>2.17</v>
      </c>
      <c r="CQ33" s="527">
        <f>IF(OR(ISNA(VLOOKUP($B33,'TICH LUY'!$B$11:$BY$85,54,0)),$B33=""),"",VLOOKUP($B33,'TICH LUY'!$B$11:$BY$85,54,0))</f>
        <v>5</v>
      </c>
      <c r="CR33" s="507">
        <f>IF(OR(ISNA(VLOOKUP($B33,'TICH LUY'!$B$11:$BY$85,55,0)),$B33=""),"",VLOOKUP($B33,'TICH LUY'!$B$11:$BY$85,55,0))</f>
        <v>6.2</v>
      </c>
      <c r="CS33" s="507">
        <f>IF(OR(ISNA(VLOOKUP($B33,'TICH LUY'!$B$11:$BY$85,56,0)),$B33=""),"",VLOOKUP($B33,'TICH LUY'!$B$11:$BY$85,56,0))</f>
        <v>4.7</v>
      </c>
      <c r="CT33" s="507">
        <f>IF(OR(ISNA(VLOOKUP($B33,'TICH LUY'!$B$11:$BY$85,57,0)),$B33=""),"",VLOOKUP($B33,'TICH LUY'!$B$11:$BY$85,57,0))</f>
        <v>4.5</v>
      </c>
      <c r="CU33" s="507">
        <f>IF(OR(ISNA(VLOOKUP($B33,'TICH LUY'!$B$11:$BY$85,58,0)),$B33=""),"",VLOOKUP($B33,'TICH LUY'!$B$11:$BY$85,58,0))</f>
        <v>5.8</v>
      </c>
      <c r="CV33" s="507">
        <f>IF(OR(ISNA(VLOOKUP($B33,'TICH LUY'!$B$11:$BY$85,59,0)),$B33=""),"",VLOOKUP($B33,'TICH LUY'!$B$11:$BY$85,59,0))</f>
        <v>5.9</v>
      </c>
      <c r="CW33" s="507">
        <f>IF(OR(ISNA(VLOOKUP($B33,'TICH LUY'!$B$11:$BY$85,60,0)),$B33=""),"",VLOOKUP($B33,'TICH LUY'!$B$11:$BY$85,60,0))</f>
        <v>5.0999999999999996</v>
      </c>
      <c r="CX33" s="507" t="str">
        <f>IF(OR(ISNA(VLOOKUP($B33,'TICH LUY'!$B$11:$BY$85,61,0)),$B33=""),"",VLOOKUP($B33,'TICH LUY'!$B$11:$BY$85,61,0))</f>
        <v/>
      </c>
      <c r="CY33" s="507" t="str">
        <f>IF(OR(ISNA(VLOOKUP($B33,'TICH LUY'!$B$11:$BY$85,62,0)),$B33=""),"",VLOOKUP($B33,'TICH LUY'!$B$11:$BY$85,62,0))</f>
        <v/>
      </c>
      <c r="CZ33" s="507">
        <f>IF(OR(ISNA(VLOOKUP($B33,'TICH LUY'!$B$11:$BY$85,63,0)),$B33=""),"",VLOOKUP($B33,'TICH LUY'!$B$11:$BY$85,63,0))</f>
        <v>5.2</v>
      </c>
      <c r="DA33" s="507">
        <f>IF(OR(ISNA(VLOOKUP($B33,'TICH LUY'!$B$11:$BY$85,64,0)),$B33=""),"",VLOOKUP($B33,'TICH LUY'!$B$11:$BY$85,64,0))</f>
        <v>4.0999999999999996</v>
      </c>
      <c r="DB33" s="507" t="str">
        <f>IF(OR(ISNA(VLOOKUP($B33,'TICH LUY'!$B$11:$BY$85,65,0)),$B33=""),"",VLOOKUP($B33,'TICH LUY'!$B$11:$BY$85,65,0))</f>
        <v/>
      </c>
      <c r="DC33" s="507">
        <f>IF(OR(ISNA(VLOOKUP($B33,'TICH LUY'!$B$11:$BY$85,66,0)),$B33=""),"",VLOOKUP($B33,'TICH LUY'!$B$11:$BY$85,66,0))</f>
        <v>5.0999999999999996</v>
      </c>
      <c r="DD33" s="507">
        <f>IF(OR(ISNA(VLOOKUP($B33,'TICH LUY'!$B$11:$BY$85,67,0)),$B33=""),"",VLOOKUP($B33,'TICH LUY'!$B$11:$BY$85,67,0))</f>
        <v>4.9000000000000004</v>
      </c>
      <c r="DE33" s="507">
        <f>IF(OR(ISNA(VLOOKUP($B33,'TICH LUY'!$B$11:$BY$85,68,0)),$B33=""),"",VLOOKUP($B33,'TICH LUY'!$B$11:$BY$85,68,0))</f>
        <v>5.9</v>
      </c>
      <c r="DF33" s="507">
        <f>IF(OR(ISNA(VLOOKUP($B33,'TICH LUY'!$B$11:$BY$85,69,0)),$B33=""),"",VLOOKUP($B33,'TICH LUY'!$B$11:$BY$85,69,0))</f>
        <v>5.9</v>
      </c>
      <c r="DG33" s="507" t="str">
        <f>IF(OR(ISNA(VLOOKUP($B33,'TICH LUY'!$B$11:$BY$85,70,0)),$B33=""),"",VLOOKUP($B33,'TICH LUY'!$B$11:$BY$85,70,0))</f>
        <v/>
      </c>
      <c r="DH33" s="507">
        <f>IF(OR(ISNA(VLOOKUP($B33,'TICH LUY'!$B$11:$BY$85,71,0)),$B33=""),"",VLOOKUP($B33,'TICH LUY'!$B$11:$BY$85,71,0))</f>
        <v>6.4</v>
      </c>
      <c r="DI33" s="507" t="str">
        <f>IF(OR(ISNA(VLOOKUP($B33,'TICH LUY'!$B$11:$BY$85,72,0)),$B33=""),"",VLOOKUP($B33,'TICH LUY'!$B$11:$BY$85,72,0))</f>
        <v/>
      </c>
      <c r="DJ33" s="507" t="str">
        <f>IF(OR(ISNA(VLOOKUP($B33,'TICH LUY'!$B$11:$BY$85,73,0)),$B33=""),"",VLOOKUP($B33,'TICH LUY'!$B$11:$BY$85,73,0))</f>
        <v/>
      </c>
      <c r="DK33" s="507" t="str">
        <f>IF(OR(ISNA(VLOOKUP($B33,'TICH LUY'!$B$11:$BY$85,74,0)),$B33=""),"",VLOOKUP($B33,'TICH LUY'!$B$11:$BY$85,74,0))</f>
        <v/>
      </c>
      <c r="DL33" s="507">
        <f>IF(OR(ISNA(VLOOKUP($B33,'TICH LUY'!$B$11:$BY$85,75,0)),$B33=""),"",VLOOKUP($B33,'TICH LUY'!$B$11:$BY$85,75,0))</f>
        <v>5.8</v>
      </c>
      <c r="DM33" s="529" t="str">
        <f>IF(OR(ISNA(VLOOKUP($B33,'TICH LUY'!$B$11:$BY$85,76,0)),$B33=""),"",VLOOKUP($B33,'TICH LUY'!$B$11:$BY$85,76,0))</f>
        <v/>
      </c>
      <c r="DN33" s="455" t="str">
        <f t="shared" si="37"/>
        <v/>
      </c>
      <c r="DO33" s="456" t="str">
        <f t="shared" si="38"/>
        <v/>
      </c>
      <c r="DP33" s="456" t="str">
        <f t="shared" si="39"/>
        <v/>
      </c>
      <c r="DQ33" s="456" t="str">
        <f t="shared" si="40"/>
        <v/>
      </c>
      <c r="DR33" s="456" t="str">
        <f t="shared" si="41"/>
        <v/>
      </c>
      <c r="DS33" s="456" t="str">
        <f t="shared" si="42"/>
        <v/>
      </c>
      <c r="DT33" s="456" t="str">
        <f t="shared" si="43"/>
        <v/>
      </c>
      <c r="DU33" s="456" t="str">
        <f t="shared" si="44"/>
        <v/>
      </c>
      <c r="DV33" s="456" t="str">
        <f t="shared" si="45"/>
        <v/>
      </c>
      <c r="DW33" s="456">
        <f t="shared" si="46"/>
        <v>5.8</v>
      </c>
      <c r="DX33" s="456">
        <f t="shared" si="47"/>
        <v>5</v>
      </c>
      <c r="DY33" s="457">
        <f t="shared" si="48"/>
        <v>5.4</v>
      </c>
      <c r="DZ33" s="453" t="str">
        <f t="shared" si="49"/>
        <v/>
      </c>
      <c r="EA33" s="452" t="str">
        <f t="shared" si="50"/>
        <v/>
      </c>
      <c r="EB33" s="452" t="str">
        <f t="shared" si="51"/>
        <v/>
      </c>
      <c r="EC33" s="452" t="str">
        <f t="shared" si="52"/>
        <v/>
      </c>
      <c r="ED33" s="452" t="str">
        <f t="shared" si="53"/>
        <v/>
      </c>
      <c r="EE33" s="452" t="str">
        <f t="shared" si="54"/>
        <v/>
      </c>
      <c r="EF33" s="452" t="str">
        <f t="shared" si="55"/>
        <v/>
      </c>
      <c r="EG33" s="452" t="str">
        <f t="shared" si="56"/>
        <v/>
      </c>
      <c r="EH33" s="452" t="str">
        <f t="shared" si="57"/>
        <v/>
      </c>
      <c r="EI33" s="453">
        <f t="shared" si="58"/>
        <v>0</v>
      </c>
      <c r="EJ33" s="452">
        <f t="shared" si="59"/>
        <v>0</v>
      </c>
      <c r="EK33" s="452">
        <f t="shared" si="60"/>
        <v>3.7</v>
      </c>
      <c r="EL33" s="452">
        <f t="shared" si="61"/>
        <v>0.5</v>
      </c>
      <c r="EM33" s="452">
        <f t="shared" si="62"/>
        <v>0.1</v>
      </c>
      <c r="EN33" s="452">
        <f t="shared" si="63"/>
        <v>2.6</v>
      </c>
      <c r="EO33" s="452" t="str">
        <f t="shared" si="64"/>
        <v/>
      </c>
      <c r="EP33" s="452" t="str">
        <f t="shared" si="65"/>
        <v/>
      </c>
      <c r="EQ33" s="452" t="str">
        <f t="shared" si="66"/>
        <v/>
      </c>
      <c r="ER33" s="452">
        <f t="shared" si="67"/>
        <v>5.8</v>
      </c>
      <c r="ES33" s="452">
        <f t="shared" si="21"/>
        <v>5</v>
      </c>
      <c r="ET33" s="458" t="str">
        <f t="shared" si="68"/>
        <v/>
      </c>
      <c r="EU33" s="527">
        <f>IF(OR(ISNA(VLOOKUP($B33,'TICH LUY'!$B$11:$BY$85,54,0)),$B33=""),"",VLOOKUP($B33,'TICH LUY'!$B$11:$BY$85,54,0))</f>
        <v>5</v>
      </c>
      <c r="EV33" s="507">
        <f>IF(OR(ISNA(VLOOKUP($B33,'TICH LUY'!$B$11:$BY$85,55,0)),$B33=""),"",VLOOKUP($B33,'TICH LUY'!$B$11:$BY$85,55,0))</f>
        <v>6.2</v>
      </c>
      <c r="EW33" s="507">
        <f>IF(OR(ISNA(VLOOKUP($B33,'TICH LUY'!$B$11:$BY$85,56,0)),$B33=""),"",VLOOKUP($B33,'TICH LUY'!$B$11:$BY$85,56,0))</f>
        <v>4.7</v>
      </c>
      <c r="EX33" s="507">
        <f>IF(OR(ISNA(VLOOKUP($B33,'TICH LUY'!$B$11:$BY$85,57,0)),$B33=""),"",VLOOKUP($B33,'TICH LUY'!$B$11:$BY$85,57,0))</f>
        <v>4.5</v>
      </c>
      <c r="EY33" s="507">
        <f>IF(OR(ISNA(VLOOKUP($B33,'TICH LUY'!$B$11:$BY$85,58,0)),$B33=""),"",VLOOKUP($B33,'TICH LUY'!$B$11:$BY$85,58,0))</f>
        <v>5.8</v>
      </c>
      <c r="EZ33" s="507">
        <f>IF(OR(ISNA(VLOOKUP($B33,'TICH LUY'!$B$11:$BY$85,59,0)),$B33=""),"",VLOOKUP($B33,'TICH LUY'!$B$11:$BY$85,59,0))</f>
        <v>5.9</v>
      </c>
      <c r="FA33" s="507">
        <f>IF(OR(ISNA(VLOOKUP($B33,'TICH LUY'!$B$11:$BY$85,60,0)),$B33=""),"",VLOOKUP($B33,'TICH LUY'!$B$11:$BY$85,60,0))</f>
        <v>5.0999999999999996</v>
      </c>
      <c r="FB33" s="507" t="str">
        <f>IF(OR(ISNA(VLOOKUP($B33,'TICH LUY'!$B$11:$BY$85,61,0)),$B33=""),"",VLOOKUP($B33,'TICH LUY'!$B$11:$BY$85,61,0))</f>
        <v/>
      </c>
      <c r="FC33" s="507" t="str">
        <f>IF(OR(ISNA(VLOOKUP($B33,'TICH LUY'!$B$11:$BY$85,62,0)),$B33=""),"",VLOOKUP($B33,'TICH LUY'!$B$11:$BY$85,62,0))</f>
        <v/>
      </c>
      <c r="FD33" s="507">
        <f>IF(OR(ISNA(VLOOKUP($B33,'TICH LUY'!$B$11:$BY$85,63,0)),$B33=""),"",VLOOKUP($B33,'TICH LUY'!$B$11:$BY$85,63,0))</f>
        <v>5.2</v>
      </c>
      <c r="FE33" s="507">
        <f>IF(OR(ISNA(VLOOKUP($B33,'TICH LUY'!$B$11:$BY$85,64,0)),$B33=""),"",VLOOKUP($B33,'TICH LUY'!$B$11:$BY$85,64,0))</f>
        <v>4.0999999999999996</v>
      </c>
      <c r="FF33" s="507" t="str">
        <f>IF(OR(ISNA(VLOOKUP($B33,'TICH LUY'!$B$11:$BY$85,65,0)),$B33=""),"",VLOOKUP($B33,'TICH LUY'!$B$11:$BY$85,65,0))</f>
        <v/>
      </c>
      <c r="FG33" s="507">
        <f>IF(OR(ISNA(VLOOKUP($B33,'TICH LUY'!$B$11:$BY$85,66,0)),$B33=""),"",VLOOKUP($B33,'TICH LUY'!$B$11:$BY$85,66,0))</f>
        <v>5.0999999999999996</v>
      </c>
      <c r="FH33" s="507">
        <f>IF(OR(ISNA(VLOOKUP($B33,'TICH LUY'!$B$11:$BY$85,67,0)),$B33=""),"",VLOOKUP($B33,'TICH LUY'!$B$11:$BY$85,67,0))</f>
        <v>4.9000000000000004</v>
      </c>
      <c r="FI33" s="507">
        <f>IF(OR(ISNA(VLOOKUP($B33,'TICH LUY'!$B$11:$BY$85,68,0)),$B33=""),"",VLOOKUP($B33,'TICH LUY'!$B$11:$BY$85,68,0))</f>
        <v>5.9</v>
      </c>
      <c r="FJ33" s="507">
        <f>IF(OR(ISNA(VLOOKUP($B33,'TICH LUY'!$B$11:$BY$85,69,0)),$B33=""),"",VLOOKUP($B33,'TICH LUY'!$B$11:$BY$85,69,0))</f>
        <v>5.9</v>
      </c>
      <c r="FK33" s="507" t="str">
        <f>IF(OR(ISNA(VLOOKUP($B33,'TICH LUY'!$B$11:$BY$85,70,0)),$B33=""),"",VLOOKUP($B33,'TICH LUY'!$B$11:$BY$85,70,0))</f>
        <v/>
      </c>
      <c r="FL33" s="507">
        <f>IF(OR(ISNA(VLOOKUP($B33,'TICH LUY'!$B$11:$BY$85,71,0)),$B33=""),"",VLOOKUP($B33,'TICH LUY'!$B$11:$BY$85,71,0))</f>
        <v>6.4</v>
      </c>
      <c r="FM33" s="507" t="str">
        <f>IF(OR(ISNA(VLOOKUP($B33,'TICH LUY'!$B$11:$BY$85,72,0)),$B33=""),"",VLOOKUP($B33,'TICH LUY'!$B$11:$BY$85,72,0))</f>
        <v/>
      </c>
      <c r="FN33" s="507" t="str">
        <f>IF(OR(ISNA(VLOOKUP($B33,'TICH LUY'!$B$11:$BY$85,73,0)),$B33=""),"",VLOOKUP($B33,'TICH LUY'!$B$11:$BY$85,73,0))</f>
        <v/>
      </c>
      <c r="FO33" s="507" t="str">
        <f>IF(OR(ISNA(VLOOKUP($B33,'TICH LUY'!$B$11:$BY$85,74,0)),$B33=""),"",VLOOKUP($B33,'TICH LUY'!$B$11:$BY$85,74,0))</f>
        <v/>
      </c>
      <c r="FP33" s="507">
        <f>IF(OR(ISNA(VLOOKUP($B33,'TICH LUY'!$B$11:$BY$85,75,0)),$B33=""),"",VLOOKUP($B33,'TICH LUY'!$B$11:$BY$85,75,0))</f>
        <v>5.8</v>
      </c>
      <c r="FQ33" s="529" t="str">
        <f>IF(OR(ISNA(VLOOKUP($B33,'TICH LUY'!$B$11:$BY$85,76,0)),$B33=""),"",VLOOKUP($B33,'TICH LUY'!$B$11:$BY$85,76,0))</f>
        <v/>
      </c>
      <c r="FR33" s="455" t="str">
        <f t="shared" si="69"/>
        <v/>
      </c>
      <c r="FS33" s="456" t="str">
        <f t="shared" si="70"/>
        <v/>
      </c>
      <c r="FT33" s="456" t="str">
        <f t="shared" si="71"/>
        <v/>
      </c>
      <c r="FU33" s="456" t="str">
        <f t="shared" si="72"/>
        <v/>
      </c>
      <c r="FV33" s="456" t="str">
        <f t="shared" si="73"/>
        <v/>
      </c>
      <c r="FW33" s="456" t="str">
        <f t="shared" si="74"/>
        <v/>
      </c>
      <c r="FX33" s="456" t="str">
        <f t="shared" si="75"/>
        <v/>
      </c>
      <c r="FY33" s="456" t="str">
        <f t="shared" si="76"/>
        <v/>
      </c>
      <c r="FZ33" s="456" t="str">
        <f t="shared" si="77"/>
        <v/>
      </c>
      <c r="GA33" s="456">
        <f t="shared" si="78"/>
        <v>5.8</v>
      </c>
      <c r="GB33" s="459">
        <f t="shared" si="79"/>
        <v>5</v>
      </c>
      <c r="GC33" s="457">
        <f t="shared" si="23"/>
        <v>5.4</v>
      </c>
    </row>
    <row r="34" spans="1:185" s="221" customFormat="1" ht="15.75">
      <c r="A34" s="449">
        <f>IF(B34="","",SUBTOTAL(3,$B$11:B34))</f>
        <v>24</v>
      </c>
      <c r="B34" s="198" t="s">
        <v>2091</v>
      </c>
      <c r="C34" s="450" t="str">
        <f>IF($B34="","",VLOOKUP($B34,'DS LOP HKI'!$B$2:$F$2642,2,0))</f>
        <v>Trịnh Ngọc</v>
      </c>
      <c r="D34" s="451" t="str">
        <f>IF($B34="","",VLOOKUP($B34,'DS LOP HKI'!$B$2:$F$2642,3,0))</f>
        <v>Sơn</v>
      </c>
      <c r="E34" s="154"/>
      <c r="F34" s="152"/>
      <c r="G34" s="156">
        <v>4</v>
      </c>
      <c r="H34" s="181">
        <f>IF(OR($H$6="",$H$7=""),"",IF($B34="","",IF(ISNA(VLOOKUP($B34,'LT01'!$B$11:$R$75,13,FALSE)),"",IF(VLOOKUP($B34,'LT01'!$B$11:$R$75,13,FALSE)="","",VLOOKUP($B34,'LT01'!$B$11:$R$75,13,FALSE)))))</f>
        <v>1.9</v>
      </c>
      <c r="I34" s="182">
        <f>IF(OR($H$6="",$H$7=""),"",IF($B34="","",IF(ISNA(VLOOKUP($B34,'LT01'!$B$11:$R$75,14,FALSE)),"",VLOOKUP($B34,'LT01'!$B$11:$R$75,14,FALSE))))</f>
        <v>4.0999999999999996</v>
      </c>
      <c r="J34" s="183"/>
      <c r="K34" s="182" t="str">
        <f>IF(OR($H$6="",$H$7=""),"",IF($B34="","",IF(ISNA(VLOOKUP($B34,'LT01'!$B$11:$R$75,17,FALSE)),"",VLOOKUP($B34,'LT01'!$B$11:$R$75,17,FALSE))))</f>
        <v/>
      </c>
      <c r="L34" s="185">
        <f>IF(OR($H$6="",$H$7=""),"",IF($B34="","",IF(ISNA(VLOOKUP($B34,'LT02'!$B$11:$R$75,13,FALSE)),"",IF(VLOOKUP($B34,'LT02'!$B$11:$R$75,13,FALSE)="","",VLOOKUP($B34,'LT02'!$B$11:$R$75,13,FALSE)))))</f>
        <v>6.8</v>
      </c>
      <c r="M34" s="182">
        <f>IF(OR($H$6="",$H$7=""),"",IF($B34="","",IF(ISNA(VLOOKUP($B34,'LT02'!$B$11:$R$75,14,FALSE)),"",VLOOKUP($B34,'LT02'!$B$11:$R$75,14,FALSE))))</f>
        <v>6</v>
      </c>
      <c r="N34" s="183"/>
      <c r="O34" s="182" t="str">
        <f>IF(OR($H$6="",$H$7=""),"",IF($B34="","",IF(ISNA(VLOOKUP($B34,'LT02'!$B$11:$R$75,17,FALSE)),"",VLOOKUP($B34,'LT02'!$B$11:$R$75,17,FALSE))))</f>
        <v/>
      </c>
      <c r="P34" s="185">
        <f>IF(OR($H$6="",$H$7=""),"",IF($B34="","",IF(ISNA(VLOOKUP($B34,'LT03'!$B$11:$R$75,13,FALSE)),"",IF(VLOOKUP($B34,'LT03'!$B$11:$R$75,13,FALSE)="","",VLOOKUP($B34,'LT03'!$B$11:$R$75,13,FALSE)))))</f>
        <v>3.7</v>
      </c>
      <c r="Q34" s="182">
        <f>IF(OR($H$6="",$H$7=""),"",IF($B34="","",IF(ISNA(VLOOKUP($B34,'LT03'!$B$11:$R$75,14,FALSE)),"",VLOOKUP($B34,'LT03'!$B$11:$R$75,14,FALSE))))</f>
        <v>4.5</v>
      </c>
      <c r="R34" s="183"/>
      <c r="S34" s="182" t="str">
        <f>IF(OR($H$6="",$H$7=""),"",IF($B34="","",IF(ISNA(VLOOKUP($B34,'LT03'!$B$11:$R$75,17,FALSE)),"",VLOOKUP($B34,'LT03'!$B$11:$R$75,17,FALSE))))</f>
        <v/>
      </c>
      <c r="T34" s="185">
        <f>IF(OR($H$6="",$H$7=""),"",IF($B34="","",IF(ISNA(VLOOKUP($B34,'LT04'!$B$11:$R$75,13,FALSE)),"",IF(VLOOKUP($B34,'LT04'!$B$11:$R$75,13,FALSE)="","",VLOOKUP($B34,'LT04'!$B$11:$R$75,13,FALSE)))))</f>
        <v>2</v>
      </c>
      <c r="U34" s="182">
        <f>IF(OR($H$6="",$H$7=""),"",IF($B34="","",IF(ISNA(VLOOKUP($B34,'LT04'!$B$11:$R$75,14,FALSE)),"",VLOOKUP($B34,'LT04'!$B$11:$R$75,14,FALSE))))</f>
        <v>3.2</v>
      </c>
      <c r="V34" s="183"/>
      <c r="W34" s="184" t="str">
        <f>IF(OR($H$6="",$H$7=""),"",IF($B34="","",IF(ISNA(VLOOKUP($B34,'LT04'!$B$11:$R$75,17,FALSE)),"",VLOOKUP($B34,'LT04'!$B$11:$R$75,17,FALSE))))</f>
        <v/>
      </c>
      <c r="X34" s="185">
        <f>IF(OR($H$6="",$H$7=""),"",IF($B34="","",IF(ISNA(VLOOKUP($B34,'LT05'!$B$11:$R$75,13,FALSE)),"",IF(VLOOKUP($B34,'LT05'!$B$11:$R$75,13,FALSE)="","",VLOOKUP($B34,'LT05'!$B$11:$R$75,13,FALSE)))))</f>
        <v>6</v>
      </c>
      <c r="Y34" s="182">
        <f>IF(OR($H$6="",$H$7=""),"",IF($B34="","",IF(ISNA(VLOOKUP($B34,'LT05'!$B$11:$R$75,14,FALSE)),"",VLOOKUP($B34,'LT05'!$B$11:$R$75,14,FALSE))))</f>
        <v>7.1</v>
      </c>
      <c r="Z34" s="183"/>
      <c r="AA34" s="182" t="str">
        <f>IF(OR($H$6="",$H$7=""),"",IF($B34="","",IF(ISNA(VLOOKUP($B34,'LT05'!$B$11:$R$75,17,FALSE)),"",VLOOKUP($B34,'LT05'!$B$11:$R$75,17,FALSE))))</f>
        <v/>
      </c>
      <c r="AB34" s="185">
        <f>IF(OR($H$6="",$H$7=""),"",IF($B34="","",IF(ISNA(VLOOKUP($B34,'LT06'!$B$11:$R$75,13,FALSE)),"",IF(VLOOKUP($B34,'LT06'!$B$11:$R$75,13,FALSE)="","",VLOOKUP($B34,'LT06'!$B$11:$R$75,13,FALSE)))))</f>
        <v>1.5</v>
      </c>
      <c r="AC34" s="182">
        <f>IF(OR($H$6="",$H$7=""),"",IF($B34="","",IF(ISNA(VLOOKUP($B34,'LT06'!$B$11:$R$75,14,FALSE)),"",VLOOKUP($B34,'LT06'!$B$11:$R$75,14,FALSE))))</f>
        <v>3.4</v>
      </c>
      <c r="AD34" s="183"/>
      <c r="AE34" s="182" t="str">
        <f>IF(OR($H$6="",$H$7=""),"",IF($B34="","",IF(ISNA(VLOOKUP($B34,'LT06'!$B$11:$R$75,17,FALSE)),"",VLOOKUP($B34,'LT06'!$B$11:$R$75,17,FALSE))))</f>
        <v/>
      </c>
      <c r="AF34" s="185" t="str">
        <f>IF(OR($H$6="",$H$7=""),"",IF($B34="","",IF(ISNA(VLOOKUP($B34,'LT07'!$B$11:$R$75,13,FALSE)),"",IF(VLOOKUP($B34,'LT07'!$B$11:$R$75,13,FALSE)="","",VLOOKUP($B34,'LT07'!$B$11:$R$75,13,FALSE)))))</f>
        <v/>
      </c>
      <c r="AG34" s="182" t="str">
        <f>IF(OR($H$6="",$H$7=""),"",IF($B34="","",IF(ISNA(VLOOKUP($B34,'LT07'!$B$11:$R$75,14,FALSE)),"",VLOOKUP($B34,'LT07'!$B$11:$R$75,14,FALSE))))</f>
        <v/>
      </c>
      <c r="AH34" s="183"/>
      <c r="AI34" s="182" t="str">
        <f>IF(OR($H$6="",$H$7=""),"",IF($B34="","",IF(ISNA(VLOOKUP($B34,'LT07'!$B$11:$R$75,17,FALSE)),"",VLOOKUP($B34,'LT07'!$B$11:$R$75,17,FALSE))))</f>
        <v/>
      </c>
      <c r="AJ34" s="185" t="str">
        <f>IF(OR($H$6="",$H$7=""),"",IF($B34="","",IF(ISNA(VLOOKUP($B34,'LT08'!$B$11:$R$75,13,FALSE)),"",IF(VLOOKUP($B34,'LT08'!$B$11:$R$75,13,FALSE)="","",VLOOKUP($B34,'LT08'!$B$11:$R$75,13,FALSE)))))</f>
        <v/>
      </c>
      <c r="AK34" s="182" t="str">
        <f>IF(OR($H$6="",$H$7=""),"",IF($B34="","",IF(ISNA(VLOOKUP($B34,'LT08'!$B$11:$R$75,14,FALSE)),"",VLOOKUP($B34,'LT08'!$B$11:$R$75,14,FALSE))))</f>
        <v/>
      </c>
      <c r="AL34" s="183"/>
      <c r="AM34" s="182" t="str">
        <f>IF(OR($H$6="",$H$7=""),"",IF($B34="","",IF(ISNA(VLOOKUP($B34,'LT08'!$B$11:$R$75,17,FALSE)),"",VLOOKUP($B34,'LT08'!$B$11:$R$75,17,FALSE))))</f>
        <v/>
      </c>
      <c r="AN34" s="185" t="str">
        <f>IF(OR($H$6="",$H$7=""),"",IF($B34="","",IF(ISNA(VLOOKUP($B34,'LT09'!$B$11:$R$75,13,FALSE)),"",IF(VLOOKUP($B34,'LT09'!$B$11:$R$75,13,FALSE)="","",VLOOKUP($B34,'LT09'!$B$11:$R$75,13,FALSE)))))</f>
        <v/>
      </c>
      <c r="AO34" s="182" t="str">
        <f>IF(OR($H$6="",$H$7=""),"",IF($B34="","",IF(ISNA(VLOOKUP($B34,'LT09'!$B$11:$R$75,14,FALSE)),"",VLOOKUP($B34,'LT09'!$B$11:$R$75,14,FALSE))))</f>
        <v/>
      </c>
      <c r="AP34" s="183"/>
      <c r="AQ34" s="182" t="str">
        <f>IF(OR($H$6="",$H$7=""),"",IF($B34="","",IF(ISNA(VLOOKUP($B34,'LT09'!$B$11:$R$75,17,FALSE)),"",VLOOKUP($B34,'LT09'!$B$11:$R$75,17,FALSE))))</f>
        <v/>
      </c>
      <c r="AR34" s="186"/>
      <c r="AS34" s="182">
        <f>IF(OR($H$6="",$H$7=""),"",IF($B34="","",IF(ISNA(VLOOKUP($B34,'TH01'!$B$11:$R$75,14,FALSE)),"",VLOOKUP($B34,'TH01'!$B$11:$R$75,14,FALSE))))</f>
        <v>6.8</v>
      </c>
      <c r="AT34" s="183"/>
      <c r="AU34" s="187"/>
      <c r="AV34" s="186"/>
      <c r="AW34" s="182">
        <f>IF(OR($H$6="",$H$7=""),"",IF($B34="","",IF(ISNA(VLOOKUP($B34,'TH02'!$B$11:$R$75,14,FALSE)),"",VLOOKUP($B34,'TH02'!$B$11:$R$75,14,FALSE))))</f>
        <v>7</v>
      </c>
      <c r="AX34" s="183"/>
      <c r="AY34" s="187"/>
      <c r="AZ34" s="54">
        <f t="shared" si="24"/>
        <v>5.26</v>
      </c>
      <c r="BA34" s="54" t="str">
        <f t="shared" si="0"/>
        <v/>
      </c>
      <c r="BB34" s="70">
        <v>50</v>
      </c>
      <c r="BC34" s="52" t="str">
        <f t="shared" si="25"/>
        <v>TBY</v>
      </c>
      <c r="BD34" s="52" t="str">
        <f t="shared" si="26"/>
        <v/>
      </c>
      <c r="BE34" s="52" t="str">
        <f t="shared" si="1"/>
        <v/>
      </c>
      <c r="BF34" s="149" t="str">
        <f t="shared" si="2"/>
        <v/>
      </c>
      <c r="BG34" s="52">
        <f t="shared" si="3"/>
        <v>14</v>
      </c>
      <c r="BH34" s="52">
        <f t="shared" si="27"/>
        <v>4</v>
      </c>
      <c r="BI34" s="52">
        <f t="shared" si="4"/>
        <v>14</v>
      </c>
      <c r="BJ34" s="52">
        <f t="shared" si="5"/>
        <v>4</v>
      </c>
      <c r="BK34" s="54">
        <f t="shared" si="6"/>
        <v>5.65</v>
      </c>
      <c r="BL34" s="54" t="str">
        <f t="shared" si="7"/>
        <v>BT</v>
      </c>
      <c r="BM34" s="54">
        <f t="shared" si="8"/>
        <v>5.65</v>
      </c>
      <c r="BN34" s="54" t="str">
        <f t="shared" si="9"/>
        <v>BT</v>
      </c>
      <c r="BO34" s="70"/>
      <c r="BP34" s="52">
        <f>IF(ISNA(VLOOKUP(B34,'TICH LUY'!B:D,2,0)),"",VLOOKUP(B34,'TICH LUY'!B:D,2,0)+BI34)</f>
        <v>53</v>
      </c>
      <c r="BQ34" s="52">
        <f>IF(ISNA(VLOOKUP(B34,'TICH LUY'!B:D,3,0)),"",VLOOKUP(B34,'TICH LUY'!B:D,3,0)+BJ34)</f>
        <v>4</v>
      </c>
      <c r="BR34" s="40">
        <f t="shared" si="10"/>
        <v>4</v>
      </c>
      <c r="BS34" s="452">
        <f t="shared" si="11"/>
        <v>1.9</v>
      </c>
      <c r="BT34" s="452">
        <f t="shared" si="12"/>
        <v>6.8</v>
      </c>
      <c r="BU34" s="452">
        <f t="shared" si="13"/>
        <v>3.7</v>
      </c>
      <c r="BV34" s="452">
        <f t="shared" si="14"/>
        <v>2</v>
      </c>
      <c r="BW34" s="452">
        <f t="shared" si="15"/>
        <v>6</v>
      </c>
      <c r="BX34" s="452">
        <f t="shared" si="16"/>
        <v>1.5</v>
      </c>
      <c r="BY34" s="452" t="str">
        <f t="shared" si="17"/>
        <v/>
      </c>
      <c r="BZ34" s="452" t="str">
        <f t="shared" si="28"/>
        <v/>
      </c>
      <c r="CA34" s="452" t="str">
        <f t="shared" si="29"/>
        <v/>
      </c>
      <c r="CB34" s="452">
        <f t="shared" si="30"/>
        <v>6.8</v>
      </c>
      <c r="CC34" s="452">
        <f t="shared" si="18"/>
        <v>7</v>
      </c>
      <c r="CD34" s="40">
        <f t="shared" si="31"/>
        <v>2</v>
      </c>
      <c r="CE34" s="453">
        <f t="shared" si="80"/>
        <v>4.0999999999999996</v>
      </c>
      <c r="CF34" s="452">
        <f t="shared" si="32"/>
        <v>6</v>
      </c>
      <c r="CG34" s="452">
        <f t="shared" si="81"/>
        <v>4.5</v>
      </c>
      <c r="CH34" s="452">
        <f t="shared" si="82"/>
        <v>3.2</v>
      </c>
      <c r="CI34" s="452">
        <f t="shared" si="83"/>
        <v>7.1</v>
      </c>
      <c r="CJ34" s="452">
        <f t="shared" si="84"/>
        <v>3.4</v>
      </c>
      <c r="CK34" s="452" t="str">
        <f t="shared" si="85"/>
        <v/>
      </c>
      <c r="CL34" s="452" t="str">
        <f t="shared" si="33"/>
        <v/>
      </c>
      <c r="CM34" s="452" t="str">
        <f t="shared" si="34"/>
        <v/>
      </c>
      <c r="CN34" s="452">
        <f t="shared" si="35"/>
        <v>6.8</v>
      </c>
      <c r="CO34" s="452">
        <f t="shared" si="19"/>
        <v>7</v>
      </c>
      <c r="CP34" s="454">
        <f t="shared" si="36"/>
        <v>5.26</v>
      </c>
      <c r="CQ34" s="527">
        <f>IF(OR(ISNA(VLOOKUP($B34,'TICH LUY'!$B$11:$BY$85,54,0)),$B34=""),"",VLOOKUP($B34,'TICH LUY'!$B$11:$BY$85,54,0))</f>
        <v>4.4000000000000004</v>
      </c>
      <c r="CR34" s="507">
        <f>IF(OR(ISNA(VLOOKUP($B34,'TICH LUY'!$B$11:$BY$85,55,0)),$B34=""),"",VLOOKUP($B34,'TICH LUY'!$B$11:$BY$85,55,0))</f>
        <v>6.7</v>
      </c>
      <c r="CS34" s="507">
        <f>IF(OR(ISNA(VLOOKUP($B34,'TICH LUY'!$B$11:$BY$85,56,0)),$B34=""),"",VLOOKUP($B34,'TICH LUY'!$B$11:$BY$85,56,0))</f>
        <v>5</v>
      </c>
      <c r="CT34" s="507">
        <f>IF(OR(ISNA(VLOOKUP($B34,'TICH LUY'!$B$11:$BY$85,57,0)),$B34=""),"",VLOOKUP($B34,'TICH LUY'!$B$11:$BY$85,57,0))</f>
        <v>5.5</v>
      </c>
      <c r="CU34" s="507">
        <f>IF(OR(ISNA(VLOOKUP($B34,'TICH LUY'!$B$11:$BY$85,58,0)),$B34=""),"",VLOOKUP($B34,'TICH LUY'!$B$11:$BY$85,58,0))</f>
        <v>5.4</v>
      </c>
      <c r="CV34" s="507">
        <f>IF(OR(ISNA(VLOOKUP($B34,'TICH LUY'!$B$11:$BY$85,59,0)),$B34=""),"",VLOOKUP($B34,'TICH LUY'!$B$11:$BY$85,59,0))</f>
        <v>5.0999999999999996</v>
      </c>
      <c r="CW34" s="507">
        <f>IF(OR(ISNA(VLOOKUP($B34,'TICH LUY'!$B$11:$BY$85,60,0)),$B34=""),"",VLOOKUP($B34,'TICH LUY'!$B$11:$BY$85,60,0))</f>
        <v>5.6</v>
      </c>
      <c r="CX34" s="507" t="str">
        <f>IF(OR(ISNA(VLOOKUP($B34,'TICH LUY'!$B$11:$BY$85,61,0)),$B34=""),"",VLOOKUP($B34,'TICH LUY'!$B$11:$BY$85,61,0))</f>
        <v/>
      </c>
      <c r="CY34" s="507" t="str">
        <f>IF(OR(ISNA(VLOOKUP($B34,'TICH LUY'!$B$11:$BY$85,62,0)),$B34=""),"",VLOOKUP($B34,'TICH LUY'!$B$11:$BY$85,62,0))</f>
        <v/>
      </c>
      <c r="CZ34" s="507">
        <f>IF(OR(ISNA(VLOOKUP($B34,'TICH LUY'!$B$11:$BY$85,63,0)),$B34=""),"",VLOOKUP($B34,'TICH LUY'!$B$11:$BY$85,63,0))</f>
        <v>4.8</v>
      </c>
      <c r="DA34" s="507">
        <f>IF(OR(ISNA(VLOOKUP($B34,'TICH LUY'!$B$11:$BY$85,64,0)),$B34=""),"",VLOOKUP($B34,'TICH LUY'!$B$11:$BY$85,64,0))</f>
        <v>5.0999999999999996</v>
      </c>
      <c r="DB34" s="507" t="str">
        <f>IF(OR(ISNA(VLOOKUP($B34,'TICH LUY'!$B$11:$BY$85,65,0)),$B34=""),"",VLOOKUP($B34,'TICH LUY'!$B$11:$BY$85,65,0))</f>
        <v/>
      </c>
      <c r="DC34" s="507">
        <f>IF(OR(ISNA(VLOOKUP($B34,'TICH LUY'!$B$11:$BY$85,66,0)),$B34=""),"",VLOOKUP($B34,'TICH LUY'!$B$11:$BY$85,66,0))</f>
        <v>6.3</v>
      </c>
      <c r="DD34" s="507">
        <f>IF(OR(ISNA(VLOOKUP($B34,'TICH LUY'!$B$11:$BY$85,67,0)),$B34=""),"",VLOOKUP($B34,'TICH LUY'!$B$11:$BY$85,67,0))</f>
        <v>5.3</v>
      </c>
      <c r="DE34" s="507">
        <f>IF(OR(ISNA(VLOOKUP($B34,'TICH LUY'!$B$11:$BY$85,68,0)),$B34=""),"",VLOOKUP($B34,'TICH LUY'!$B$11:$BY$85,68,0))</f>
        <v>5.9</v>
      </c>
      <c r="DF34" s="507">
        <f>IF(OR(ISNA(VLOOKUP($B34,'TICH LUY'!$B$11:$BY$85,69,0)),$B34=""),"",VLOOKUP($B34,'TICH LUY'!$B$11:$BY$85,69,0))</f>
        <v>6.1</v>
      </c>
      <c r="DG34" s="507">
        <f>IF(OR(ISNA(VLOOKUP($B34,'TICH LUY'!$B$11:$BY$85,70,0)),$B34=""),"",VLOOKUP($B34,'TICH LUY'!$B$11:$BY$85,70,0))</f>
        <v>5.3</v>
      </c>
      <c r="DH34" s="507">
        <f>IF(OR(ISNA(VLOOKUP($B34,'TICH LUY'!$B$11:$BY$85,71,0)),$B34=""),"",VLOOKUP($B34,'TICH LUY'!$B$11:$BY$85,71,0))</f>
        <v>6.6</v>
      </c>
      <c r="DI34" s="507" t="str">
        <f>IF(OR(ISNA(VLOOKUP($B34,'TICH LUY'!$B$11:$BY$85,72,0)),$B34=""),"",VLOOKUP($B34,'TICH LUY'!$B$11:$BY$85,72,0))</f>
        <v/>
      </c>
      <c r="DJ34" s="507" t="str">
        <f>IF(OR(ISNA(VLOOKUP($B34,'TICH LUY'!$B$11:$BY$85,73,0)),$B34=""),"",VLOOKUP($B34,'TICH LUY'!$B$11:$BY$85,73,0))</f>
        <v/>
      </c>
      <c r="DK34" s="507" t="str">
        <f>IF(OR(ISNA(VLOOKUP($B34,'TICH LUY'!$B$11:$BY$85,74,0)),$B34=""),"",VLOOKUP($B34,'TICH LUY'!$B$11:$BY$85,74,0))</f>
        <v/>
      </c>
      <c r="DL34" s="507">
        <f>IF(OR(ISNA(VLOOKUP($B34,'TICH LUY'!$B$11:$BY$85,75,0)),$B34=""),"",VLOOKUP($B34,'TICH LUY'!$B$11:$BY$85,75,0))</f>
        <v>7.5</v>
      </c>
      <c r="DM34" s="529" t="str">
        <f>IF(OR(ISNA(VLOOKUP($B34,'TICH LUY'!$B$11:$BY$85,76,0)),$B34=""),"",VLOOKUP($B34,'TICH LUY'!$B$11:$BY$85,76,0))</f>
        <v/>
      </c>
      <c r="DN34" s="455">
        <f t="shared" si="37"/>
        <v>4.0999999999999996</v>
      </c>
      <c r="DO34" s="456">
        <f t="shared" si="38"/>
        <v>6</v>
      </c>
      <c r="DP34" s="456">
        <f t="shared" si="39"/>
        <v>4.5</v>
      </c>
      <c r="DQ34" s="456" t="str">
        <f t="shared" si="40"/>
        <v/>
      </c>
      <c r="DR34" s="456">
        <f t="shared" si="41"/>
        <v>7.1</v>
      </c>
      <c r="DS34" s="456" t="str">
        <f t="shared" si="42"/>
        <v/>
      </c>
      <c r="DT34" s="456" t="str">
        <f t="shared" si="43"/>
        <v/>
      </c>
      <c r="DU34" s="456" t="str">
        <f t="shared" si="44"/>
        <v/>
      </c>
      <c r="DV34" s="456" t="str">
        <f t="shared" si="45"/>
        <v/>
      </c>
      <c r="DW34" s="456">
        <f t="shared" si="46"/>
        <v>6.8</v>
      </c>
      <c r="DX34" s="456">
        <f t="shared" si="47"/>
        <v>7</v>
      </c>
      <c r="DY34" s="457">
        <f t="shared" si="48"/>
        <v>5.65</v>
      </c>
      <c r="DZ34" s="453" t="str">
        <f t="shared" si="49"/>
        <v/>
      </c>
      <c r="EA34" s="452" t="str">
        <f t="shared" si="50"/>
        <v/>
      </c>
      <c r="EB34" s="452" t="str">
        <f t="shared" si="51"/>
        <v/>
      </c>
      <c r="EC34" s="452" t="str">
        <f t="shared" si="52"/>
        <v/>
      </c>
      <c r="ED34" s="452" t="str">
        <f t="shared" si="53"/>
        <v/>
      </c>
      <c r="EE34" s="452" t="str">
        <f t="shared" si="54"/>
        <v/>
      </c>
      <c r="EF34" s="452" t="str">
        <f t="shared" si="55"/>
        <v/>
      </c>
      <c r="EG34" s="452" t="str">
        <f t="shared" si="56"/>
        <v/>
      </c>
      <c r="EH34" s="452" t="str">
        <f t="shared" si="57"/>
        <v/>
      </c>
      <c r="EI34" s="453">
        <f t="shared" si="58"/>
        <v>4.0999999999999996</v>
      </c>
      <c r="EJ34" s="452">
        <f t="shared" si="59"/>
        <v>6</v>
      </c>
      <c r="EK34" s="452">
        <f t="shared" si="60"/>
        <v>4.5</v>
      </c>
      <c r="EL34" s="452">
        <f t="shared" si="61"/>
        <v>3.2</v>
      </c>
      <c r="EM34" s="452">
        <f t="shared" si="62"/>
        <v>7.1</v>
      </c>
      <c r="EN34" s="452">
        <f t="shared" si="63"/>
        <v>3.4</v>
      </c>
      <c r="EO34" s="452" t="str">
        <f t="shared" si="64"/>
        <v/>
      </c>
      <c r="EP34" s="452" t="str">
        <f t="shared" si="65"/>
        <v/>
      </c>
      <c r="EQ34" s="452" t="str">
        <f t="shared" si="66"/>
        <v/>
      </c>
      <c r="ER34" s="452">
        <f t="shared" si="67"/>
        <v>6.8</v>
      </c>
      <c r="ES34" s="452">
        <f t="shared" si="21"/>
        <v>7</v>
      </c>
      <c r="ET34" s="458" t="str">
        <f t="shared" si="68"/>
        <v/>
      </c>
      <c r="EU34" s="527">
        <f>IF(OR(ISNA(VLOOKUP($B34,'TICH LUY'!$B$11:$BY$85,54,0)),$B34=""),"",VLOOKUP($B34,'TICH LUY'!$B$11:$BY$85,54,0))</f>
        <v>4.4000000000000004</v>
      </c>
      <c r="EV34" s="507">
        <f>IF(OR(ISNA(VLOOKUP($B34,'TICH LUY'!$B$11:$BY$85,55,0)),$B34=""),"",VLOOKUP($B34,'TICH LUY'!$B$11:$BY$85,55,0))</f>
        <v>6.7</v>
      </c>
      <c r="EW34" s="507">
        <f>IF(OR(ISNA(VLOOKUP($B34,'TICH LUY'!$B$11:$BY$85,56,0)),$B34=""),"",VLOOKUP($B34,'TICH LUY'!$B$11:$BY$85,56,0))</f>
        <v>5</v>
      </c>
      <c r="EX34" s="507">
        <f>IF(OR(ISNA(VLOOKUP($B34,'TICH LUY'!$B$11:$BY$85,57,0)),$B34=""),"",VLOOKUP($B34,'TICH LUY'!$B$11:$BY$85,57,0))</f>
        <v>5.5</v>
      </c>
      <c r="EY34" s="507">
        <f>IF(OR(ISNA(VLOOKUP($B34,'TICH LUY'!$B$11:$BY$85,58,0)),$B34=""),"",VLOOKUP($B34,'TICH LUY'!$B$11:$BY$85,58,0))</f>
        <v>5.4</v>
      </c>
      <c r="EZ34" s="507">
        <f>IF(OR(ISNA(VLOOKUP($B34,'TICH LUY'!$B$11:$BY$85,59,0)),$B34=""),"",VLOOKUP($B34,'TICH LUY'!$B$11:$BY$85,59,0))</f>
        <v>5.0999999999999996</v>
      </c>
      <c r="FA34" s="507">
        <f>IF(OR(ISNA(VLOOKUP($B34,'TICH LUY'!$B$11:$BY$85,60,0)),$B34=""),"",VLOOKUP($B34,'TICH LUY'!$B$11:$BY$85,60,0))</f>
        <v>5.6</v>
      </c>
      <c r="FB34" s="507" t="str">
        <f>IF(OR(ISNA(VLOOKUP($B34,'TICH LUY'!$B$11:$BY$85,61,0)),$B34=""),"",VLOOKUP($B34,'TICH LUY'!$B$11:$BY$85,61,0))</f>
        <v/>
      </c>
      <c r="FC34" s="507" t="str">
        <f>IF(OR(ISNA(VLOOKUP($B34,'TICH LUY'!$B$11:$BY$85,62,0)),$B34=""),"",VLOOKUP($B34,'TICH LUY'!$B$11:$BY$85,62,0))</f>
        <v/>
      </c>
      <c r="FD34" s="507">
        <f>IF(OR(ISNA(VLOOKUP($B34,'TICH LUY'!$B$11:$BY$85,63,0)),$B34=""),"",VLOOKUP($B34,'TICH LUY'!$B$11:$BY$85,63,0))</f>
        <v>4.8</v>
      </c>
      <c r="FE34" s="507">
        <f>IF(OR(ISNA(VLOOKUP($B34,'TICH LUY'!$B$11:$BY$85,64,0)),$B34=""),"",VLOOKUP($B34,'TICH LUY'!$B$11:$BY$85,64,0))</f>
        <v>5.0999999999999996</v>
      </c>
      <c r="FF34" s="507" t="str">
        <f>IF(OR(ISNA(VLOOKUP($B34,'TICH LUY'!$B$11:$BY$85,65,0)),$B34=""),"",VLOOKUP($B34,'TICH LUY'!$B$11:$BY$85,65,0))</f>
        <v/>
      </c>
      <c r="FG34" s="507">
        <f>IF(OR(ISNA(VLOOKUP($B34,'TICH LUY'!$B$11:$BY$85,66,0)),$B34=""),"",VLOOKUP($B34,'TICH LUY'!$B$11:$BY$85,66,0))</f>
        <v>6.3</v>
      </c>
      <c r="FH34" s="507">
        <f>IF(OR(ISNA(VLOOKUP($B34,'TICH LUY'!$B$11:$BY$85,67,0)),$B34=""),"",VLOOKUP($B34,'TICH LUY'!$B$11:$BY$85,67,0))</f>
        <v>5.3</v>
      </c>
      <c r="FI34" s="507">
        <f>IF(OR(ISNA(VLOOKUP($B34,'TICH LUY'!$B$11:$BY$85,68,0)),$B34=""),"",VLOOKUP($B34,'TICH LUY'!$B$11:$BY$85,68,0))</f>
        <v>5.9</v>
      </c>
      <c r="FJ34" s="507">
        <f>IF(OR(ISNA(VLOOKUP($B34,'TICH LUY'!$B$11:$BY$85,69,0)),$B34=""),"",VLOOKUP($B34,'TICH LUY'!$B$11:$BY$85,69,0))</f>
        <v>6.1</v>
      </c>
      <c r="FK34" s="507">
        <f>IF(OR(ISNA(VLOOKUP($B34,'TICH LUY'!$B$11:$BY$85,70,0)),$B34=""),"",VLOOKUP($B34,'TICH LUY'!$B$11:$BY$85,70,0))</f>
        <v>5.3</v>
      </c>
      <c r="FL34" s="507">
        <f>IF(OR(ISNA(VLOOKUP($B34,'TICH LUY'!$B$11:$BY$85,71,0)),$B34=""),"",VLOOKUP($B34,'TICH LUY'!$B$11:$BY$85,71,0))</f>
        <v>6.6</v>
      </c>
      <c r="FM34" s="507" t="str">
        <f>IF(OR(ISNA(VLOOKUP($B34,'TICH LUY'!$B$11:$BY$85,72,0)),$B34=""),"",VLOOKUP($B34,'TICH LUY'!$B$11:$BY$85,72,0))</f>
        <v/>
      </c>
      <c r="FN34" s="507" t="str">
        <f>IF(OR(ISNA(VLOOKUP($B34,'TICH LUY'!$B$11:$BY$85,73,0)),$B34=""),"",VLOOKUP($B34,'TICH LUY'!$B$11:$BY$85,73,0))</f>
        <v/>
      </c>
      <c r="FO34" s="507" t="str">
        <f>IF(OR(ISNA(VLOOKUP($B34,'TICH LUY'!$B$11:$BY$85,74,0)),$B34=""),"",VLOOKUP($B34,'TICH LUY'!$B$11:$BY$85,74,0))</f>
        <v/>
      </c>
      <c r="FP34" s="507">
        <f>IF(OR(ISNA(VLOOKUP($B34,'TICH LUY'!$B$11:$BY$85,75,0)),$B34=""),"",VLOOKUP($B34,'TICH LUY'!$B$11:$BY$85,75,0))</f>
        <v>7.5</v>
      </c>
      <c r="FQ34" s="529" t="str">
        <f>IF(OR(ISNA(VLOOKUP($B34,'TICH LUY'!$B$11:$BY$85,76,0)),$B34=""),"",VLOOKUP($B34,'TICH LUY'!$B$11:$BY$85,76,0))</f>
        <v/>
      </c>
      <c r="FR34" s="455">
        <f t="shared" si="69"/>
        <v>4.0999999999999996</v>
      </c>
      <c r="FS34" s="456">
        <f t="shared" si="70"/>
        <v>6</v>
      </c>
      <c r="FT34" s="456">
        <f t="shared" si="71"/>
        <v>4.5</v>
      </c>
      <c r="FU34" s="456" t="str">
        <f t="shared" si="72"/>
        <v/>
      </c>
      <c r="FV34" s="456">
        <f t="shared" si="73"/>
        <v>7.1</v>
      </c>
      <c r="FW34" s="456" t="str">
        <f t="shared" si="74"/>
        <v/>
      </c>
      <c r="FX34" s="456" t="str">
        <f t="shared" si="75"/>
        <v/>
      </c>
      <c r="FY34" s="456" t="str">
        <f t="shared" si="76"/>
        <v/>
      </c>
      <c r="FZ34" s="456" t="str">
        <f t="shared" si="77"/>
        <v/>
      </c>
      <c r="GA34" s="456">
        <f t="shared" si="78"/>
        <v>6.8</v>
      </c>
      <c r="GB34" s="459">
        <f t="shared" si="79"/>
        <v>7</v>
      </c>
      <c r="GC34" s="457">
        <f t="shared" si="23"/>
        <v>5.65</v>
      </c>
    </row>
    <row r="35" spans="1:185" s="221" customFormat="1" ht="15.75">
      <c r="A35" s="449">
        <f>IF(B35="","",SUBTOTAL(3,$B$11:B35))</f>
        <v>25</v>
      </c>
      <c r="B35" s="198" t="s">
        <v>2094</v>
      </c>
      <c r="C35" s="450" t="str">
        <f>IF($B35="","",VLOOKUP($B35,'DS LOP HKI'!$B$2:$F$2642,2,0))</f>
        <v>Lê Minh</v>
      </c>
      <c r="D35" s="451" t="str">
        <f>IF($B35="","",VLOOKUP($B35,'DS LOP HKI'!$B$2:$F$2642,3,0))</f>
        <v>Tâm</v>
      </c>
      <c r="E35" s="154"/>
      <c r="F35" s="152"/>
      <c r="G35" s="156">
        <v>3</v>
      </c>
      <c r="H35" s="181">
        <f>IF(OR($H$6="",$H$7=""),"",IF($B35="","",IF(ISNA(VLOOKUP($B35,'LT01'!$B$11:$R$75,13,FALSE)),"",IF(VLOOKUP($B35,'LT01'!$B$11:$R$75,13,FALSE)="","",VLOOKUP($B35,'LT01'!$B$11:$R$75,13,FALSE)))))</f>
        <v>2.5</v>
      </c>
      <c r="I35" s="182">
        <f>IF(OR($H$6="",$H$7=""),"",IF($B35="","",IF(ISNA(VLOOKUP($B35,'LT01'!$B$11:$R$75,14,FALSE)),"",VLOOKUP($B35,'LT01'!$B$11:$R$75,14,FALSE))))</f>
        <v>4.3</v>
      </c>
      <c r="J35" s="183"/>
      <c r="K35" s="182" t="str">
        <f>IF(OR($H$6="",$H$7=""),"",IF($B35="","",IF(ISNA(VLOOKUP($B35,'LT01'!$B$11:$R$75,17,FALSE)),"",VLOOKUP($B35,'LT01'!$B$11:$R$75,17,FALSE))))</f>
        <v/>
      </c>
      <c r="L35" s="185">
        <f>IF(OR($H$6="",$H$7=""),"",IF($B35="","",IF(ISNA(VLOOKUP($B35,'LT02'!$B$11:$R$75,13,FALSE)),"",IF(VLOOKUP($B35,'LT02'!$B$11:$R$75,13,FALSE)="","",VLOOKUP($B35,'LT02'!$B$11:$R$75,13,FALSE)))))</f>
        <v>6</v>
      </c>
      <c r="M35" s="182">
        <f>IF(OR($H$6="",$H$7=""),"",IF($B35="","",IF(ISNA(VLOOKUP($B35,'LT02'!$B$11:$R$75,14,FALSE)),"",VLOOKUP($B35,'LT02'!$B$11:$R$75,14,FALSE))))</f>
        <v>5.8</v>
      </c>
      <c r="N35" s="183"/>
      <c r="O35" s="182" t="str">
        <f>IF(OR($H$6="",$H$7=""),"",IF($B35="","",IF(ISNA(VLOOKUP($B35,'LT02'!$B$11:$R$75,17,FALSE)),"",VLOOKUP($B35,'LT02'!$B$11:$R$75,17,FALSE))))</f>
        <v/>
      </c>
      <c r="P35" s="185">
        <f>IF(OR($H$6="",$H$7=""),"",IF($B35="","",IF(ISNA(VLOOKUP($B35,'LT03'!$B$11:$R$75,13,FALSE)),"",IF(VLOOKUP($B35,'LT03'!$B$11:$R$75,13,FALSE)="","",VLOOKUP($B35,'LT03'!$B$11:$R$75,13,FALSE)))))</f>
        <v>1.8</v>
      </c>
      <c r="Q35" s="182">
        <f>IF(OR($H$6="",$H$7=""),"",IF($B35="","",IF(ISNA(VLOOKUP($B35,'LT03'!$B$11:$R$75,14,FALSE)),"",VLOOKUP($B35,'LT03'!$B$11:$R$75,14,FALSE))))</f>
        <v>3</v>
      </c>
      <c r="R35" s="183"/>
      <c r="S35" s="182" t="str">
        <f>IF(OR($H$6="",$H$7=""),"",IF($B35="","",IF(ISNA(VLOOKUP($B35,'LT03'!$B$11:$R$75,17,FALSE)),"",VLOOKUP($B35,'LT03'!$B$11:$R$75,17,FALSE))))</f>
        <v/>
      </c>
      <c r="T35" s="185">
        <f>IF(OR($H$6="",$H$7=""),"",IF($B35="","",IF(ISNA(VLOOKUP($B35,'LT04'!$B$11:$R$75,13,FALSE)),"",IF(VLOOKUP($B35,'LT04'!$B$11:$R$75,13,FALSE)="","",VLOOKUP($B35,'LT04'!$B$11:$R$75,13,FALSE)))))</f>
        <v>0.5</v>
      </c>
      <c r="U35" s="182">
        <f>IF(OR($H$6="",$H$7=""),"",IF($B35="","",IF(ISNA(VLOOKUP($B35,'LT04'!$B$11:$R$75,14,FALSE)),"",VLOOKUP($B35,'LT04'!$B$11:$R$75,14,FALSE))))</f>
        <v>1.6</v>
      </c>
      <c r="V35" s="183"/>
      <c r="W35" s="184" t="str">
        <f>IF(OR($H$6="",$H$7=""),"",IF($B35="","",IF(ISNA(VLOOKUP($B35,'LT04'!$B$11:$R$75,17,FALSE)),"",VLOOKUP($B35,'LT04'!$B$11:$R$75,17,FALSE))))</f>
        <v/>
      </c>
      <c r="X35" s="185">
        <f>IF(OR($H$6="",$H$7=""),"",IF($B35="","",IF(ISNA(VLOOKUP($B35,'LT05'!$B$11:$R$75,13,FALSE)),"",IF(VLOOKUP($B35,'LT05'!$B$11:$R$75,13,FALSE)="","",VLOOKUP($B35,'LT05'!$B$11:$R$75,13,FALSE)))))</f>
        <v>4</v>
      </c>
      <c r="Y35" s="182">
        <f>IF(OR($H$6="",$H$7=""),"",IF($B35="","",IF(ISNA(VLOOKUP($B35,'LT05'!$B$11:$R$75,14,FALSE)),"",VLOOKUP($B35,'LT05'!$B$11:$R$75,14,FALSE))))</f>
        <v>3.9</v>
      </c>
      <c r="Z35" s="183"/>
      <c r="AA35" s="182" t="str">
        <f>IF(OR($H$6="",$H$7=""),"",IF($B35="","",IF(ISNA(VLOOKUP($B35,'LT05'!$B$11:$R$75,17,FALSE)),"",VLOOKUP($B35,'LT05'!$B$11:$R$75,17,FALSE))))</f>
        <v/>
      </c>
      <c r="AB35" s="185">
        <f>IF(OR($H$6="",$H$7=""),"",IF($B35="","",IF(ISNA(VLOOKUP($B35,'LT06'!$B$11:$R$75,13,FALSE)),"",IF(VLOOKUP($B35,'LT06'!$B$11:$R$75,13,FALSE)="","",VLOOKUP($B35,'LT06'!$B$11:$R$75,13,FALSE)))))</f>
        <v>1.5</v>
      </c>
      <c r="AC35" s="182">
        <f>IF(OR($H$6="",$H$7=""),"",IF($B35="","",IF(ISNA(VLOOKUP($B35,'LT06'!$B$11:$R$75,14,FALSE)),"",VLOOKUP($B35,'LT06'!$B$11:$R$75,14,FALSE))))</f>
        <v>3.2</v>
      </c>
      <c r="AD35" s="183"/>
      <c r="AE35" s="182" t="str">
        <f>IF(OR($H$6="",$H$7=""),"",IF($B35="","",IF(ISNA(VLOOKUP($B35,'LT06'!$B$11:$R$75,17,FALSE)),"",VLOOKUP($B35,'LT06'!$B$11:$R$75,17,FALSE))))</f>
        <v/>
      </c>
      <c r="AF35" s="185" t="str">
        <f>IF(OR($H$6="",$H$7=""),"",IF($B35="","",IF(ISNA(VLOOKUP($B35,'LT07'!$B$11:$R$75,13,FALSE)),"",IF(VLOOKUP($B35,'LT07'!$B$11:$R$75,13,FALSE)="","",VLOOKUP($B35,'LT07'!$B$11:$R$75,13,FALSE)))))</f>
        <v/>
      </c>
      <c r="AG35" s="182" t="str">
        <f>IF(OR($H$6="",$H$7=""),"",IF($B35="","",IF(ISNA(VLOOKUP($B35,'LT07'!$B$11:$R$75,14,FALSE)),"",VLOOKUP($B35,'LT07'!$B$11:$R$75,14,FALSE))))</f>
        <v/>
      </c>
      <c r="AH35" s="183"/>
      <c r="AI35" s="182" t="str">
        <f>IF(OR($H$6="",$H$7=""),"",IF($B35="","",IF(ISNA(VLOOKUP($B35,'LT07'!$B$11:$R$75,17,FALSE)),"",VLOOKUP($B35,'LT07'!$B$11:$R$75,17,FALSE))))</f>
        <v/>
      </c>
      <c r="AJ35" s="185" t="str">
        <f>IF(OR($H$6="",$H$7=""),"",IF($B35="","",IF(ISNA(VLOOKUP($B35,'LT08'!$B$11:$R$75,13,FALSE)),"",IF(VLOOKUP($B35,'LT08'!$B$11:$R$75,13,FALSE)="","",VLOOKUP($B35,'LT08'!$B$11:$R$75,13,FALSE)))))</f>
        <v/>
      </c>
      <c r="AK35" s="182" t="str">
        <f>IF(OR($H$6="",$H$7=""),"",IF($B35="","",IF(ISNA(VLOOKUP($B35,'LT08'!$B$11:$R$75,14,FALSE)),"",VLOOKUP($B35,'LT08'!$B$11:$R$75,14,FALSE))))</f>
        <v/>
      </c>
      <c r="AL35" s="183"/>
      <c r="AM35" s="182" t="str">
        <f>IF(OR($H$6="",$H$7=""),"",IF($B35="","",IF(ISNA(VLOOKUP($B35,'LT08'!$B$11:$R$75,17,FALSE)),"",VLOOKUP($B35,'LT08'!$B$11:$R$75,17,FALSE))))</f>
        <v/>
      </c>
      <c r="AN35" s="185" t="str">
        <f>IF(OR($H$6="",$H$7=""),"",IF($B35="","",IF(ISNA(VLOOKUP($B35,'LT09'!$B$11:$R$75,13,FALSE)),"",IF(VLOOKUP($B35,'LT09'!$B$11:$R$75,13,FALSE)="","",VLOOKUP($B35,'LT09'!$B$11:$R$75,13,FALSE)))))</f>
        <v/>
      </c>
      <c r="AO35" s="182" t="str">
        <f>IF(OR($H$6="",$H$7=""),"",IF($B35="","",IF(ISNA(VLOOKUP($B35,'LT09'!$B$11:$R$75,14,FALSE)),"",VLOOKUP($B35,'LT09'!$B$11:$R$75,14,FALSE))))</f>
        <v/>
      </c>
      <c r="AP35" s="183"/>
      <c r="AQ35" s="182" t="str">
        <f>IF(OR($H$6="",$H$7=""),"",IF($B35="","",IF(ISNA(VLOOKUP($B35,'LT09'!$B$11:$R$75,17,FALSE)),"",VLOOKUP($B35,'LT09'!$B$11:$R$75,17,FALSE))))</f>
        <v/>
      </c>
      <c r="AR35" s="186"/>
      <c r="AS35" s="182">
        <f>IF(OR($H$6="",$H$7=""),"",IF($B35="","",IF(ISNA(VLOOKUP($B35,'TH01'!$B$11:$R$75,14,FALSE)),"",VLOOKUP($B35,'TH01'!$B$11:$R$75,14,FALSE))))</f>
        <v>6</v>
      </c>
      <c r="AT35" s="183"/>
      <c r="AU35" s="187"/>
      <c r="AV35" s="186"/>
      <c r="AW35" s="182">
        <f>IF(OR($H$6="",$H$7=""),"",IF($B35="","",IF(ISNA(VLOOKUP($B35,'TH02'!$B$11:$R$75,14,FALSE)),"",VLOOKUP($B35,'TH02'!$B$11:$R$75,14,FALSE))))</f>
        <v>7.3</v>
      </c>
      <c r="AX35" s="183"/>
      <c r="AY35" s="187"/>
      <c r="AZ35" s="54">
        <f t="shared" si="24"/>
        <v>4.3899999999999997</v>
      </c>
      <c r="BA35" s="54" t="str">
        <f t="shared" si="0"/>
        <v/>
      </c>
      <c r="BB35" s="70">
        <v>66</v>
      </c>
      <c r="BC35" s="52" t="str">
        <f t="shared" si="25"/>
        <v>TBY</v>
      </c>
      <c r="BD35" s="52" t="str">
        <f t="shared" si="26"/>
        <v/>
      </c>
      <c r="BE35" s="52" t="str">
        <f t="shared" si="1"/>
        <v/>
      </c>
      <c r="BF35" s="149" t="str">
        <f t="shared" si="2"/>
        <v/>
      </c>
      <c r="BG35" s="52">
        <f t="shared" si="3"/>
        <v>9</v>
      </c>
      <c r="BH35" s="52">
        <f t="shared" si="27"/>
        <v>9</v>
      </c>
      <c r="BI35" s="52">
        <f t="shared" si="4"/>
        <v>9</v>
      </c>
      <c r="BJ35" s="52">
        <f t="shared" si="5"/>
        <v>9</v>
      </c>
      <c r="BK35" s="54">
        <f t="shared" si="6"/>
        <v>5.72</v>
      </c>
      <c r="BL35" s="54" t="str">
        <f t="shared" si="7"/>
        <v>BT</v>
      </c>
      <c r="BM35" s="54">
        <f t="shared" si="8"/>
        <v>5.72</v>
      </c>
      <c r="BN35" s="54" t="str">
        <f t="shared" si="9"/>
        <v>BT</v>
      </c>
      <c r="BO35" s="70"/>
      <c r="BP35" s="52">
        <f>IF(ISNA(VLOOKUP(B35,'TICH LUY'!B:D,2,0)),"",VLOOKUP(B35,'TICH LUY'!B:D,2,0)+BI35)</f>
        <v>46</v>
      </c>
      <c r="BQ35" s="52">
        <f>IF(ISNA(VLOOKUP(B35,'TICH LUY'!B:D,3,0)),"",VLOOKUP(B35,'TICH LUY'!B:D,3,0)+BJ35)</f>
        <v>11</v>
      </c>
      <c r="BR35" s="40">
        <f t="shared" si="10"/>
        <v>5</v>
      </c>
      <c r="BS35" s="452">
        <f t="shared" si="11"/>
        <v>2.5</v>
      </c>
      <c r="BT35" s="452">
        <f t="shared" si="12"/>
        <v>6</v>
      </c>
      <c r="BU35" s="452">
        <f t="shared" si="13"/>
        <v>1.8</v>
      </c>
      <c r="BV35" s="452">
        <f t="shared" si="14"/>
        <v>0.5</v>
      </c>
      <c r="BW35" s="452">
        <f t="shared" si="15"/>
        <v>4</v>
      </c>
      <c r="BX35" s="452">
        <f t="shared" si="16"/>
        <v>1.5</v>
      </c>
      <c r="BY35" s="452" t="str">
        <f t="shared" si="17"/>
        <v/>
      </c>
      <c r="BZ35" s="452" t="str">
        <f t="shared" si="28"/>
        <v/>
      </c>
      <c r="CA35" s="452" t="str">
        <f t="shared" si="29"/>
        <v/>
      </c>
      <c r="CB35" s="452">
        <f t="shared" si="30"/>
        <v>6</v>
      </c>
      <c r="CC35" s="452">
        <f t="shared" si="18"/>
        <v>7.3</v>
      </c>
      <c r="CD35" s="40">
        <f t="shared" si="31"/>
        <v>4</v>
      </c>
      <c r="CE35" s="453">
        <f t="shared" si="80"/>
        <v>4.3</v>
      </c>
      <c r="CF35" s="452">
        <f t="shared" si="32"/>
        <v>5.8</v>
      </c>
      <c r="CG35" s="452">
        <f t="shared" si="81"/>
        <v>3</v>
      </c>
      <c r="CH35" s="452">
        <f t="shared" si="82"/>
        <v>1.6</v>
      </c>
      <c r="CI35" s="452">
        <f t="shared" si="83"/>
        <v>3.9</v>
      </c>
      <c r="CJ35" s="452">
        <f t="shared" si="84"/>
        <v>3.2</v>
      </c>
      <c r="CK35" s="452" t="str">
        <f t="shared" si="85"/>
        <v/>
      </c>
      <c r="CL35" s="452" t="str">
        <f t="shared" si="33"/>
        <v/>
      </c>
      <c r="CM35" s="452" t="str">
        <f t="shared" si="34"/>
        <v/>
      </c>
      <c r="CN35" s="452">
        <f t="shared" si="35"/>
        <v>6</v>
      </c>
      <c r="CO35" s="452">
        <f t="shared" si="19"/>
        <v>7.3</v>
      </c>
      <c r="CP35" s="454">
        <f t="shared" si="36"/>
        <v>4.3899999999999997</v>
      </c>
      <c r="CQ35" s="527">
        <f>IF(OR(ISNA(VLOOKUP($B35,'TICH LUY'!$B$11:$BY$85,54,0)),$B35=""),"",VLOOKUP($B35,'TICH LUY'!$B$11:$BY$85,54,0))</f>
        <v>4.7</v>
      </c>
      <c r="CR35" s="507">
        <f>IF(OR(ISNA(VLOOKUP($B35,'TICH LUY'!$B$11:$BY$85,55,0)),$B35=""),"",VLOOKUP($B35,'TICH LUY'!$B$11:$BY$85,55,0))</f>
        <v>5.0999999999999996</v>
      </c>
      <c r="CS35" s="507">
        <f>IF(OR(ISNA(VLOOKUP($B35,'TICH LUY'!$B$11:$BY$85,56,0)),$B35=""),"",VLOOKUP($B35,'TICH LUY'!$B$11:$BY$85,56,0))</f>
        <v>5</v>
      </c>
      <c r="CT35" s="507">
        <f>IF(OR(ISNA(VLOOKUP($B35,'TICH LUY'!$B$11:$BY$85,57,0)),$B35=""),"",VLOOKUP($B35,'TICH LUY'!$B$11:$BY$85,57,0))</f>
        <v>5.8</v>
      </c>
      <c r="CU35" s="507">
        <f>IF(OR(ISNA(VLOOKUP($B35,'TICH LUY'!$B$11:$BY$85,58,0)),$B35=""),"",VLOOKUP($B35,'TICH LUY'!$B$11:$BY$85,58,0))</f>
        <v>6.4</v>
      </c>
      <c r="CV35" s="507">
        <f>IF(OR(ISNA(VLOOKUP($B35,'TICH LUY'!$B$11:$BY$85,59,0)),$B35=""),"",VLOOKUP($B35,'TICH LUY'!$B$11:$BY$85,59,0))</f>
        <v>5.2</v>
      </c>
      <c r="CW35" s="507">
        <f>IF(OR(ISNA(VLOOKUP($B35,'TICH LUY'!$B$11:$BY$85,60,0)),$B35=""),"",VLOOKUP($B35,'TICH LUY'!$B$11:$BY$85,60,0))</f>
        <v>5.8</v>
      </c>
      <c r="CX35" s="507" t="str">
        <f>IF(OR(ISNA(VLOOKUP($B35,'TICH LUY'!$B$11:$BY$85,61,0)),$B35=""),"",VLOOKUP($B35,'TICH LUY'!$B$11:$BY$85,61,0))</f>
        <v/>
      </c>
      <c r="CY35" s="507" t="str">
        <f>IF(OR(ISNA(VLOOKUP($B35,'TICH LUY'!$B$11:$BY$85,62,0)),$B35=""),"",VLOOKUP($B35,'TICH LUY'!$B$11:$BY$85,62,0))</f>
        <v/>
      </c>
      <c r="CZ35" s="507">
        <f>IF(OR(ISNA(VLOOKUP($B35,'TICH LUY'!$B$11:$BY$85,63,0)),$B35=""),"",VLOOKUP($B35,'TICH LUY'!$B$11:$BY$85,63,0))</f>
        <v>4.5999999999999996</v>
      </c>
      <c r="DA35" s="507">
        <f>IF(OR(ISNA(VLOOKUP($B35,'TICH LUY'!$B$11:$BY$85,64,0)),$B35=""),"",VLOOKUP($B35,'TICH LUY'!$B$11:$BY$85,64,0))</f>
        <v>5.2</v>
      </c>
      <c r="DB35" s="507">
        <f>IF(OR(ISNA(VLOOKUP($B35,'TICH LUY'!$B$11:$BY$85,65,0)),$B35=""),"",VLOOKUP($B35,'TICH LUY'!$B$11:$BY$85,65,0))</f>
        <v>5.7</v>
      </c>
      <c r="DC35" s="507">
        <f>IF(OR(ISNA(VLOOKUP($B35,'TICH LUY'!$B$11:$BY$85,66,0)),$B35=""),"",VLOOKUP($B35,'TICH LUY'!$B$11:$BY$85,66,0))</f>
        <v>6.6</v>
      </c>
      <c r="DD35" s="507" t="str">
        <f>IF(OR(ISNA(VLOOKUP($B35,'TICH LUY'!$B$11:$BY$85,67,0)),$B35=""),"",VLOOKUP($B35,'TICH LUY'!$B$11:$BY$85,67,0))</f>
        <v/>
      </c>
      <c r="DE35" s="507">
        <f>IF(OR(ISNA(VLOOKUP($B35,'TICH LUY'!$B$11:$BY$85,68,0)),$B35=""),"",VLOOKUP($B35,'TICH LUY'!$B$11:$BY$85,68,0))</f>
        <v>6</v>
      </c>
      <c r="DF35" s="507">
        <f>IF(OR(ISNA(VLOOKUP($B35,'TICH LUY'!$B$11:$BY$85,69,0)),$B35=""),"",VLOOKUP($B35,'TICH LUY'!$B$11:$BY$85,69,0))</f>
        <v>6.9</v>
      </c>
      <c r="DG35" s="507" t="str">
        <f>IF(OR(ISNA(VLOOKUP($B35,'TICH LUY'!$B$11:$BY$85,70,0)),$B35=""),"",VLOOKUP($B35,'TICH LUY'!$B$11:$BY$85,70,0))</f>
        <v/>
      </c>
      <c r="DH35" s="507">
        <f>IF(OR(ISNA(VLOOKUP($B35,'TICH LUY'!$B$11:$BY$85,71,0)),$B35=""),"",VLOOKUP($B35,'TICH LUY'!$B$11:$BY$85,71,0))</f>
        <v>6</v>
      </c>
      <c r="DI35" s="507" t="str">
        <f>IF(OR(ISNA(VLOOKUP($B35,'TICH LUY'!$B$11:$BY$85,72,0)),$B35=""),"",VLOOKUP($B35,'TICH LUY'!$B$11:$BY$85,72,0))</f>
        <v/>
      </c>
      <c r="DJ35" s="507" t="str">
        <f>IF(OR(ISNA(VLOOKUP($B35,'TICH LUY'!$B$11:$BY$85,73,0)),$B35=""),"",VLOOKUP($B35,'TICH LUY'!$B$11:$BY$85,73,0))</f>
        <v/>
      </c>
      <c r="DK35" s="507" t="str">
        <f>IF(OR(ISNA(VLOOKUP($B35,'TICH LUY'!$B$11:$BY$85,74,0)),$B35=""),"",VLOOKUP($B35,'TICH LUY'!$B$11:$BY$85,74,0))</f>
        <v/>
      </c>
      <c r="DL35" s="507">
        <f>IF(OR(ISNA(VLOOKUP($B35,'TICH LUY'!$B$11:$BY$85,75,0)),$B35=""),"",VLOOKUP($B35,'TICH LUY'!$B$11:$BY$85,75,0))</f>
        <v>7.7</v>
      </c>
      <c r="DM35" s="529" t="str">
        <f>IF(OR(ISNA(VLOOKUP($B35,'TICH LUY'!$B$11:$BY$85,76,0)),$B35=""),"",VLOOKUP($B35,'TICH LUY'!$B$11:$BY$85,76,0))</f>
        <v/>
      </c>
      <c r="DN35" s="455">
        <f t="shared" si="37"/>
        <v>4.3</v>
      </c>
      <c r="DO35" s="456">
        <f t="shared" si="38"/>
        <v>5.8</v>
      </c>
      <c r="DP35" s="456" t="str">
        <f t="shared" si="39"/>
        <v/>
      </c>
      <c r="DQ35" s="456" t="str">
        <f t="shared" si="40"/>
        <v/>
      </c>
      <c r="DR35" s="456" t="str">
        <f t="shared" si="41"/>
        <v/>
      </c>
      <c r="DS35" s="456" t="str">
        <f t="shared" si="42"/>
        <v/>
      </c>
      <c r="DT35" s="456" t="str">
        <f t="shared" si="43"/>
        <v/>
      </c>
      <c r="DU35" s="456" t="str">
        <f t="shared" si="44"/>
        <v/>
      </c>
      <c r="DV35" s="456" t="str">
        <f t="shared" si="45"/>
        <v/>
      </c>
      <c r="DW35" s="456">
        <f t="shared" si="46"/>
        <v>6</v>
      </c>
      <c r="DX35" s="456">
        <f t="shared" si="47"/>
        <v>7.3</v>
      </c>
      <c r="DY35" s="457">
        <f t="shared" si="48"/>
        <v>5.72</v>
      </c>
      <c r="DZ35" s="453" t="str">
        <f t="shared" si="49"/>
        <v/>
      </c>
      <c r="EA35" s="452" t="str">
        <f t="shared" si="50"/>
        <v/>
      </c>
      <c r="EB35" s="452" t="str">
        <f t="shared" si="51"/>
        <v/>
      </c>
      <c r="EC35" s="452" t="str">
        <f t="shared" si="52"/>
        <v/>
      </c>
      <c r="ED35" s="452" t="str">
        <f t="shared" si="53"/>
        <v/>
      </c>
      <c r="EE35" s="452" t="str">
        <f t="shared" si="54"/>
        <v/>
      </c>
      <c r="EF35" s="452" t="str">
        <f t="shared" si="55"/>
        <v/>
      </c>
      <c r="EG35" s="452" t="str">
        <f t="shared" si="56"/>
        <v/>
      </c>
      <c r="EH35" s="452" t="str">
        <f t="shared" si="57"/>
        <v/>
      </c>
      <c r="EI35" s="453">
        <f t="shared" si="58"/>
        <v>4.3</v>
      </c>
      <c r="EJ35" s="452">
        <f t="shared" si="59"/>
        <v>5.8</v>
      </c>
      <c r="EK35" s="452">
        <f t="shared" si="60"/>
        <v>3</v>
      </c>
      <c r="EL35" s="452">
        <f t="shared" si="61"/>
        <v>1.6</v>
      </c>
      <c r="EM35" s="452">
        <f t="shared" si="62"/>
        <v>3.9</v>
      </c>
      <c r="EN35" s="452">
        <f t="shared" si="63"/>
        <v>3.2</v>
      </c>
      <c r="EO35" s="452" t="str">
        <f t="shared" si="64"/>
        <v/>
      </c>
      <c r="EP35" s="452" t="str">
        <f t="shared" si="65"/>
        <v/>
      </c>
      <c r="EQ35" s="452" t="str">
        <f t="shared" si="66"/>
        <v/>
      </c>
      <c r="ER35" s="452">
        <f t="shared" si="67"/>
        <v>6</v>
      </c>
      <c r="ES35" s="452">
        <f t="shared" si="21"/>
        <v>7.3</v>
      </c>
      <c r="ET35" s="458" t="str">
        <f t="shared" si="68"/>
        <v/>
      </c>
      <c r="EU35" s="527">
        <f>IF(OR(ISNA(VLOOKUP($B35,'TICH LUY'!$B$11:$BY$85,54,0)),$B35=""),"",VLOOKUP($B35,'TICH LUY'!$B$11:$BY$85,54,0))</f>
        <v>4.7</v>
      </c>
      <c r="EV35" s="507">
        <f>IF(OR(ISNA(VLOOKUP($B35,'TICH LUY'!$B$11:$BY$85,55,0)),$B35=""),"",VLOOKUP($B35,'TICH LUY'!$B$11:$BY$85,55,0))</f>
        <v>5.0999999999999996</v>
      </c>
      <c r="EW35" s="507">
        <f>IF(OR(ISNA(VLOOKUP($B35,'TICH LUY'!$B$11:$BY$85,56,0)),$B35=""),"",VLOOKUP($B35,'TICH LUY'!$B$11:$BY$85,56,0))</f>
        <v>5</v>
      </c>
      <c r="EX35" s="507">
        <f>IF(OR(ISNA(VLOOKUP($B35,'TICH LUY'!$B$11:$BY$85,57,0)),$B35=""),"",VLOOKUP($B35,'TICH LUY'!$B$11:$BY$85,57,0))</f>
        <v>5.8</v>
      </c>
      <c r="EY35" s="507">
        <f>IF(OR(ISNA(VLOOKUP($B35,'TICH LUY'!$B$11:$BY$85,58,0)),$B35=""),"",VLOOKUP($B35,'TICH LUY'!$B$11:$BY$85,58,0))</f>
        <v>6.4</v>
      </c>
      <c r="EZ35" s="507">
        <f>IF(OR(ISNA(VLOOKUP($B35,'TICH LUY'!$B$11:$BY$85,59,0)),$B35=""),"",VLOOKUP($B35,'TICH LUY'!$B$11:$BY$85,59,0))</f>
        <v>5.2</v>
      </c>
      <c r="FA35" s="507">
        <f>IF(OR(ISNA(VLOOKUP($B35,'TICH LUY'!$B$11:$BY$85,60,0)),$B35=""),"",VLOOKUP($B35,'TICH LUY'!$B$11:$BY$85,60,0))</f>
        <v>5.8</v>
      </c>
      <c r="FB35" s="507" t="str">
        <f>IF(OR(ISNA(VLOOKUP($B35,'TICH LUY'!$B$11:$BY$85,61,0)),$B35=""),"",VLOOKUP($B35,'TICH LUY'!$B$11:$BY$85,61,0))</f>
        <v/>
      </c>
      <c r="FC35" s="507" t="str">
        <f>IF(OR(ISNA(VLOOKUP($B35,'TICH LUY'!$B$11:$BY$85,62,0)),$B35=""),"",VLOOKUP($B35,'TICH LUY'!$B$11:$BY$85,62,0))</f>
        <v/>
      </c>
      <c r="FD35" s="507">
        <f>IF(OR(ISNA(VLOOKUP($B35,'TICH LUY'!$B$11:$BY$85,63,0)),$B35=""),"",VLOOKUP($B35,'TICH LUY'!$B$11:$BY$85,63,0))</f>
        <v>4.5999999999999996</v>
      </c>
      <c r="FE35" s="507">
        <f>IF(OR(ISNA(VLOOKUP($B35,'TICH LUY'!$B$11:$BY$85,64,0)),$B35=""),"",VLOOKUP($B35,'TICH LUY'!$B$11:$BY$85,64,0))</f>
        <v>5.2</v>
      </c>
      <c r="FF35" s="507">
        <f>IF(OR(ISNA(VLOOKUP($B35,'TICH LUY'!$B$11:$BY$85,65,0)),$B35=""),"",VLOOKUP($B35,'TICH LUY'!$B$11:$BY$85,65,0))</f>
        <v>5.7</v>
      </c>
      <c r="FG35" s="507">
        <f>IF(OR(ISNA(VLOOKUP($B35,'TICH LUY'!$B$11:$BY$85,66,0)),$B35=""),"",VLOOKUP($B35,'TICH LUY'!$B$11:$BY$85,66,0))</f>
        <v>6.6</v>
      </c>
      <c r="FH35" s="507" t="str">
        <f>IF(OR(ISNA(VLOOKUP($B35,'TICH LUY'!$B$11:$BY$85,67,0)),$B35=""),"",VLOOKUP($B35,'TICH LUY'!$B$11:$BY$85,67,0))</f>
        <v/>
      </c>
      <c r="FI35" s="507">
        <f>IF(OR(ISNA(VLOOKUP($B35,'TICH LUY'!$B$11:$BY$85,68,0)),$B35=""),"",VLOOKUP($B35,'TICH LUY'!$B$11:$BY$85,68,0))</f>
        <v>6</v>
      </c>
      <c r="FJ35" s="507">
        <f>IF(OR(ISNA(VLOOKUP($B35,'TICH LUY'!$B$11:$BY$85,69,0)),$B35=""),"",VLOOKUP($B35,'TICH LUY'!$B$11:$BY$85,69,0))</f>
        <v>6.9</v>
      </c>
      <c r="FK35" s="507" t="str">
        <f>IF(OR(ISNA(VLOOKUP($B35,'TICH LUY'!$B$11:$BY$85,70,0)),$B35=""),"",VLOOKUP($B35,'TICH LUY'!$B$11:$BY$85,70,0))</f>
        <v/>
      </c>
      <c r="FL35" s="507">
        <f>IF(OR(ISNA(VLOOKUP($B35,'TICH LUY'!$B$11:$BY$85,71,0)),$B35=""),"",VLOOKUP($B35,'TICH LUY'!$B$11:$BY$85,71,0))</f>
        <v>6</v>
      </c>
      <c r="FM35" s="507" t="str">
        <f>IF(OR(ISNA(VLOOKUP($B35,'TICH LUY'!$B$11:$BY$85,72,0)),$B35=""),"",VLOOKUP($B35,'TICH LUY'!$B$11:$BY$85,72,0))</f>
        <v/>
      </c>
      <c r="FN35" s="507" t="str">
        <f>IF(OR(ISNA(VLOOKUP($B35,'TICH LUY'!$B$11:$BY$85,73,0)),$B35=""),"",VLOOKUP($B35,'TICH LUY'!$B$11:$BY$85,73,0))</f>
        <v/>
      </c>
      <c r="FO35" s="507" t="str">
        <f>IF(OR(ISNA(VLOOKUP($B35,'TICH LUY'!$B$11:$BY$85,74,0)),$B35=""),"",VLOOKUP($B35,'TICH LUY'!$B$11:$BY$85,74,0))</f>
        <v/>
      </c>
      <c r="FP35" s="507">
        <f>IF(OR(ISNA(VLOOKUP($B35,'TICH LUY'!$B$11:$BY$85,75,0)),$B35=""),"",VLOOKUP($B35,'TICH LUY'!$B$11:$BY$85,75,0))</f>
        <v>7.7</v>
      </c>
      <c r="FQ35" s="529" t="str">
        <f>IF(OR(ISNA(VLOOKUP($B35,'TICH LUY'!$B$11:$BY$85,76,0)),$B35=""),"",VLOOKUP($B35,'TICH LUY'!$B$11:$BY$85,76,0))</f>
        <v/>
      </c>
      <c r="FR35" s="455">
        <f t="shared" si="69"/>
        <v>4.3</v>
      </c>
      <c r="FS35" s="456">
        <f t="shared" si="70"/>
        <v>5.8</v>
      </c>
      <c r="FT35" s="456" t="str">
        <f t="shared" si="71"/>
        <v/>
      </c>
      <c r="FU35" s="456" t="str">
        <f t="shared" si="72"/>
        <v/>
      </c>
      <c r="FV35" s="456" t="str">
        <f t="shared" si="73"/>
        <v/>
      </c>
      <c r="FW35" s="456" t="str">
        <f t="shared" si="74"/>
        <v/>
      </c>
      <c r="FX35" s="456" t="str">
        <f t="shared" si="75"/>
        <v/>
      </c>
      <c r="FY35" s="456" t="str">
        <f t="shared" si="76"/>
        <v/>
      </c>
      <c r="FZ35" s="456" t="str">
        <f t="shared" si="77"/>
        <v/>
      </c>
      <c r="GA35" s="456">
        <f t="shared" si="78"/>
        <v>6</v>
      </c>
      <c r="GB35" s="459">
        <f t="shared" si="79"/>
        <v>7.3</v>
      </c>
      <c r="GC35" s="457">
        <f t="shared" si="23"/>
        <v>5.72</v>
      </c>
    </row>
    <row r="36" spans="1:185" s="221" customFormat="1" ht="15.75">
      <c r="A36" s="449">
        <f>IF(B36="","",SUBTOTAL(3,$B$11:B36))</f>
        <v>26</v>
      </c>
      <c r="B36" s="198" t="s">
        <v>2096</v>
      </c>
      <c r="C36" s="450" t="str">
        <f>IF($B36="","",VLOOKUP($B36,'DS LOP HKI'!$B$2:$F$2642,2,0))</f>
        <v>Cao Nguyễn Nhật</v>
      </c>
      <c r="D36" s="451" t="str">
        <f>IF($B36="","",VLOOKUP($B36,'DS LOP HKI'!$B$2:$F$2642,3,0))</f>
        <v>Tân</v>
      </c>
      <c r="E36" s="154"/>
      <c r="F36" s="152"/>
      <c r="G36" s="156">
        <v>1</v>
      </c>
      <c r="H36" s="181">
        <f>IF(OR($H$6="",$H$7=""),"",IF($B36="","",IF(ISNA(VLOOKUP($B36,'LT01'!$B$11:$R$75,13,FALSE)),"",IF(VLOOKUP($B36,'LT01'!$B$11:$R$75,13,FALSE)="","",VLOOKUP($B36,'LT01'!$B$11:$R$75,13,FALSE)))))</f>
        <v>2.4</v>
      </c>
      <c r="I36" s="182">
        <f>IF(OR($H$6="",$H$7=""),"",IF($B36="","",IF(ISNA(VLOOKUP($B36,'LT01'!$B$11:$R$75,14,FALSE)),"",VLOOKUP($B36,'LT01'!$B$11:$R$75,14,FALSE))))</f>
        <v>4.3</v>
      </c>
      <c r="J36" s="183"/>
      <c r="K36" s="182" t="str">
        <f>IF(OR($H$6="",$H$7=""),"",IF($B36="","",IF(ISNA(VLOOKUP($B36,'LT01'!$B$11:$R$75,17,FALSE)),"",VLOOKUP($B36,'LT01'!$B$11:$R$75,17,FALSE))))</f>
        <v/>
      </c>
      <c r="L36" s="185">
        <f>IF(OR($H$6="",$H$7=""),"",IF($B36="","",IF(ISNA(VLOOKUP($B36,'LT02'!$B$11:$R$75,13,FALSE)),"",IF(VLOOKUP($B36,'LT02'!$B$11:$R$75,13,FALSE)="","",VLOOKUP($B36,'LT02'!$B$11:$R$75,13,FALSE)))))</f>
        <v>6</v>
      </c>
      <c r="M36" s="182">
        <f>IF(OR($H$6="",$H$7=""),"",IF($B36="","",IF(ISNA(VLOOKUP($B36,'LT02'!$B$11:$R$75,14,FALSE)),"",VLOOKUP($B36,'LT02'!$B$11:$R$75,14,FALSE))))</f>
        <v>6.7</v>
      </c>
      <c r="N36" s="183"/>
      <c r="O36" s="182" t="str">
        <f>IF(OR($H$6="",$H$7=""),"",IF($B36="","",IF(ISNA(VLOOKUP($B36,'LT02'!$B$11:$R$75,17,FALSE)),"",VLOOKUP($B36,'LT02'!$B$11:$R$75,17,FALSE))))</f>
        <v/>
      </c>
      <c r="P36" s="185">
        <f>IF(OR($H$6="",$H$7=""),"",IF($B36="","",IF(ISNA(VLOOKUP($B36,'LT03'!$B$11:$R$75,13,FALSE)),"",IF(VLOOKUP($B36,'LT03'!$B$11:$R$75,13,FALSE)="","",VLOOKUP($B36,'LT03'!$B$11:$R$75,13,FALSE)))))</f>
        <v>6.1</v>
      </c>
      <c r="Q36" s="182">
        <f>IF(OR($H$6="",$H$7=""),"",IF($B36="","",IF(ISNA(VLOOKUP($B36,'LT03'!$B$11:$R$75,14,FALSE)),"",VLOOKUP($B36,'LT03'!$B$11:$R$75,14,FALSE))))</f>
        <v>6.2</v>
      </c>
      <c r="R36" s="183"/>
      <c r="S36" s="182" t="str">
        <f>IF(OR($H$6="",$H$7=""),"",IF($B36="","",IF(ISNA(VLOOKUP($B36,'LT03'!$B$11:$R$75,17,FALSE)),"",VLOOKUP($B36,'LT03'!$B$11:$R$75,17,FALSE))))</f>
        <v/>
      </c>
      <c r="T36" s="185">
        <f>IF(OR($H$6="",$H$7=""),"",IF($B36="","",IF(ISNA(VLOOKUP($B36,'LT04'!$B$11:$R$75,13,FALSE)),"",IF(VLOOKUP($B36,'LT04'!$B$11:$R$75,13,FALSE)="","",VLOOKUP($B36,'LT04'!$B$11:$R$75,13,FALSE)))))</f>
        <v>4.5</v>
      </c>
      <c r="U36" s="182">
        <f>IF(OR($H$6="",$H$7=""),"",IF($B36="","",IF(ISNA(VLOOKUP($B36,'LT04'!$B$11:$R$75,14,FALSE)),"",VLOOKUP($B36,'LT04'!$B$11:$R$75,14,FALSE))))</f>
        <v>4.5999999999999996</v>
      </c>
      <c r="V36" s="183"/>
      <c r="W36" s="184" t="str">
        <f>IF(OR($H$6="",$H$7=""),"",IF($B36="","",IF(ISNA(VLOOKUP($B36,'LT04'!$B$11:$R$75,17,FALSE)),"",VLOOKUP($B36,'LT04'!$B$11:$R$75,17,FALSE))))</f>
        <v/>
      </c>
      <c r="X36" s="185">
        <f>IF(OR($H$6="",$H$7=""),"",IF($B36="","",IF(ISNA(VLOOKUP($B36,'LT05'!$B$11:$R$75,13,FALSE)),"",IF(VLOOKUP($B36,'LT05'!$B$11:$R$75,13,FALSE)="","",VLOOKUP($B36,'LT05'!$B$11:$R$75,13,FALSE)))))</f>
        <v>7</v>
      </c>
      <c r="Y36" s="182">
        <f>IF(OR($H$6="",$H$7=""),"",IF($B36="","",IF(ISNA(VLOOKUP($B36,'LT05'!$B$11:$R$75,14,FALSE)),"",VLOOKUP($B36,'LT05'!$B$11:$R$75,14,FALSE))))</f>
        <v>5.9</v>
      </c>
      <c r="Z36" s="183"/>
      <c r="AA36" s="182" t="str">
        <f>IF(OR($H$6="",$H$7=""),"",IF($B36="","",IF(ISNA(VLOOKUP($B36,'LT05'!$B$11:$R$75,17,FALSE)),"",VLOOKUP($B36,'LT05'!$B$11:$R$75,17,FALSE))))</f>
        <v/>
      </c>
      <c r="AB36" s="185">
        <f>IF(OR($H$6="",$H$7=""),"",IF($B36="","",IF(ISNA(VLOOKUP($B36,'LT06'!$B$11:$R$75,13,FALSE)),"",IF(VLOOKUP($B36,'LT06'!$B$11:$R$75,13,FALSE)="","",VLOOKUP($B36,'LT06'!$B$11:$R$75,13,FALSE)))))</f>
        <v>6.3</v>
      </c>
      <c r="AC36" s="182">
        <f>IF(OR($H$6="",$H$7=""),"",IF($B36="","",IF(ISNA(VLOOKUP($B36,'LT06'!$B$11:$R$75,14,FALSE)),"",VLOOKUP($B36,'LT06'!$B$11:$R$75,14,FALSE))))</f>
        <v>5.8</v>
      </c>
      <c r="AD36" s="183"/>
      <c r="AE36" s="182" t="str">
        <f>IF(OR($H$6="",$H$7=""),"",IF($B36="","",IF(ISNA(VLOOKUP($B36,'LT06'!$B$11:$R$75,17,FALSE)),"",VLOOKUP($B36,'LT06'!$B$11:$R$75,17,FALSE))))</f>
        <v/>
      </c>
      <c r="AF36" s="185" t="str">
        <f>IF(OR($H$6="",$H$7=""),"",IF($B36="","",IF(ISNA(VLOOKUP($B36,'LT07'!$B$11:$R$75,13,FALSE)),"",IF(VLOOKUP($B36,'LT07'!$B$11:$R$75,13,FALSE)="","",VLOOKUP($B36,'LT07'!$B$11:$R$75,13,FALSE)))))</f>
        <v/>
      </c>
      <c r="AG36" s="182" t="str">
        <f>IF(OR($H$6="",$H$7=""),"",IF($B36="","",IF(ISNA(VLOOKUP($B36,'LT07'!$B$11:$R$75,14,FALSE)),"",VLOOKUP($B36,'LT07'!$B$11:$R$75,14,FALSE))))</f>
        <v/>
      </c>
      <c r="AH36" s="183"/>
      <c r="AI36" s="182" t="str">
        <f>IF(OR($H$6="",$H$7=""),"",IF($B36="","",IF(ISNA(VLOOKUP($B36,'LT07'!$B$11:$R$75,17,FALSE)),"",VLOOKUP($B36,'LT07'!$B$11:$R$75,17,FALSE))))</f>
        <v/>
      </c>
      <c r="AJ36" s="185" t="str">
        <f>IF(OR($H$6="",$H$7=""),"",IF($B36="","",IF(ISNA(VLOOKUP($B36,'LT08'!$B$11:$R$75,13,FALSE)),"",IF(VLOOKUP($B36,'LT08'!$B$11:$R$75,13,FALSE)="","",VLOOKUP($B36,'LT08'!$B$11:$R$75,13,FALSE)))))</f>
        <v/>
      </c>
      <c r="AK36" s="182" t="str">
        <f>IF(OR($H$6="",$H$7=""),"",IF($B36="","",IF(ISNA(VLOOKUP($B36,'LT08'!$B$11:$R$75,14,FALSE)),"",VLOOKUP($B36,'LT08'!$B$11:$R$75,14,FALSE))))</f>
        <v/>
      </c>
      <c r="AL36" s="183"/>
      <c r="AM36" s="182" t="str">
        <f>IF(OR($H$6="",$H$7=""),"",IF($B36="","",IF(ISNA(VLOOKUP($B36,'LT08'!$B$11:$R$75,17,FALSE)),"",VLOOKUP($B36,'LT08'!$B$11:$R$75,17,FALSE))))</f>
        <v/>
      </c>
      <c r="AN36" s="185" t="str">
        <f>IF(OR($H$6="",$H$7=""),"",IF($B36="","",IF(ISNA(VLOOKUP($B36,'LT09'!$B$11:$R$75,13,FALSE)),"",IF(VLOOKUP($B36,'LT09'!$B$11:$R$75,13,FALSE)="","",VLOOKUP($B36,'LT09'!$B$11:$R$75,13,FALSE)))))</f>
        <v/>
      </c>
      <c r="AO36" s="182" t="str">
        <f>IF(OR($H$6="",$H$7=""),"",IF($B36="","",IF(ISNA(VLOOKUP($B36,'LT09'!$B$11:$R$75,14,FALSE)),"",VLOOKUP($B36,'LT09'!$B$11:$R$75,14,FALSE))))</f>
        <v/>
      </c>
      <c r="AP36" s="183"/>
      <c r="AQ36" s="182" t="str">
        <f>IF(OR($H$6="",$H$7=""),"",IF($B36="","",IF(ISNA(VLOOKUP($B36,'LT09'!$B$11:$R$75,17,FALSE)),"",VLOOKUP($B36,'LT09'!$B$11:$R$75,17,FALSE))))</f>
        <v/>
      </c>
      <c r="AR36" s="186"/>
      <c r="AS36" s="182">
        <f>IF(OR($H$6="",$H$7=""),"",IF($B36="","",IF(ISNA(VLOOKUP($B36,'TH01'!$B$11:$R$75,14,FALSE)),"",VLOOKUP($B36,'TH01'!$B$11:$R$75,14,FALSE))))</f>
        <v>6.8</v>
      </c>
      <c r="AT36" s="183"/>
      <c r="AU36" s="187"/>
      <c r="AV36" s="186"/>
      <c r="AW36" s="182">
        <f>IF(OR($H$6="",$H$7=""),"",IF($B36="","",IF(ISNA(VLOOKUP($B36,'TH02'!$B$11:$R$75,14,FALSE)),"",VLOOKUP($B36,'TH02'!$B$11:$R$75,14,FALSE))))</f>
        <v>6.5</v>
      </c>
      <c r="AX36" s="183"/>
      <c r="AY36" s="187"/>
      <c r="AZ36" s="54">
        <f t="shared" si="24"/>
        <v>5.92</v>
      </c>
      <c r="BA36" s="54" t="str">
        <f t="shared" si="0"/>
        <v/>
      </c>
      <c r="BB36" s="70">
        <v>61</v>
      </c>
      <c r="BC36" s="52" t="str">
        <f t="shared" si="25"/>
        <v>TB</v>
      </c>
      <c r="BD36" s="52" t="str">
        <f t="shared" si="26"/>
        <v/>
      </c>
      <c r="BE36" s="52" t="str">
        <f t="shared" si="1"/>
        <v/>
      </c>
      <c r="BF36" s="149" t="str">
        <f t="shared" si="2"/>
        <v/>
      </c>
      <c r="BG36" s="52">
        <f t="shared" si="3"/>
        <v>18</v>
      </c>
      <c r="BH36" s="52">
        <f t="shared" si="27"/>
        <v>0</v>
      </c>
      <c r="BI36" s="52">
        <f t="shared" si="4"/>
        <v>18</v>
      </c>
      <c r="BJ36" s="52">
        <f t="shared" si="5"/>
        <v>0</v>
      </c>
      <c r="BK36" s="54">
        <f t="shared" si="6"/>
        <v>5.88</v>
      </c>
      <c r="BL36" s="54" t="str">
        <f t="shared" si="7"/>
        <v>BT</v>
      </c>
      <c r="BM36" s="54">
        <f t="shared" si="8"/>
        <v>5.88</v>
      </c>
      <c r="BN36" s="54" t="str">
        <f t="shared" si="9"/>
        <v>BT</v>
      </c>
      <c r="BO36" s="70"/>
      <c r="BP36" s="52">
        <f>IF(ISNA(VLOOKUP(B36,'TICH LUY'!B:D,2,0)),"",VLOOKUP(B36,'TICH LUY'!B:D,2,0)+BI36)</f>
        <v>57</v>
      </c>
      <c r="BQ36" s="52">
        <f>IF(ISNA(VLOOKUP(B36,'TICH LUY'!B:D,3,0)),"",VLOOKUP(B36,'TICH LUY'!B:D,3,0)+BJ36)</f>
        <v>0</v>
      </c>
      <c r="BR36" s="40">
        <f t="shared" si="10"/>
        <v>2</v>
      </c>
      <c r="BS36" s="452">
        <f t="shared" si="11"/>
        <v>2.4</v>
      </c>
      <c r="BT36" s="452">
        <f t="shared" si="12"/>
        <v>6</v>
      </c>
      <c r="BU36" s="452">
        <f t="shared" si="13"/>
        <v>6.1</v>
      </c>
      <c r="BV36" s="452">
        <f t="shared" si="14"/>
        <v>4.5</v>
      </c>
      <c r="BW36" s="452">
        <f t="shared" si="15"/>
        <v>7</v>
      </c>
      <c r="BX36" s="452">
        <f t="shared" si="16"/>
        <v>6.3</v>
      </c>
      <c r="BY36" s="452" t="str">
        <f t="shared" si="17"/>
        <v/>
      </c>
      <c r="BZ36" s="452" t="str">
        <f t="shared" si="28"/>
        <v/>
      </c>
      <c r="CA36" s="452" t="str">
        <f t="shared" si="29"/>
        <v/>
      </c>
      <c r="CB36" s="452">
        <f t="shared" si="30"/>
        <v>6.8</v>
      </c>
      <c r="CC36" s="452">
        <f t="shared" si="18"/>
        <v>6.5</v>
      </c>
      <c r="CD36" s="40">
        <f t="shared" si="31"/>
        <v>0</v>
      </c>
      <c r="CE36" s="453">
        <f t="shared" si="80"/>
        <v>4.3</v>
      </c>
      <c r="CF36" s="452">
        <f t="shared" si="32"/>
        <v>6.7</v>
      </c>
      <c r="CG36" s="452">
        <f t="shared" si="81"/>
        <v>6.2</v>
      </c>
      <c r="CH36" s="452">
        <f t="shared" si="82"/>
        <v>4.5999999999999996</v>
      </c>
      <c r="CI36" s="452">
        <f t="shared" si="83"/>
        <v>5.9</v>
      </c>
      <c r="CJ36" s="452">
        <f t="shared" si="84"/>
        <v>5.8</v>
      </c>
      <c r="CK36" s="452" t="str">
        <f t="shared" si="85"/>
        <v/>
      </c>
      <c r="CL36" s="452" t="str">
        <f t="shared" si="33"/>
        <v/>
      </c>
      <c r="CM36" s="452" t="str">
        <f t="shared" si="34"/>
        <v/>
      </c>
      <c r="CN36" s="452">
        <f t="shared" si="35"/>
        <v>6.8</v>
      </c>
      <c r="CO36" s="452">
        <f t="shared" si="19"/>
        <v>6.5</v>
      </c>
      <c r="CP36" s="454">
        <f t="shared" si="36"/>
        <v>5.92</v>
      </c>
      <c r="CQ36" s="527">
        <f>IF(OR(ISNA(VLOOKUP($B36,'TICH LUY'!$B$11:$BY$85,54,0)),$B36=""),"",VLOOKUP($B36,'TICH LUY'!$B$11:$BY$85,54,0))</f>
        <v>5.2</v>
      </c>
      <c r="CR36" s="507">
        <f>IF(OR(ISNA(VLOOKUP($B36,'TICH LUY'!$B$11:$BY$85,55,0)),$B36=""),"",VLOOKUP($B36,'TICH LUY'!$B$11:$BY$85,55,0))</f>
        <v>5.4</v>
      </c>
      <c r="CS36" s="507">
        <f>IF(OR(ISNA(VLOOKUP($B36,'TICH LUY'!$B$11:$BY$85,56,0)),$B36=""),"",VLOOKUP($B36,'TICH LUY'!$B$11:$BY$85,56,0))</f>
        <v>6.3</v>
      </c>
      <c r="CT36" s="507">
        <f>IF(OR(ISNA(VLOOKUP($B36,'TICH LUY'!$B$11:$BY$85,57,0)),$B36=""),"",VLOOKUP($B36,'TICH LUY'!$B$11:$BY$85,57,0))</f>
        <v>7</v>
      </c>
      <c r="CU36" s="507">
        <f>IF(OR(ISNA(VLOOKUP($B36,'TICH LUY'!$B$11:$BY$85,58,0)),$B36=""),"",VLOOKUP($B36,'TICH LUY'!$B$11:$BY$85,58,0))</f>
        <v>6.7</v>
      </c>
      <c r="CV36" s="507">
        <f>IF(OR(ISNA(VLOOKUP($B36,'TICH LUY'!$B$11:$BY$85,59,0)),$B36=""),"",VLOOKUP($B36,'TICH LUY'!$B$11:$BY$85,59,0))</f>
        <v>4.3</v>
      </c>
      <c r="CW36" s="507">
        <f>IF(OR(ISNA(VLOOKUP($B36,'TICH LUY'!$B$11:$BY$85,60,0)),$B36=""),"",VLOOKUP($B36,'TICH LUY'!$B$11:$BY$85,60,0))</f>
        <v>5</v>
      </c>
      <c r="CX36" s="507" t="str">
        <f>IF(OR(ISNA(VLOOKUP($B36,'TICH LUY'!$B$11:$BY$85,61,0)),$B36=""),"",VLOOKUP($B36,'TICH LUY'!$B$11:$BY$85,61,0))</f>
        <v/>
      </c>
      <c r="CY36" s="507" t="str">
        <f>IF(OR(ISNA(VLOOKUP($B36,'TICH LUY'!$B$11:$BY$85,62,0)),$B36=""),"",VLOOKUP($B36,'TICH LUY'!$B$11:$BY$85,62,0))</f>
        <v/>
      </c>
      <c r="CZ36" s="507">
        <f>IF(OR(ISNA(VLOOKUP($B36,'TICH LUY'!$B$11:$BY$85,63,0)),$B36=""),"",VLOOKUP($B36,'TICH LUY'!$B$11:$BY$85,63,0))</f>
        <v>4.8</v>
      </c>
      <c r="DA36" s="507">
        <f>IF(OR(ISNA(VLOOKUP($B36,'TICH LUY'!$B$11:$BY$85,64,0)),$B36=""),"",VLOOKUP($B36,'TICH LUY'!$B$11:$BY$85,64,0))</f>
        <v>5.3</v>
      </c>
      <c r="DB36" s="507">
        <f>IF(OR(ISNA(VLOOKUP($B36,'TICH LUY'!$B$11:$BY$85,65,0)),$B36=""),"",VLOOKUP($B36,'TICH LUY'!$B$11:$BY$85,65,0))</f>
        <v>6.2</v>
      </c>
      <c r="DC36" s="507">
        <f>IF(OR(ISNA(VLOOKUP($B36,'TICH LUY'!$B$11:$BY$85,66,0)),$B36=""),"",VLOOKUP($B36,'TICH LUY'!$B$11:$BY$85,66,0))</f>
        <v>7.8</v>
      </c>
      <c r="DD36" s="507" t="str">
        <f>IF(OR(ISNA(VLOOKUP($B36,'TICH LUY'!$B$11:$BY$85,67,0)),$B36=""),"",VLOOKUP($B36,'TICH LUY'!$B$11:$BY$85,67,0))</f>
        <v/>
      </c>
      <c r="DE36" s="507">
        <f>IF(OR(ISNA(VLOOKUP($B36,'TICH LUY'!$B$11:$BY$85,68,0)),$B36=""),"",VLOOKUP($B36,'TICH LUY'!$B$11:$BY$85,68,0))</f>
        <v>6.8</v>
      </c>
      <c r="DF36" s="507">
        <f>IF(OR(ISNA(VLOOKUP($B36,'TICH LUY'!$B$11:$BY$85,69,0)),$B36=""),"",VLOOKUP($B36,'TICH LUY'!$B$11:$BY$85,69,0))</f>
        <v>6.8</v>
      </c>
      <c r="DG36" s="507">
        <f>IF(OR(ISNA(VLOOKUP($B36,'TICH LUY'!$B$11:$BY$85,70,0)),$B36=""),"",VLOOKUP($B36,'TICH LUY'!$B$11:$BY$85,70,0))</f>
        <v>5.5</v>
      </c>
      <c r="DH36" s="507">
        <f>IF(OR(ISNA(VLOOKUP($B36,'TICH LUY'!$B$11:$BY$85,71,0)),$B36=""),"",VLOOKUP($B36,'TICH LUY'!$B$11:$BY$85,71,0))</f>
        <v>7.1</v>
      </c>
      <c r="DI36" s="507" t="str">
        <f>IF(OR(ISNA(VLOOKUP($B36,'TICH LUY'!$B$11:$BY$85,72,0)),$B36=""),"",VLOOKUP($B36,'TICH LUY'!$B$11:$BY$85,72,0))</f>
        <v/>
      </c>
      <c r="DJ36" s="507" t="str">
        <f>IF(OR(ISNA(VLOOKUP($B36,'TICH LUY'!$B$11:$BY$85,73,0)),$B36=""),"",VLOOKUP($B36,'TICH LUY'!$B$11:$BY$85,73,0))</f>
        <v/>
      </c>
      <c r="DK36" s="507" t="str">
        <f>IF(OR(ISNA(VLOOKUP($B36,'TICH LUY'!$B$11:$BY$85,74,0)),$B36=""),"",VLOOKUP($B36,'TICH LUY'!$B$11:$BY$85,74,0))</f>
        <v/>
      </c>
      <c r="DL36" s="507">
        <f>IF(OR(ISNA(VLOOKUP($B36,'TICH LUY'!$B$11:$BY$85,75,0)),$B36=""),"",VLOOKUP($B36,'TICH LUY'!$B$11:$BY$85,75,0))</f>
        <v>6.4</v>
      </c>
      <c r="DM36" s="529" t="str">
        <f>IF(OR(ISNA(VLOOKUP($B36,'TICH LUY'!$B$11:$BY$85,76,0)),$B36=""),"",VLOOKUP($B36,'TICH LUY'!$B$11:$BY$85,76,0))</f>
        <v/>
      </c>
      <c r="DN36" s="455">
        <f t="shared" si="37"/>
        <v>4.3</v>
      </c>
      <c r="DO36" s="456">
        <f t="shared" si="38"/>
        <v>6.7</v>
      </c>
      <c r="DP36" s="456">
        <f t="shared" si="39"/>
        <v>6.2</v>
      </c>
      <c r="DQ36" s="456">
        <f t="shared" si="40"/>
        <v>4.5999999999999996</v>
      </c>
      <c r="DR36" s="456">
        <f t="shared" si="41"/>
        <v>5.9</v>
      </c>
      <c r="DS36" s="456">
        <f t="shared" si="42"/>
        <v>5.8</v>
      </c>
      <c r="DT36" s="456" t="str">
        <f t="shared" si="43"/>
        <v/>
      </c>
      <c r="DU36" s="456" t="str">
        <f t="shared" si="44"/>
        <v/>
      </c>
      <c r="DV36" s="456" t="str">
        <f t="shared" si="45"/>
        <v/>
      </c>
      <c r="DW36" s="456">
        <f t="shared" si="46"/>
        <v>6.8</v>
      </c>
      <c r="DX36" s="456">
        <f t="shared" si="47"/>
        <v>6.5</v>
      </c>
      <c r="DY36" s="457">
        <f t="shared" si="48"/>
        <v>5.88</v>
      </c>
      <c r="DZ36" s="453" t="str">
        <f t="shared" si="49"/>
        <v/>
      </c>
      <c r="EA36" s="452" t="str">
        <f t="shared" si="50"/>
        <v/>
      </c>
      <c r="EB36" s="452" t="str">
        <f t="shared" si="51"/>
        <v/>
      </c>
      <c r="EC36" s="452" t="str">
        <f t="shared" si="52"/>
        <v/>
      </c>
      <c r="ED36" s="452" t="str">
        <f t="shared" si="53"/>
        <v/>
      </c>
      <c r="EE36" s="452" t="str">
        <f t="shared" si="54"/>
        <v/>
      </c>
      <c r="EF36" s="452" t="str">
        <f t="shared" si="55"/>
        <v/>
      </c>
      <c r="EG36" s="452" t="str">
        <f t="shared" si="56"/>
        <v/>
      </c>
      <c r="EH36" s="452" t="str">
        <f t="shared" si="57"/>
        <v/>
      </c>
      <c r="EI36" s="453">
        <f t="shared" si="58"/>
        <v>4.3</v>
      </c>
      <c r="EJ36" s="452">
        <f t="shared" si="59"/>
        <v>6.7</v>
      </c>
      <c r="EK36" s="452">
        <f t="shared" si="60"/>
        <v>6.2</v>
      </c>
      <c r="EL36" s="452">
        <f t="shared" si="61"/>
        <v>4.5999999999999996</v>
      </c>
      <c r="EM36" s="452">
        <f t="shared" si="62"/>
        <v>5.9</v>
      </c>
      <c r="EN36" s="452">
        <f t="shared" si="63"/>
        <v>5.8</v>
      </c>
      <c r="EO36" s="452" t="str">
        <f t="shared" si="64"/>
        <v/>
      </c>
      <c r="EP36" s="452" t="str">
        <f t="shared" si="65"/>
        <v/>
      </c>
      <c r="EQ36" s="452" t="str">
        <f t="shared" si="66"/>
        <v/>
      </c>
      <c r="ER36" s="452">
        <f t="shared" si="67"/>
        <v>6.8</v>
      </c>
      <c r="ES36" s="452">
        <f t="shared" si="21"/>
        <v>6.5</v>
      </c>
      <c r="ET36" s="458" t="str">
        <f t="shared" si="68"/>
        <v/>
      </c>
      <c r="EU36" s="527">
        <f>IF(OR(ISNA(VLOOKUP($B36,'TICH LUY'!$B$11:$BY$85,54,0)),$B36=""),"",VLOOKUP($B36,'TICH LUY'!$B$11:$BY$85,54,0))</f>
        <v>5.2</v>
      </c>
      <c r="EV36" s="507">
        <f>IF(OR(ISNA(VLOOKUP($B36,'TICH LUY'!$B$11:$BY$85,55,0)),$B36=""),"",VLOOKUP($B36,'TICH LUY'!$B$11:$BY$85,55,0))</f>
        <v>5.4</v>
      </c>
      <c r="EW36" s="507">
        <f>IF(OR(ISNA(VLOOKUP($B36,'TICH LUY'!$B$11:$BY$85,56,0)),$B36=""),"",VLOOKUP($B36,'TICH LUY'!$B$11:$BY$85,56,0))</f>
        <v>6.3</v>
      </c>
      <c r="EX36" s="507">
        <f>IF(OR(ISNA(VLOOKUP($B36,'TICH LUY'!$B$11:$BY$85,57,0)),$B36=""),"",VLOOKUP($B36,'TICH LUY'!$B$11:$BY$85,57,0))</f>
        <v>7</v>
      </c>
      <c r="EY36" s="507">
        <f>IF(OR(ISNA(VLOOKUP($B36,'TICH LUY'!$B$11:$BY$85,58,0)),$B36=""),"",VLOOKUP($B36,'TICH LUY'!$B$11:$BY$85,58,0))</f>
        <v>6.7</v>
      </c>
      <c r="EZ36" s="507">
        <f>IF(OR(ISNA(VLOOKUP($B36,'TICH LUY'!$B$11:$BY$85,59,0)),$B36=""),"",VLOOKUP($B36,'TICH LUY'!$B$11:$BY$85,59,0))</f>
        <v>4.3</v>
      </c>
      <c r="FA36" s="507">
        <f>IF(OR(ISNA(VLOOKUP($B36,'TICH LUY'!$B$11:$BY$85,60,0)),$B36=""),"",VLOOKUP($B36,'TICH LUY'!$B$11:$BY$85,60,0))</f>
        <v>5</v>
      </c>
      <c r="FB36" s="507" t="str">
        <f>IF(OR(ISNA(VLOOKUP($B36,'TICH LUY'!$B$11:$BY$85,61,0)),$B36=""),"",VLOOKUP($B36,'TICH LUY'!$B$11:$BY$85,61,0))</f>
        <v/>
      </c>
      <c r="FC36" s="507" t="str">
        <f>IF(OR(ISNA(VLOOKUP($B36,'TICH LUY'!$B$11:$BY$85,62,0)),$B36=""),"",VLOOKUP($B36,'TICH LUY'!$B$11:$BY$85,62,0))</f>
        <v/>
      </c>
      <c r="FD36" s="507">
        <f>IF(OR(ISNA(VLOOKUP($B36,'TICH LUY'!$B$11:$BY$85,63,0)),$B36=""),"",VLOOKUP($B36,'TICH LUY'!$B$11:$BY$85,63,0))</f>
        <v>4.8</v>
      </c>
      <c r="FE36" s="507">
        <f>IF(OR(ISNA(VLOOKUP($B36,'TICH LUY'!$B$11:$BY$85,64,0)),$B36=""),"",VLOOKUP($B36,'TICH LUY'!$B$11:$BY$85,64,0))</f>
        <v>5.3</v>
      </c>
      <c r="FF36" s="507">
        <f>IF(OR(ISNA(VLOOKUP($B36,'TICH LUY'!$B$11:$BY$85,65,0)),$B36=""),"",VLOOKUP($B36,'TICH LUY'!$B$11:$BY$85,65,0))</f>
        <v>6.2</v>
      </c>
      <c r="FG36" s="507">
        <f>IF(OR(ISNA(VLOOKUP($B36,'TICH LUY'!$B$11:$BY$85,66,0)),$B36=""),"",VLOOKUP($B36,'TICH LUY'!$B$11:$BY$85,66,0))</f>
        <v>7.8</v>
      </c>
      <c r="FH36" s="507" t="str">
        <f>IF(OR(ISNA(VLOOKUP($B36,'TICH LUY'!$B$11:$BY$85,67,0)),$B36=""),"",VLOOKUP($B36,'TICH LUY'!$B$11:$BY$85,67,0))</f>
        <v/>
      </c>
      <c r="FI36" s="507">
        <f>IF(OR(ISNA(VLOOKUP($B36,'TICH LUY'!$B$11:$BY$85,68,0)),$B36=""),"",VLOOKUP($B36,'TICH LUY'!$B$11:$BY$85,68,0))</f>
        <v>6.8</v>
      </c>
      <c r="FJ36" s="507">
        <f>IF(OR(ISNA(VLOOKUP($B36,'TICH LUY'!$B$11:$BY$85,69,0)),$B36=""),"",VLOOKUP($B36,'TICH LUY'!$B$11:$BY$85,69,0))</f>
        <v>6.8</v>
      </c>
      <c r="FK36" s="507">
        <f>IF(OR(ISNA(VLOOKUP($B36,'TICH LUY'!$B$11:$BY$85,70,0)),$B36=""),"",VLOOKUP($B36,'TICH LUY'!$B$11:$BY$85,70,0))</f>
        <v>5.5</v>
      </c>
      <c r="FL36" s="507">
        <f>IF(OR(ISNA(VLOOKUP($B36,'TICH LUY'!$B$11:$BY$85,71,0)),$B36=""),"",VLOOKUP($B36,'TICH LUY'!$B$11:$BY$85,71,0))</f>
        <v>7.1</v>
      </c>
      <c r="FM36" s="507" t="str">
        <f>IF(OR(ISNA(VLOOKUP($B36,'TICH LUY'!$B$11:$BY$85,72,0)),$B36=""),"",VLOOKUP($B36,'TICH LUY'!$B$11:$BY$85,72,0))</f>
        <v/>
      </c>
      <c r="FN36" s="507" t="str">
        <f>IF(OR(ISNA(VLOOKUP($B36,'TICH LUY'!$B$11:$BY$85,73,0)),$B36=""),"",VLOOKUP($B36,'TICH LUY'!$B$11:$BY$85,73,0))</f>
        <v/>
      </c>
      <c r="FO36" s="507" t="str">
        <f>IF(OR(ISNA(VLOOKUP($B36,'TICH LUY'!$B$11:$BY$85,74,0)),$B36=""),"",VLOOKUP($B36,'TICH LUY'!$B$11:$BY$85,74,0))</f>
        <v/>
      </c>
      <c r="FP36" s="507">
        <f>IF(OR(ISNA(VLOOKUP($B36,'TICH LUY'!$B$11:$BY$85,75,0)),$B36=""),"",VLOOKUP($B36,'TICH LUY'!$B$11:$BY$85,75,0))</f>
        <v>6.4</v>
      </c>
      <c r="FQ36" s="529" t="str">
        <f>IF(OR(ISNA(VLOOKUP($B36,'TICH LUY'!$B$11:$BY$85,76,0)),$B36=""),"",VLOOKUP($B36,'TICH LUY'!$B$11:$BY$85,76,0))</f>
        <v/>
      </c>
      <c r="FR36" s="455">
        <f t="shared" si="69"/>
        <v>4.3</v>
      </c>
      <c r="FS36" s="456">
        <f t="shared" si="70"/>
        <v>6.7</v>
      </c>
      <c r="FT36" s="456">
        <f t="shared" si="71"/>
        <v>6.2</v>
      </c>
      <c r="FU36" s="456">
        <f t="shared" si="72"/>
        <v>4.5999999999999996</v>
      </c>
      <c r="FV36" s="456">
        <f t="shared" si="73"/>
        <v>5.9</v>
      </c>
      <c r="FW36" s="456">
        <f t="shared" si="74"/>
        <v>5.8</v>
      </c>
      <c r="FX36" s="456" t="str">
        <f t="shared" si="75"/>
        <v/>
      </c>
      <c r="FY36" s="456" t="str">
        <f t="shared" si="76"/>
        <v/>
      </c>
      <c r="FZ36" s="456" t="str">
        <f t="shared" si="77"/>
        <v/>
      </c>
      <c r="GA36" s="456">
        <f t="shared" si="78"/>
        <v>6.8</v>
      </c>
      <c r="GB36" s="459">
        <f t="shared" si="79"/>
        <v>6.5</v>
      </c>
      <c r="GC36" s="457">
        <f t="shared" si="23"/>
        <v>5.88</v>
      </c>
    </row>
    <row r="37" spans="1:185" s="221" customFormat="1" ht="15.75">
      <c r="A37" s="449">
        <f>IF(B37="","",SUBTOTAL(3,$B$11:B37))</f>
        <v>27</v>
      </c>
      <c r="B37" s="198" t="s">
        <v>2100</v>
      </c>
      <c r="C37" s="450" t="str">
        <f>IF($B37="","",VLOOKUP($B37,'DS LOP HKI'!$B$2:$F$2642,2,0))</f>
        <v>Nguyễn Việt</v>
      </c>
      <c r="D37" s="451" t="str">
        <f>IF($B37="","",VLOOKUP($B37,'DS LOP HKI'!$B$2:$F$2642,3,0))</f>
        <v>Thắng</v>
      </c>
      <c r="E37" s="154"/>
      <c r="F37" s="152"/>
      <c r="G37" s="156">
        <v>6</v>
      </c>
      <c r="H37" s="181">
        <f>IF(OR($H$6="",$H$7=""),"",IF($B37="","",IF(ISNA(VLOOKUP($B37,'LT01'!$B$11:$R$75,13,FALSE)),"",IF(VLOOKUP($B37,'LT01'!$B$11:$R$75,13,FALSE)="","",VLOOKUP($B37,'LT01'!$B$11:$R$75,13,FALSE)))))</f>
        <v>3</v>
      </c>
      <c r="I37" s="182">
        <f>IF(OR($H$6="",$H$7=""),"",IF($B37="","",IF(ISNA(VLOOKUP($B37,'LT01'!$B$11:$R$75,14,FALSE)),"",VLOOKUP($B37,'LT01'!$B$11:$R$75,14,FALSE))))</f>
        <v>4</v>
      </c>
      <c r="J37" s="183"/>
      <c r="K37" s="182" t="str">
        <f>IF(OR($H$6="",$H$7=""),"",IF($B37="","",IF(ISNA(VLOOKUP($B37,'LT01'!$B$11:$R$75,17,FALSE)),"",VLOOKUP($B37,'LT01'!$B$11:$R$75,17,FALSE))))</f>
        <v/>
      </c>
      <c r="L37" s="185">
        <f>IF(OR($H$6="",$H$7=""),"",IF($B37="","",IF(ISNA(VLOOKUP($B37,'LT02'!$B$11:$R$75,13,FALSE)),"",IF(VLOOKUP($B37,'LT02'!$B$11:$R$75,13,FALSE)="","",VLOOKUP($B37,'LT02'!$B$11:$R$75,13,FALSE)))))</f>
        <v>6.8</v>
      </c>
      <c r="M37" s="182">
        <f>IF(OR($H$6="",$H$7=""),"",IF($B37="","",IF(ISNA(VLOOKUP($B37,'LT02'!$B$11:$R$75,14,FALSE)),"",VLOOKUP($B37,'LT02'!$B$11:$R$75,14,FALSE))))</f>
        <v>6.2</v>
      </c>
      <c r="N37" s="183"/>
      <c r="O37" s="182" t="str">
        <f>IF(OR($H$6="",$H$7=""),"",IF($B37="","",IF(ISNA(VLOOKUP($B37,'LT02'!$B$11:$R$75,17,FALSE)),"",VLOOKUP($B37,'LT02'!$B$11:$R$75,17,FALSE))))</f>
        <v/>
      </c>
      <c r="P37" s="185">
        <f>IF(OR($H$6="",$H$7=""),"",IF($B37="","",IF(ISNA(VLOOKUP($B37,'LT03'!$B$11:$R$75,13,FALSE)),"",IF(VLOOKUP($B37,'LT03'!$B$11:$R$75,13,FALSE)="","",VLOOKUP($B37,'LT03'!$B$11:$R$75,13,FALSE)))))</f>
        <v>3.7</v>
      </c>
      <c r="Q37" s="182">
        <f>IF(OR($H$6="",$H$7=""),"",IF($B37="","",IF(ISNA(VLOOKUP($B37,'LT03'!$B$11:$R$75,14,FALSE)),"",VLOOKUP($B37,'LT03'!$B$11:$R$75,14,FALSE))))</f>
        <v>4.5</v>
      </c>
      <c r="R37" s="183"/>
      <c r="S37" s="182" t="str">
        <f>IF(OR($H$6="",$H$7=""),"",IF($B37="","",IF(ISNA(VLOOKUP($B37,'LT03'!$B$11:$R$75,17,FALSE)),"",VLOOKUP($B37,'LT03'!$B$11:$R$75,17,FALSE))))</f>
        <v/>
      </c>
      <c r="T37" s="185">
        <f>IF(OR($H$6="",$H$7=""),"",IF($B37="","",IF(ISNA(VLOOKUP($B37,'LT04'!$B$11:$R$75,13,FALSE)),"",IF(VLOOKUP($B37,'LT04'!$B$11:$R$75,13,FALSE)="","",VLOOKUP($B37,'LT04'!$B$11:$R$75,13,FALSE)))))</f>
        <v>1.3</v>
      </c>
      <c r="U37" s="182">
        <f>IF(OR($H$6="",$H$7=""),"",IF($B37="","",IF(ISNA(VLOOKUP($B37,'LT04'!$B$11:$R$75,14,FALSE)),"",VLOOKUP($B37,'LT04'!$B$11:$R$75,14,FALSE))))</f>
        <v>3</v>
      </c>
      <c r="V37" s="183"/>
      <c r="W37" s="184" t="str">
        <f>IF(OR($H$6="",$H$7=""),"",IF($B37="","",IF(ISNA(VLOOKUP($B37,'LT04'!$B$11:$R$75,17,FALSE)),"",VLOOKUP($B37,'LT04'!$B$11:$R$75,17,FALSE))))</f>
        <v/>
      </c>
      <c r="X37" s="185">
        <f>IF(OR($H$6="",$H$7=""),"",IF($B37="","",IF(ISNA(VLOOKUP($B37,'LT05'!$B$11:$R$75,13,FALSE)),"",IF(VLOOKUP($B37,'LT05'!$B$11:$R$75,13,FALSE)="","",VLOOKUP($B37,'LT05'!$B$11:$R$75,13,FALSE)))))</f>
        <v>7.5</v>
      </c>
      <c r="Y37" s="182">
        <f>IF(OR($H$6="",$H$7=""),"",IF($B37="","",IF(ISNA(VLOOKUP($B37,'LT05'!$B$11:$R$75,14,FALSE)),"",VLOOKUP($B37,'LT05'!$B$11:$R$75,14,FALSE))))</f>
        <v>5.3</v>
      </c>
      <c r="Z37" s="183"/>
      <c r="AA37" s="182" t="str">
        <f>IF(OR($H$6="",$H$7=""),"",IF($B37="","",IF(ISNA(VLOOKUP($B37,'LT05'!$B$11:$R$75,17,FALSE)),"",VLOOKUP($B37,'LT05'!$B$11:$R$75,17,FALSE))))</f>
        <v/>
      </c>
      <c r="AB37" s="185">
        <f>IF(OR($H$6="",$H$7=""),"",IF($B37="","",IF(ISNA(VLOOKUP($B37,'LT06'!$B$11:$R$75,13,FALSE)),"",IF(VLOOKUP($B37,'LT06'!$B$11:$R$75,13,FALSE)="","",VLOOKUP($B37,'LT06'!$B$11:$R$75,13,FALSE)))))</f>
        <v>5</v>
      </c>
      <c r="AC37" s="182">
        <f>IF(OR($H$6="",$H$7=""),"",IF($B37="","",IF(ISNA(VLOOKUP($B37,'LT06'!$B$11:$R$75,14,FALSE)),"",VLOOKUP($B37,'LT06'!$B$11:$R$75,14,FALSE))))</f>
        <v>4.8</v>
      </c>
      <c r="AD37" s="183"/>
      <c r="AE37" s="182" t="str">
        <f>IF(OR($H$6="",$H$7=""),"",IF($B37="","",IF(ISNA(VLOOKUP($B37,'LT06'!$B$11:$R$75,17,FALSE)),"",VLOOKUP($B37,'LT06'!$B$11:$R$75,17,FALSE))))</f>
        <v/>
      </c>
      <c r="AF37" s="185" t="str">
        <f>IF(OR($H$6="",$H$7=""),"",IF($B37="","",IF(ISNA(VLOOKUP($B37,'LT07'!$B$11:$R$75,13,FALSE)),"",IF(VLOOKUP($B37,'LT07'!$B$11:$R$75,13,FALSE)="","",VLOOKUP($B37,'LT07'!$B$11:$R$75,13,FALSE)))))</f>
        <v/>
      </c>
      <c r="AG37" s="182" t="str">
        <f>IF(OR($H$6="",$H$7=""),"",IF($B37="","",IF(ISNA(VLOOKUP($B37,'LT07'!$B$11:$R$75,14,FALSE)),"",VLOOKUP($B37,'LT07'!$B$11:$R$75,14,FALSE))))</f>
        <v/>
      </c>
      <c r="AH37" s="183"/>
      <c r="AI37" s="182" t="str">
        <f>IF(OR($H$6="",$H$7=""),"",IF($B37="","",IF(ISNA(VLOOKUP($B37,'LT07'!$B$11:$R$75,17,FALSE)),"",VLOOKUP($B37,'LT07'!$B$11:$R$75,17,FALSE))))</f>
        <v/>
      </c>
      <c r="AJ37" s="185" t="str">
        <f>IF(OR($H$6="",$H$7=""),"",IF($B37="","",IF(ISNA(VLOOKUP($B37,'LT08'!$B$11:$R$75,13,FALSE)),"",IF(VLOOKUP($B37,'LT08'!$B$11:$R$75,13,FALSE)="","",VLOOKUP($B37,'LT08'!$B$11:$R$75,13,FALSE)))))</f>
        <v/>
      </c>
      <c r="AK37" s="182" t="str">
        <f>IF(OR($H$6="",$H$7=""),"",IF($B37="","",IF(ISNA(VLOOKUP($B37,'LT08'!$B$11:$R$75,14,FALSE)),"",VLOOKUP($B37,'LT08'!$B$11:$R$75,14,FALSE))))</f>
        <v/>
      </c>
      <c r="AL37" s="183"/>
      <c r="AM37" s="182" t="str">
        <f>IF(OR($H$6="",$H$7=""),"",IF($B37="","",IF(ISNA(VLOOKUP($B37,'LT08'!$B$11:$R$75,17,FALSE)),"",VLOOKUP($B37,'LT08'!$B$11:$R$75,17,FALSE))))</f>
        <v/>
      </c>
      <c r="AN37" s="185" t="str">
        <f>IF(OR($H$6="",$H$7=""),"",IF($B37="","",IF(ISNA(VLOOKUP($B37,'LT09'!$B$11:$R$75,13,FALSE)),"",IF(VLOOKUP($B37,'LT09'!$B$11:$R$75,13,FALSE)="","",VLOOKUP($B37,'LT09'!$B$11:$R$75,13,FALSE)))))</f>
        <v/>
      </c>
      <c r="AO37" s="182" t="str">
        <f>IF(OR($H$6="",$H$7=""),"",IF($B37="","",IF(ISNA(VLOOKUP($B37,'LT09'!$B$11:$R$75,14,FALSE)),"",VLOOKUP($B37,'LT09'!$B$11:$R$75,14,FALSE))))</f>
        <v/>
      </c>
      <c r="AP37" s="183"/>
      <c r="AQ37" s="182" t="str">
        <f>IF(OR($H$6="",$H$7=""),"",IF($B37="","",IF(ISNA(VLOOKUP($B37,'LT09'!$B$11:$R$75,17,FALSE)),"",VLOOKUP($B37,'LT09'!$B$11:$R$75,17,FALSE))))</f>
        <v/>
      </c>
      <c r="AR37" s="186"/>
      <c r="AS37" s="182">
        <f>IF(OR($H$6="",$H$7=""),"",IF($B37="","",IF(ISNA(VLOOKUP($B37,'TH01'!$B$11:$R$75,14,FALSE)),"",VLOOKUP($B37,'TH01'!$B$11:$R$75,14,FALSE))))</f>
        <v>4.8</v>
      </c>
      <c r="AT37" s="183"/>
      <c r="AU37" s="187"/>
      <c r="AV37" s="186"/>
      <c r="AW37" s="182">
        <f>IF(OR($H$6="",$H$7=""),"",IF($B37="","",IF(ISNA(VLOOKUP($B37,'TH02'!$B$11:$R$75,14,FALSE)),"",VLOOKUP($B37,'TH02'!$B$11:$R$75,14,FALSE))))</f>
        <v>6</v>
      </c>
      <c r="AX37" s="183"/>
      <c r="AY37" s="187"/>
      <c r="AZ37" s="54">
        <f t="shared" si="24"/>
        <v>4.88</v>
      </c>
      <c r="BA37" s="54" t="str">
        <f t="shared" si="0"/>
        <v/>
      </c>
      <c r="BB37" s="70">
        <v>47</v>
      </c>
      <c r="BC37" s="52" t="str">
        <f t="shared" si="25"/>
        <v>TBY</v>
      </c>
      <c r="BD37" s="52" t="str">
        <f t="shared" si="26"/>
        <v/>
      </c>
      <c r="BE37" s="52" t="str">
        <f t="shared" si="1"/>
        <v/>
      </c>
      <c r="BF37" s="149" t="str">
        <f t="shared" si="2"/>
        <v/>
      </c>
      <c r="BG37" s="52">
        <f t="shared" si="3"/>
        <v>16</v>
      </c>
      <c r="BH37" s="52">
        <f t="shared" si="27"/>
        <v>2</v>
      </c>
      <c r="BI37" s="52">
        <f t="shared" si="4"/>
        <v>16</v>
      </c>
      <c r="BJ37" s="52">
        <f t="shared" si="5"/>
        <v>2</v>
      </c>
      <c r="BK37" s="54">
        <f t="shared" si="6"/>
        <v>5.62</v>
      </c>
      <c r="BL37" s="54" t="str">
        <f t="shared" si="7"/>
        <v>BT</v>
      </c>
      <c r="BM37" s="54">
        <f t="shared" si="8"/>
        <v>5.62</v>
      </c>
      <c r="BN37" s="54" t="str">
        <f t="shared" si="9"/>
        <v>BT</v>
      </c>
      <c r="BO37" s="70"/>
      <c r="BP37" s="52">
        <f>IF(ISNA(VLOOKUP(B37,'TICH LUY'!B:D,2,0)),"",VLOOKUP(B37,'TICH LUY'!B:D,2,0)+BI37)</f>
        <v>55</v>
      </c>
      <c r="BQ37" s="52">
        <f>IF(ISNA(VLOOKUP(B37,'TICH LUY'!B:D,3,0)),"",VLOOKUP(B37,'TICH LUY'!B:D,3,0)+BJ37)</f>
        <v>2</v>
      </c>
      <c r="BR37" s="40">
        <f t="shared" si="10"/>
        <v>4</v>
      </c>
      <c r="BS37" s="452">
        <f t="shared" si="11"/>
        <v>3</v>
      </c>
      <c r="BT37" s="452">
        <f t="shared" si="12"/>
        <v>6.8</v>
      </c>
      <c r="BU37" s="452">
        <f t="shared" si="13"/>
        <v>3.7</v>
      </c>
      <c r="BV37" s="452">
        <f t="shared" si="14"/>
        <v>1.3</v>
      </c>
      <c r="BW37" s="452">
        <f t="shared" si="15"/>
        <v>7.5</v>
      </c>
      <c r="BX37" s="452">
        <f t="shared" si="16"/>
        <v>5</v>
      </c>
      <c r="BY37" s="452" t="str">
        <f t="shared" si="17"/>
        <v/>
      </c>
      <c r="BZ37" s="452" t="str">
        <f t="shared" si="28"/>
        <v/>
      </c>
      <c r="CA37" s="452" t="str">
        <f t="shared" si="29"/>
        <v/>
      </c>
      <c r="CB37" s="452">
        <f t="shared" si="30"/>
        <v>4.8</v>
      </c>
      <c r="CC37" s="452">
        <f t="shared" si="18"/>
        <v>6</v>
      </c>
      <c r="CD37" s="40">
        <f t="shared" si="31"/>
        <v>1</v>
      </c>
      <c r="CE37" s="453">
        <f t="shared" si="80"/>
        <v>4</v>
      </c>
      <c r="CF37" s="452">
        <f t="shared" si="32"/>
        <v>6.2</v>
      </c>
      <c r="CG37" s="452">
        <f t="shared" si="81"/>
        <v>4.5</v>
      </c>
      <c r="CH37" s="452">
        <f t="shared" si="82"/>
        <v>3</v>
      </c>
      <c r="CI37" s="452">
        <f t="shared" si="83"/>
        <v>5.3</v>
      </c>
      <c r="CJ37" s="452">
        <f t="shared" si="84"/>
        <v>4.8</v>
      </c>
      <c r="CK37" s="452" t="str">
        <f t="shared" si="85"/>
        <v/>
      </c>
      <c r="CL37" s="452" t="str">
        <f t="shared" si="33"/>
        <v/>
      </c>
      <c r="CM37" s="452" t="str">
        <f t="shared" si="34"/>
        <v/>
      </c>
      <c r="CN37" s="452">
        <f t="shared" si="35"/>
        <v>4.8</v>
      </c>
      <c r="CO37" s="452">
        <f t="shared" si="19"/>
        <v>6</v>
      </c>
      <c r="CP37" s="454">
        <f t="shared" si="36"/>
        <v>4.88</v>
      </c>
      <c r="CQ37" s="527">
        <f>IF(OR(ISNA(VLOOKUP($B37,'TICH LUY'!$B$11:$BY$85,54,0)),$B37=""),"",VLOOKUP($B37,'TICH LUY'!$B$11:$BY$85,54,0))</f>
        <v>5.2</v>
      </c>
      <c r="CR37" s="507">
        <f>IF(OR(ISNA(VLOOKUP($B37,'TICH LUY'!$B$11:$BY$85,55,0)),$B37=""),"",VLOOKUP($B37,'TICH LUY'!$B$11:$BY$85,55,0))</f>
        <v>6.5</v>
      </c>
      <c r="CS37" s="507">
        <f>IF(OR(ISNA(VLOOKUP($B37,'TICH LUY'!$B$11:$BY$85,56,0)),$B37=""),"",VLOOKUP($B37,'TICH LUY'!$B$11:$BY$85,56,0))</f>
        <v>5.6</v>
      </c>
      <c r="CT37" s="507">
        <f>IF(OR(ISNA(VLOOKUP($B37,'TICH LUY'!$B$11:$BY$85,57,0)),$B37=""),"",VLOOKUP($B37,'TICH LUY'!$B$11:$BY$85,57,0))</f>
        <v>6</v>
      </c>
      <c r="CU37" s="507">
        <f>IF(OR(ISNA(VLOOKUP($B37,'TICH LUY'!$B$11:$BY$85,58,0)),$B37=""),"",VLOOKUP($B37,'TICH LUY'!$B$11:$BY$85,58,0))</f>
        <v>5.4</v>
      </c>
      <c r="CV37" s="507">
        <f>IF(OR(ISNA(VLOOKUP($B37,'TICH LUY'!$B$11:$BY$85,59,0)),$B37=""),"",VLOOKUP($B37,'TICH LUY'!$B$11:$BY$85,59,0))</f>
        <v>5</v>
      </c>
      <c r="CW37" s="507">
        <f>IF(OR(ISNA(VLOOKUP($B37,'TICH LUY'!$B$11:$BY$85,60,0)),$B37=""),"",VLOOKUP($B37,'TICH LUY'!$B$11:$BY$85,60,0))</f>
        <v>6.2</v>
      </c>
      <c r="CX37" s="507" t="str">
        <f>IF(OR(ISNA(VLOOKUP($B37,'TICH LUY'!$B$11:$BY$85,61,0)),$B37=""),"",VLOOKUP($B37,'TICH LUY'!$B$11:$BY$85,61,0))</f>
        <v/>
      </c>
      <c r="CY37" s="507" t="str">
        <f>IF(OR(ISNA(VLOOKUP($B37,'TICH LUY'!$B$11:$BY$85,62,0)),$B37=""),"",VLOOKUP($B37,'TICH LUY'!$B$11:$BY$85,62,0))</f>
        <v/>
      </c>
      <c r="CZ37" s="507">
        <f>IF(OR(ISNA(VLOOKUP($B37,'TICH LUY'!$B$11:$BY$85,63,0)),$B37=""),"",VLOOKUP($B37,'TICH LUY'!$B$11:$BY$85,63,0))</f>
        <v>6.1</v>
      </c>
      <c r="DA37" s="507">
        <f>IF(OR(ISNA(VLOOKUP($B37,'TICH LUY'!$B$11:$BY$85,64,0)),$B37=""),"",VLOOKUP($B37,'TICH LUY'!$B$11:$BY$85,64,0))</f>
        <v>5</v>
      </c>
      <c r="DB37" s="507" t="str">
        <f>IF(OR(ISNA(VLOOKUP($B37,'TICH LUY'!$B$11:$BY$85,65,0)),$B37=""),"",VLOOKUP($B37,'TICH LUY'!$B$11:$BY$85,65,0))</f>
        <v/>
      </c>
      <c r="DC37" s="507">
        <f>IF(OR(ISNA(VLOOKUP($B37,'TICH LUY'!$B$11:$BY$85,66,0)),$B37=""),"",VLOOKUP($B37,'TICH LUY'!$B$11:$BY$85,66,0))</f>
        <v>7.3</v>
      </c>
      <c r="DD37" s="507">
        <f>IF(OR(ISNA(VLOOKUP($B37,'TICH LUY'!$B$11:$BY$85,67,0)),$B37=""),"",VLOOKUP($B37,'TICH LUY'!$B$11:$BY$85,67,0))</f>
        <v>5.6</v>
      </c>
      <c r="DE37" s="507">
        <f>IF(OR(ISNA(VLOOKUP($B37,'TICH LUY'!$B$11:$BY$85,68,0)),$B37=""),"",VLOOKUP($B37,'TICH LUY'!$B$11:$BY$85,68,0))</f>
        <v>5.4</v>
      </c>
      <c r="DF37" s="507">
        <f>IF(OR(ISNA(VLOOKUP($B37,'TICH LUY'!$B$11:$BY$85,69,0)),$B37=""),"",VLOOKUP($B37,'TICH LUY'!$B$11:$BY$85,69,0))</f>
        <v>7.1</v>
      </c>
      <c r="DG37" s="507">
        <f>IF(OR(ISNA(VLOOKUP($B37,'TICH LUY'!$B$11:$BY$85,70,0)),$B37=""),"",VLOOKUP($B37,'TICH LUY'!$B$11:$BY$85,70,0))</f>
        <v>5.6</v>
      </c>
      <c r="DH37" s="507">
        <f>IF(OR(ISNA(VLOOKUP($B37,'TICH LUY'!$B$11:$BY$85,71,0)),$B37=""),"",VLOOKUP($B37,'TICH LUY'!$B$11:$BY$85,71,0))</f>
        <v>6.7</v>
      </c>
      <c r="DI37" s="507" t="str">
        <f>IF(OR(ISNA(VLOOKUP($B37,'TICH LUY'!$B$11:$BY$85,72,0)),$B37=""),"",VLOOKUP($B37,'TICH LUY'!$B$11:$BY$85,72,0))</f>
        <v/>
      </c>
      <c r="DJ37" s="507" t="str">
        <f>IF(OR(ISNA(VLOOKUP($B37,'TICH LUY'!$B$11:$BY$85,73,0)),$B37=""),"",VLOOKUP($B37,'TICH LUY'!$B$11:$BY$85,73,0))</f>
        <v/>
      </c>
      <c r="DK37" s="507" t="str">
        <f>IF(OR(ISNA(VLOOKUP($B37,'TICH LUY'!$B$11:$BY$85,74,0)),$B37=""),"",VLOOKUP($B37,'TICH LUY'!$B$11:$BY$85,74,0))</f>
        <v/>
      </c>
      <c r="DL37" s="507">
        <f>IF(OR(ISNA(VLOOKUP($B37,'TICH LUY'!$B$11:$BY$85,75,0)),$B37=""),"",VLOOKUP($B37,'TICH LUY'!$B$11:$BY$85,75,0))</f>
        <v>6.3</v>
      </c>
      <c r="DM37" s="529" t="str">
        <f>IF(OR(ISNA(VLOOKUP($B37,'TICH LUY'!$B$11:$BY$85,76,0)),$B37=""),"",VLOOKUP($B37,'TICH LUY'!$B$11:$BY$85,76,0))</f>
        <v/>
      </c>
      <c r="DN37" s="455">
        <f t="shared" si="37"/>
        <v>4</v>
      </c>
      <c r="DO37" s="456">
        <f t="shared" si="38"/>
        <v>6.2</v>
      </c>
      <c r="DP37" s="456">
        <f t="shared" si="39"/>
        <v>4.5</v>
      </c>
      <c r="DQ37" s="456" t="str">
        <f t="shared" si="40"/>
        <v/>
      </c>
      <c r="DR37" s="456">
        <f t="shared" si="41"/>
        <v>5.3</v>
      </c>
      <c r="DS37" s="456">
        <f t="shared" si="42"/>
        <v>4.8</v>
      </c>
      <c r="DT37" s="456" t="str">
        <f t="shared" si="43"/>
        <v/>
      </c>
      <c r="DU37" s="456" t="str">
        <f t="shared" si="44"/>
        <v/>
      </c>
      <c r="DV37" s="456" t="str">
        <f t="shared" si="45"/>
        <v/>
      </c>
      <c r="DW37" s="456">
        <f t="shared" si="46"/>
        <v>4.8</v>
      </c>
      <c r="DX37" s="456">
        <f t="shared" si="47"/>
        <v>6</v>
      </c>
      <c r="DY37" s="457">
        <f t="shared" si="48"/>
        <v>5.62</v>
      </c>
      <c r="DZ37" s="453" t="str">
        <f t="shared" si="49"/>
        <v/>
      </c>
      <c r="EA37" s="452" t="str">
        <f t="shared" si="50"/>
        <v/>
      </c>
      <c r="EB37" s="452" t="str">
        <f t="shared" si="51"/>
        <v/>
      </c>
      <c r="EC37" s="452" t="str">
        <f t="shared" si="52"/>
        <v/>
      </c>
      <c r="ED37" s="452" t="str">
        <f t="shared" si="53"/>
        <v/>
      </c>
      <c r="EE37" s="452" t="str">
        <f t="shared" si="54"/>
        <v/>
      </c>
      <c r="EF37" s="452" t="str">
        <f t="shared" si="55"/>
        <v/>
      </c>
      <c r="EG37" s="452" t="str">
        <f t="shared" si="56"/>
        <v/>
      </c>
      <c r="EH37" s="452" t="str">
        <f t="shared" si="57"/>
        <v/>
      </c>
      <c r="EI37" s="453">
        <f t="shared" si="58"/>
        <v>4</v>
      </c>
      <c r="EJ37" s="452">
        <f t="shared" si="59"/>
        <v>6.2</v>
      </c>
      <c r="EK37" s="452">
        <f t="shared" si="60"/>
        <v>4.5</v>
      </c>
      <c r="EL37" s="452">
        <f t="shared" si="61"/>
        <v>3</v>
      </c>
      <c r="EM37" s="452">
        <f t="shared" si="62"/>
        <v>5.3</v>
      </c>
      <c r="EN37" s="452">
        <f t="shared" si="63"/>
        <v>4.8</v>
      </c>
      <c r="EO37" s="452" t="str">
        <f t="shared" si="64"/>
        <v/>
      </c>
      <c r="EP37" s="452" t="str">
        <f t="shared" si="65"/>
        <v/>
      </c>
      <c r="EQ37" s="452" t="str">
        <f t="shared" si="66"/>
        <v/>
      </c>
      <c r="ER37" s="452">
        <f t="shared" si="67"/>
        <v>4.8</v>
      </c>
      <c r="ES37" s="452">
        <f t="shared" si="21"/>
        <v>6</v>
      </c>
      <c r="ET37" s="458" t="str">
        <f t="shared" si="68"/>
        <v/>
      </c>
      <c r="EU37" s="527">
        <f>IF(OR(ISNA(VLOOKUP($B37,'TICH LUY'!$B$11:$BY$85,54,0)),$B37=""),"",VLOOKUP($B37,'TICH LUY'!$B$11:$BY$85,54,0))</f>
        <v>5.2</v>
      </c>
      <c r="EV37" s="507">
        <f>IF(OR(ISNA(VLOOKUP($B37,'TICH LUY'!$B$11:$BY$85,55,0)),$B37=""),"",VLOOKUP($B37,'TICH LUY'!$B$11:$BY$85,55,0))</f>
        <v>6.5</v>
      </c>
      <c r="EW37" s="507">
        <f>IF(OR(ISNA(VLOOKUP($B37,'TICH LUY'!$B$11:$BY$85,56,0)),$B37=""),"",VLOOKUP($B37,'TICH LUY'!$B$11:$BY$85,56,0))</f>
        <v>5.6</v>
      </c>
      <c r="EX37" s="507">
        <f>IF(OR(ISNA(VLOOKUP($B37,'TICH LUY'!$B$11:$BY$85,57,0)),$B37=""),"",VLOOKUP($B37,'TICH LUY'!$B$11:$BY$85,57,0))</f>
        <v>6</v>
      </c>
      <c r="EY37" s="507">
        <f>IF(OR(ISNA(VLOOKUP($B37,'TICH LUY'!$B$11:$BY$85,58,0)),$B37=""),"",VLOOKUP($B37,'TICH LUY'!$B$11:$BY$85,58,0))</f>
        <v>5.4</v>
      </c>
      <c r="EZ37" s="507">
        <f>IF(OR(ISNA(VLOOKUP($B37,'TICH LUY'!$B$11:$BY$85,59,0)),$B37=""),"",VLOOKUP($B37,'TICH LUY'!$B$11:$BY$85,59,0))</f>
        <v>5</v>
      </c>
      <c r="FA37" s="507">
        <f>IF(OR(ISNA(VLOOKUP($B37,'TICH LUY'!$B$11:$BY$85,60,0)),$B37=""),"",VLOOKUP($B37,'TICH LUY'!$B$11:$BY$85,60,0))</f>
        <v>6.2</v>
      </c>
      <c r="FB37" s="507" t="str">
        <f>IF(OR(ISNA(VLOOKUP($B37,'TICH LUY'!$B$11:$BY$85,61,0)),$B37=""),"",VLOOKUP($B37,'TICH LUY'!$B$11:$BY$85,61,0))</f>
        <v/>
      </c>
      <c r="FC37" s="507" t="str">
        <f>IF(OR(ISNA(VLOOKUP($B37,'TICH LUY'!$B$11:$BY$85,62,0)),$B37=""),"",VLOOKUP($B37,'TICH LUY'!$B$11:$BY$85,62,0))</f>
        <v/>
      </c>
      <c r="FD37" s="507">
        <f>IF(OR(ISNA(VLOOKUP($B37,'TICH LUY'!$B$11:$BY$85,63,0)),$B37=""),"",VLOOKUP($B37,'TICH LUY'!$B$11:$BY$85,63,0))</f>
        <v>6.1</v>
      </c>
      <c r="FE37" s="507">
        <f>IF(OR(ISNA(VLOOKUP($B37,'TICH LUY'!$B$11:$BY$85,64,0)),$B37=""),"",VLOOKUP($B37,'TICH LUY'!$B$11:$BY$85,64,0))</f>
        <v>5</v>
      </c>
      <c r="FF37" s="507" t="str">
        <f>IF(OR(ISNA(VLOOKUP($B37,'TICH LUY'!$B$11:$BY$85,65,0)),$B37=""),"",VLOOKUP($B37,'TICH LUY'!$B$11:$BY$85,65,0))</f>
        <v/>
      </c>
      <c r="FG37" s="507">
        <f>IF(OR(ISNA(VLOOKUP($B37,'TICH LUY'!$B$11:$BY$85,66,0)),$B37=""),"",VLOOKUP($B37,'TICH LUY'!$B$11:$BY$85,66,0))</f>
        <v>7.3</v>
      </c>
      <c r="FH37" s="507">
        <f>IF(OR(ISNA(VLOOKUP($B37,'TICH LUY'!$B$11:$BY$85,67,0)),$B37=""),"",VLOOKUP($B37,'TICH LUY'!$B$11:$BY$85,67,0))</f>
        <v>5.6</v>
      </c>
      <c r="FI37" s="507">
        <f>IF(OR(ISNA(VLOOKUP($B37,'TICH LUY'!$B$11:$BY$85,68,0)),$B37=""),"",VLOOKUP($B37,'TICH LUY'!$B$11:$BY$85,68,0))</f>
        <v>5.4</v>
      </c>
      <c r="FJ37" s="507">
        <f>IF(OR(ISNA(VLOOKUP($B37,'TICH LUY'!$B$11:$BY$85,69,0)),$B37=""),"",VLOOKUP($B37,'TICH LUY'!$B$11:$BY$85,69,0))</f>
        <v>7.1</v>
      </c>
      <c r="FK37" s="507">
        <f>IF(OR(ISNA(VLOOKUP($B37,'TICH LUY'!$B$11:$BY$85,70,0)),$B37=""),"",VLOOKUP($B37,'TICH LUY'!$B$11:$BY$85,70,0))</f>
        <v>5.6</v>
      </c>
      <c r="FL37" s="507">
        <f>IF(OR(ISNA(VLOOKUP($B37,'TICH LUY'!$B$11:$BY$85,71,0)),$B37=""),"",VLOOKUP($B37,'TICH LUY'!$B$11:$BY$85,71,0))</f>
        <v>6.7</v>
      </c>
      <c r="FM37" s="507" t="str">
        <f>IF(OR(ISNA(VLOOKUP($B37,'TICH LUY'!$B$11:$BY$85,72,0)),$B37=""),"",VLOOKUP($B37,'TICH LUY'!$B$11:$BY$85,72,0))</f>
        <v/>
      </c>
      <c r="FN37" s="507" t="str">
        <f>IF(OR(ISNA(VLOOKUP($B37,'TICH LUY'!$B$11:$BY$85,73,0)),$B37=""),"",VLOOKUP($B37,'TICH LUY'!$B$11:$BY$85,73,0))</f>
        <v/>
      </c>
      <c r="FO37" s="507" t="str">
        <f>IF(OR(ISNA(VLOOKUP($B37,'TICH LUY'!$B$11:$BY$85,74,0)),$B37=""),"",VLOOKUP($B37,'TICH LUY'!$B$11:$BY$85,74,0))</f>
        <v/>
      </c>
      <c r="FP37" s="507">
        <f>IF(OR(ISNA(VLOOKUP($B37,'TICH LUY'!$B$11:$BY$85,75,0)),$B37=""),"",VLOOKUP($B37,'TICH LUY'!$B$11:$BY$85,75,0))</f>
        <v>6.3</v>
      </c>
      <c r="FQ37" s="529" t="str">
        <f>IF(OR(ISNA(VLOOKUP($B37,'TICH LUY'!$B$11:$BY$85,76,0)),$B37=""),"",VLOOKUP($B37,'TICH LUY'!$B$11:$BY$85,76,0))</f>
        <v/>
      </c>
      <c r="FR37" s="455">
        <f t="shared" si="69"/>
        <v>4</v>
      </c>
      <c r="FS37" s="456">
        <f t="shared" si="70"/>
        <v>6.2</v>
      </c>
      <c r="FT37" s="456">
        <f t="shared" si="71"/>
        <v>4.5</v>
      </c>
      <c r="FU37" s="456" t="str">
        <f t="shared" si="72"/>
        <v/>
      </c>
      <c r="FV37" s="456">
        <f t="shared" si="73"/>
        <v>5.3</v>
      </c>
      <c r="FW37" s="456">
        <f t="shared" si="74"/>
        <v>4.8</v>
      </c>
      <c r="FX37" s="456" t="str">
        <f t="shared" si="75"/>
        <v/>
      </c>
      <c r="FY37" s="456" t="str">
        <f t="shared" si="76"/>
        <v/>
      </c>
      <c r="FZ37" s="456" t="str">
        <f t="shared" si="77"/>
        <v/>
      </c>
      <c r="GA37" s="456">
        <f t="shared" si="78"/>
        <v>4.8</v>
      </c>
      <c r="GB37" s="459">
        <f t="shared" si="79"/>
        <v>6</v>
      </c>
      <c r="GC37" s="457">
        <f t="shared" si="23"/>
        <v>5.62</v>
      </c>
    </row>
    <row r="38" spans="1:185" s="221" customFormat="1" ht="15.75">
      <c r="A38" s="449">
        <f>IF(B38="","",SUBTOTAL(3,$B$11:B38))</f>
        <v>28</v>
      </c>
      <c r="B38" s="198" t="s">
        <v>2102</v>
      </c>
      <c r="C38" s="450" t="str">
        <f>IF($B38="","",VLOOKUP($B38,'DS LOP HKI'!$B$2:$F$2642,2,0))</f>
        <v>Nguyễn Khắc</v>
      </c>
      <c r="D38" s="451" t="str">
        <f>IF($B38="","",VLOOKUP($B38,'DS LOP HKI'!$B$2:$F$2642,3,0))</f>
        <v>Thành</v>
      </c>
      <c r="E38" s="154"/>
      <c r="F38" s="152"/>
      <c r="G38" s="156">
        <v>0</v>
      </c>
      <c r="H38" s="181">
        <f>IF(OR($H$6="",$H$7=""),"",IF($B38="","",IF(ISNA(VLOOKUP($B38,'LT01'!$B$11:$R$75,13,FALSE)),"",IF(VLOOKUP($B38,'LT01'!$B$11:$R$75,13,FALSE)="","",VLOOKUP($B38,'LT01'!$B$11:$R$75,13,FALSE)))))</f>
        <v>3.5</v>
      </c>
      <c r="I38" s="182">
        <f>IF(OR($H$6="",$H$7=""),"",IF($B38="","",IF(ISNA(VLOOKUP($B38,'LT01'!$B$11:$R$75,14,FALSE)),"",VLOOKUP($B38,'LT01'!$B$11:$R$75,14,FALSE))))</f>
        <v>4.8</v>
      </c>
      <c r="J38" s="183"/>
      <c r="K38" s="182" t="str">
        <f>IF(OR($H$6="",$H$7=""),"",IF($B38="","",IF(ISNA(VLOOKUP($B38,'LT01'!$B$11:$R$75,17,FALSE)),"",VLOOKUP($B38,'LT01'!$B$11:$R$75,17,FALSE))))</f>
        <v/>
      </c>
      <c r="L38" s="185">
        <f>IF(OR($H$6="",$H$7=""),"",IF($B38="","",IF(ISNA(VLOOKUP($B38,'LT02'!$B$11:$R$75,13,FALSE)),"",IF(VLOOKUP($B38,'LT02'!$B$11:$R$75,13,FALSE)="","",VLOOKUP($B38,'LT02'!$B$11:$R$75,13,FALSE)))))</f>
        <v>6</v>
      </c>
      <c r="M38" s="182">
        <f>IF(OR($H$6="",$H$7=""),"",IF($B38="","",IF(ISNA(VLOOKUP($B38,'LT02'!$B$11:$R$75,14,FALSE)),"",VLOOKUP($B38,'LT02'!$B$11:$R$75,14,FALSE))))</f>
        <v>5.2</v>
      </c>
      <c r="N38" s="183"/>
      <c r="O38" s="182" t="str">
        <f>IF(OR($H$6="",$H$7=""),"",IF($B38="","",IF(ISNA(VLOOKUP($B38,'LT02'!$B$11:$R$75,17,FALSE)),"",VLOOKUP($B38,'LT02'!$B$11:$R$75,17,FALSE))))</f>
        <v/>
      </c>
      <c r="P38" s="185">
        <f>IF(OR($H$6="",$H$7=""),"",IF($B38="","",IF(ISNA(VLOOKUP($B38,'LT03'!$B$11:$R$75,13,FALSE)),"",IF(VLOOKUP($B38,'LT03'!$B$11:$R$75,13,FALSE)="","",VLOOKUP($B38,'LT03'!$B$11:$R$75,13,FALSE)))))</f>
        <v>4.0999999999999996</v>
      </c>
      <c r="Q38" s="182">
        <f>IF(OR($H$6="",$H$7=""),"",IF($B38="","",IF(ISNA(VLOOKUP($B38,'LT03'!$B$11:$R$75,14,FALSE)),"",VLOOKUP($B38,'LT03'!$B$11:$R$75,14,FALSE))))</f>
        <v>5.3</v>
      </c>
      <c r="R38" s="183"/>
      <c r="S38" s="182" t="str">
        <f>IF(OR($H$6="",$H$7=""),"",IF($B38="","",IF(ISNA(VLOOKUP($B38,'LT03'!$B$11:$R$75,17,FALSE)),"",VLOOKUP($B38,'LT03'!$B$11:$R$75,17,FALSE))))</f>
        <v/>
      </c>
      <c r="T38" s="185">
        <f>IF(OR($H$6="",$H$7=""),"",IF($B38="","",IF(ISNA(VLOOKUP($B38,'LT04'!$B$11:$R$75,13,FALSE)),"",IF(VLOOKUP($B38,'LT04'!$B$11:$R$75,13,FALSE)="","",VLOOKUP($B38,'LT04'!$B$11:$R$75,13,FALSE)))))</f>
        <v>0.5</v>
      </c>
      <c r="U38" s="182">
        <f>IF(OR($H$6="",$H$7=""),"",IF($B38="","",IF(ISNA(VLOOKUP($B38,'LT04'!$B$11:$R$75,14,FALSE)),"",VLOOKUP($B38,'LT04'!$B$11:$R$75,14,FALSE))))</f>
        <v>2.1</v>
      </c>
      <c r="V38" s="183"/>
      <c r="W38" s="184" t="str">
        <f>IF(OR($H$6="",$H$7=""),"",IF($B38="","",IF(ISNA(VLOOKUP($B38,'LT04'!$B$11:$R$75,17,FALSE)),"",VLOOKUP($B38,'LT04'!$B$11:$R$75,17,FALSE))))</f>
        <v/>
      </c>
      <c r="X38" s="185">
        <f>IF(OR($H$6="",$H$7=""),"",IF($B38="","",IF(ISNA(VLOOKUP($B38,'LT05'!$B$11:$R$75,13,FALSE)),"",IF(VLOOKUP($B38,'LT05'!$B$11:$R$75,13,FALSE)="","",VLOOKUP($B38,'LT05'!$B$11:$R$75,13,FALSE)))))</f>
        <v>4.3</v>
      </c>
      <c r="Y38" s="182">
        <f>IF(OR($H$6="",$H$7=""),"",IF($B38="","",IF(ISNA(VLOOKUP($B38,'LT05'!$B$11:$R$75,14,FALSE)),"",VLOOKUP($B38,'LT05'!$B$11:$R$75,14,FALSE))))</f>
        <v>3.1</v>
      </c>
      <c r="Z38" s="183"/>
      <c r="AA38" s="182" t="str">
        <f>IF(OR($H$6="",$H$7=""),"",IF($B38="","",IF(ISNA(VLOOKUP($B38,'LT05'!$B$11:$R$75,17,FALSE)),"",VLOOKUP($B38,'LT05'!$B$11:$R$75,17,FALSE))))</f>
        <v/>
      </c>
      <c r="AB38" s="185">
        <f>IF(OR($H$6="",$H$7=""),"",IF($B38="","",IF(ISNA(VLOOKUP($B38,'LT06'!$B$11:$R$75,13,FALSE)),"",IF(VLOOKUP($B38,'LT06'!$B$11:$R$75,13,FALSE)="","",VLOOKUP($B38,'LT06'!$B$11:$R$75,13,FALSE)))))</f>
        <v>1</v>
      </c>
      <c r="AC38" s="182">
        <f>IF(OR($H$6="",$H$7=""),"",IF($B38="","",IF(ISNA(VLOOKUP($B38,'LT06'!$B$11:$R$75,14,FALSE)),"",VLOOKUP($B38,'LT06'!$B$11:$R$75,14,FALSE))))</f>
        <v>3.1</v>
      </c>
      <c r="AD38" s="183"/>
      <c r="AE38" s="182" t="str">
        <f>IF(OR($H$6="",$H$7=""),"",IF($B38="","",IF(ISNA(VLOOKUP($B38,'LT06'!$B$11:$R$75,17,FALSE)),"",VLOOKUP($B38,'LT06'!$B$11:$R$75,17,FALSE))))</f>
        <v/>
      </c>
      <c r="AF38" s="185" t="str">
        <f>IF(OR($H$6="",$H$7=""),"",IF($B38="","",IF(ISNA(VLOOKUP($B38,'LT07'!$B$11:$R$75,13,FALSE)),"",IF(VLOOKUP($B38,'LT07'!$B$11:$R$75,13,FALSE)="","",VLOOKUP($B38,'LT07'!$B$11:$R$75,13,FALSE)))))</f>
        <v/>
      </c>
      <c r="AG38" s="182" t="str">
        <f>IF(OR($H$6="",$H$7=""),"",IF($B38="","",IF(ISNA(VLOOKUP($B38,'LT07'!$B$11:$R$75,14,FALSE)),"",VLOOKUP($B38,'LT07'!$B$11:$R$75,14,FALSE))))</f>
        <v/>
      </c>
      <c r="AH38" s="183"/>
      <c r="AI38" s="182" t="str">
        <f>IF(OR($H$6="",$H$7=""),"",IF($B38="","",IF(ISNA(VLOOKUP($B38,'LT07'!$B$11:$R$75,17,FALSE)),"",VLOOKUP($B38,'LT07'!$B$11:$R$75,17,FALSE))))</f>
        <v/>
      </c>
      <c r="AJ38" s="185" t="str">
        <f>IF(OR($H$6="",$H$7=""),"",IF($B38="","",IF(ISNA(VLOOKUP($B38,'LT08'!$B$11:$R$75,13,FALSE)),"",IF(VLOOKUP($B38,'LT08'!$B$11:$R$75,13,FALSE)="","",VLOOKUP($B38,'LT08'!$B$11:$R$75,13,FALSE)))))</f>
        <v/>
      </c>
      <c r="AK38" s="182" t="str">
        <f>IF(OR($H$6="",$H$7=""),"",IF($B38="","",IF(ISNA(VLOOKUP($B38,'LT08'!$B$11:$R$75,14,FALSE)),"",VLOOKUP($B38,'LT08'!$B$11:$R$75,14,FALSE))))</f>
        <v/>
      </c>
      <c r="AL38" s="183"/>
      <c r="AM38" s="182" t="str">
        <f>IF(OR($H$6="",$H$7=""),"",IF($B38="","",IF(ISNA(VLOOKUP($B38,'LT08'!$B$11:$R$75,17,FALSE)),"",VLOOKUP($B38,'LT08'!$B$11:$R$75,17,FALSE))))</f>
        <v/>
      </c>
      <c r="AN38" s="185" t="str">
        <f>IF(OR($H$6="",$H$7=""),"",IF($B38="","",IF(ISNA(VLOOKUP($B38,'LT09'!$B$11:$R$75,13,FALSE)),"",IF(VLOOKUP($B38,'LT09'!$B$11:$R$75,13,FALSE)="","",VLOOKUP($B38,'LT09'!$B$11:$R$75,13,FALSE)))))</f>
        <v/>
      </c>
      <c r="AO38" s="182" t="str">
        <f>IF(OR($H$6="",$H$7=""),"",IF($B38="","",IF(ISNA(VLOOKUP($B38,'LT09'!$B$11:$R$75,14,FALSE)),"",VLOOKUP($B38,'LT09'!$B$11:$R$75,14,FALSE))))</f>
        <v/>
      </c>
      <c r="AP38" s="183"/>
      <c r="AQ38" s="182" t="str">
        <f>IF(OR($H$6="",$H$7=""),"",IF($B38="","",IF(ISNA(VLOOKUP($B38,'LT09'!$B$11:$R$75,17,FALSE)),"",VLOOKUP($B38,'LT09'!$B$11:$R$75,17,FALSE))))</f>
        <v/>
      </c>
      <c r="AR38" s="186"/>
      <c r="AS38" s="182">
        <f>IF(OR($H$6="",$H$7=""),"",IF($B38="","",IF(ISNA(VLOOKUP($B38,'TH01'!$B$11:$R$75,14,FALSE)),"",VLOOKUP($B38,'TH01'!$B$11:$R$75,14,FALSE))))</f>
        <v>6.3</v>
      </c>
      <c r="AT38" s="183"/>
      <c r="AU38" s="187"/>
      <c r="AV38" s="186"/>
      <c r="AW38" s="182">
        <f>IF(OR($H$6="",$H$7=""),"",IF($B38="","",IF(ISNA(VLOOKUP($B38,'TH02'!$B$11:$R$75,14,FALSE)),"",VLOOKUP($B38,'TH02'!$B$11:$R$75,14,FALSE))))</f>
        <v>6.5</v>
      </c>
      <c r="AX38" s="183"/>
      <c r="AY38" s="187"/>
      <c r="AZ38" s="54">
        <f t="shared" si="24"/>
        <v>4.63</v>
      </c>
      <c r="BA38" s="54" t="str">
        <f t="shared" si="0"/>
        <v/>
      </c>
      <c r="BB38" s="70">
        <v>50</v>
      </c>
      <c r="BC38" s="52" t="str">
        <f t="shared" si="25"/>
        <v>TBY</v>
      </c>
      <c r="BD38" s="52" t="str">
        <f t="shared" si="26"/>
        <v/>
      </c>
      <c r="BE38" s="52" t="str">
        <f t="shared" si="1"/>
        <v/>
      </c>
      <c r="BF38" s="149" t="str">
        <f t="shared" si="2"/>
        <v/>
      </c>
      <c r="BG38" s="52">
        <f t="shared" si="3"/>
        <v>12</v>
      </c>
      <c r="BH38" s="52">
        <f t="shared" si="27"/>
        <v>6</v>
      </c>
      <c r="BI38" s="52">
        <f t="shared" si="4"/>
        <v>12</v>
      </c>
      <c r="BJ38" s="52">
        <f t="shared" si="5"/>
        <v>6</v>
      </c>
      <c r="BK38" s="54">
        <f t="shared" si="6"/>
        <v>5.74</v>
      </c>
      <c r="BL38" s="54" t="str">
        <f t="shared" si="7"/>
        <v>BT</v>
      </c>
      <c r="BM38" s="54">
        <f t="shared" si="8"/>
        <v>5.74</v>
      </c>
      <c r="BN38" s="54" t="str">
        <f t="shared" si="9"/>
        <v>BT</v>
      </c>
      <c r="BO38" s="70"/>
      <c r="BP38" s="52">
        <f>IF(ISNA(VLOOKUP(B38,'TICH LUY'!B:D,2,0)),"",VLOOKUP(B38,'TICH LUY'!B:D,2,0)+BI38)</f>
        <v>51</v>
      </c>
      <c r="BQ38" s="52">
        <f>IF(ISNA(VLOOKUP(B38,'TICH LUY'!B:D,3,0)),"",VLOOKUP(B38,'TICH LUY'!B:D,3,0)+BJ38)</f>
        <v>6</v>
      </c>
      <c r="BR38" s="40">
        <f t="shared" si="10"/>
        <v>5</v>
      </c>
      <c r="BS38" s="452">
        <f t="shared" si="11"/>
        <v>3.5</v>
      </c>
      <c r="BT38" s="452">
        <f t="shared" si="12"/>
        <v>6</v>
      </c>
      <c r="BU38" s="452">
        <f t="shared" si="13"/>
        <v>4.0999999999999996</v>
      </c>
      <c r="BV38" s="452">
        <f t="shared" si="14"/>
        <v>0.5</v>
      </c>
      <c r="BW38" s="452">
        <f t="shared" si="15"/>
        <v>4.3</v>
      </c>
      <c r="BX38" s="452">
        <f t="shared" si="16"/>
        <v>1</v>
      </c>
      <c r="BY38" s="452" t="str">
        <f t="shared" si="17"/>
        <v/>
      </c>
      <c r="BZ38" s="452" t="str">
        <f t="shared" si="28"/>
        <v/>
      </c>
      <c r="CA38" s="452" t="str">
        <f t="shared" si="29"/>
        <v/>
      </c>
      <c r="CB38" s="452">
        <f t="shared" si="30"/>
        <v>6.3</v>
      </c>
      <c r="CC38" s="452">
        <f t="shared" si="18"/>
        <v>6.5</v>
      </c>
      <c r="CD38" s="40">
        <f t="shared" si="31"/>
        <v>3</v>
      </c>
      <c r="CE38" s="453">
        <f t="shared" si="80"/>
        <v>4.8</v>
      </c>
      <c r="CF38" s="452">
        <f t="shared" si="32"/>
        <v>5.2</v>
      </c>
      <c r="CG38" s="452">
        <f t="shared" si="81"/>
        <v>5.3</v>
      </c>
      <c r="CH38" s="452">
        <f t="shared" si="82"/>
        <v>2.1</v>
      </c>
      <c r="CI38" s="452">
        <f t="shared" si="83"/>
        <v>3.1</v>
      </c>
      <c r="CJ38" s="452">
        <f t="shared" si="84"/>
        <v>3.1</v>
      </c>
      <c r="CK38" s="452" t="str">
        <f t="shared" si="85"/>
        <v/>
      </c>
      <c r="CL38" s="452" t="str">
        <f t="shared" si="33"/>
        <v/>
      </c>
      <c r="CM38" s="452" t="str">
        <f t="shared" si="34"/>
        <v/>
      </c>
      <c r="CN38" s="452">
        <f t="shared" si="35"/>
        <v>6.3</v>
      </c>
      <c r="CO38" s="452">
        <f t="shared" si="19"/>
        <v>6.5</v>
      </c>
      <c r="CP38" s="454">
        <f t="shared" si="36"/>
        <v>4.63</v>
      </c>
      <c r="CQ38" s="527">
        <f>IF(OR(ISNA(VLOOKUP($B38,'TICH LUY'!$B$11:$BY$85,54,0)),$B38=""),"",VLOOKUP($B38,'TICH LUY'!$B$11:$BY$85,54,0))</f>
        <v>5.3</v>
      </c>
      <c r="CR38" s="507">
        <f>IF(OR(ISNA(VLOOKUP($B38,'TICH LUY'!$B$11:$BY$85,55,0)),$B38=""),"",VLOOKUP($B38,'TICH LUY'!$B$11:$BY$85,55,0))</f>
        <v>7</v>
      </c>
      <c r="CS38" s="507">
        <f>IF(OR(ISNA(VLOOKUP($B38,'TICH LUY'!$B$11:$BY$85,56,0)),$B38=""),"",VLOOKUP($B38,'TICH LUY'!$B$11:$BY$85,56,0))</f>
        <v>5</v>
      </c>
      <c r="CT38" s="507">
        <f>IF(OR(ISNA(VLOOKUP($B38,'TICH LUY'!$B$11:$BY$85,57,0)),$B38=""),"",VLOOKUP($B38,'TICH LUY'!$B$11:$BY$85,57,0))</f>
        <v>5.6</v>
      </c>
      <c r="CU38" s="507">
        <f>IF(OR(ISNA(VLOOKUP($B38,'TICH LUY'!$B$11:$BY$85,58,0)),$B38=""),"",VLOOKUP($B38,'TICH LUY'!$B$11:$BY$85,58,0))</f>
        <v>5.6</v>
      </c>
      <c r="CV38" s="507">
        <f>IF(OR(ISNA(VLOOKUP($B38,'TICH LUY'!$B$11:$BY$85,59,0)),$B38=""),"",VLOOKUP($B38,'TICH LUY'!$B$11:$BY$85,59,0))</f>
        <v>6</v>
      </c>
      <c r="CW38" s="507">
        <f>IF(OR(ISNA(VLOOKUP($B38,'TICH LUY'!$B$11:$BY$85,60,0)),$B38=""),"",VLOOKUP($B38,'TICH LUY'!$B$11:$BY$85,60,0))</f>
        <v>6.6</v>
      </c>
      <c r="CX38" s="507" t="str">
        <f>IF(OR(ISNA(VLOOKUP($B38,'TICH LUY'!$B$11:$BY$85,61,0)),$B38=""),"",VLOOKUP($B38,'TICH LUY'!$B$11:$BY$85,61,0))</f>
        <v/>
      </c>
      <c r="CY38" s="507" t="str">
        <f>IF(OR(ISNA(VLOOKUP($B38,'TICH LUY'!$B$11:$BY$85,62,0)),$B38=""),"",VLOOKUP($B38,'TICH LUY'!$B$11:$BY$85,62,0))</f>
        <v/>
      </c>
      <c r="CZ38" s="507">
        <f>IF(OR(ISNA(VLOOKUP($B38,'TICH LUY'!$B$11:$BY$85,63,0)),$B38=""),"",VLOOKUP($B38,'TICH LUY'!$B$11:$BY$85,63,0))</f>
        <v>5.7</v>
      </c>
      <c r="DA38" s="507">
        <f>IF(OR(ISNA(VLOOKUP($B38,'TICH LUY'!$B$11:$BY$85,64,0)),$B38=""),"",VLOOKUP($B38,'TICH LUY'!$B$11:$BY$85,64,0))</f>
        <v>4.7</v>
      </c>
      <c r="DB38" s="507" t="str">
        <f>IF(OR(ISNA(VLOOKUP($B38,'TICH LUY'!$B$11:$BY$85,65,0)),$B38=""),"",VLOOKUP($B38,'TICH LUY'!$B$11:$BY$85,65,0))</f>
        <v/>
      </c>
      <c r="DC38" s="507">
        <f>IF(OR(ISNA(VLOOKUP($B38,'TICH LUY'!$B$11:$BY$85,66,0)),$B38=""),"",VLOOKUP($B38,'TICH LUY'!$B$11:$BY$85,66,0))</f>
        <v>6.5</v>
      </c>
      <c r="DD38" s="507">
        <f>IF(OR(ISNA(VLOOKUP($B38,'TICH LUY'!$B$11:$BY$85,67,0)),$B38=""),"",VLOOKUP($B38,'TICH LUY'!$B$11:$BY$85,67,0))</f>
        <v>5.8</v>
      </c>
      <c r="DE38" s="507">
        <f>IF(OR(ISNA(VLOOKUP($B38,'TICH LUY'!$B$11:$BY$85,68,0)),$B38=""),"",VLOOKUP($B38,'TICH LUY'!$B$11:$BY$85,68,0))</f>
        <v>6.5</v>
      </c>
      <c r="DF38" s="507">
        <f>IF(OR(ISNA(VLOOKUP($B38,'TICH LUY'!$B$11:$BY$85,69,0)),$B38=""),"",VLOOKUP($B38,'TICH LUY'!$B$11:$BY$85,69,0))</f>
        <v>5.7</v>
      </c>
      <c r="DG38" s="507">
        <f>IF(OR(ISNA(VLOOKUP($B38,'TICH LUY'!$B$11:$BY$85,70,0)),$B38=""),"",VLOOKUP($B38,'TICH LUY'!$B$11:$BY$85,70,0))</f>
        <v>5.0999999999999996</v>
      </c>
      <c r="DH38" s="507">
        <f>IF(OR(ISNA(VLOOKUP($B38,'TICH LUY'!$B$11:$BY$85,71,0)),$B38=""),"",VLOOKUP($B38,'TICH LUY'!$B$11:$BY$85,71,0))</f>
        <v>5.9</v>
      </c>
      <c r="DI38" s="507" t="str">
        <f>IF(OR(ISNA(VLOOKUP($B38,'TICH LUY'!$B$11:$BY$85,72,0)),$B38=""),"",VLOOKUP($B38,'TICH LUY'!$B$11:$BY$85,72,0))</f>
        <v/>
      </c>
      <c r="DJ38" s="507" t="str">
        <f>IF(OR(ISNA(VLOOKUP($B38,'TICH LUY'!$B$11:$BY$85,73,0)),$B38=""),"",VLOOKUP($B38,'TICH LUY'!$B$11:$BY$85,73,0))</f>
        <v/>
      </c>
      <c r="DK38" s="507" t="str">
        <f>IF(OR(ISNA(VLOOKUP($B38,'TICH LUY'!$B$11:$BY$85,74,0)),$B38=""),"",VLOOKUP($B38,'TICH LUY'!$B$11:$BY$85,74,0))</f>
        <v/>
      </c>
      <c r="DL38" s="507">
        <f>IF(OR(ISNA(VLOOKUP($B38,'TICH LUY'!$B$11:$BY$85,75,0)),$B38=""),"",VLOOKUP($B38,'TICH LUY'!$B$11:$BY$85,75,0))</f>
        <v>5.6</v>
      </c>
      <c r="DM38" s="529" t="str">
        <f>IF(OR(ISNA(VLOOKUP($B38,'TICH LUY'!$B$11:$BY$85,76,0)),$B38=""),"",VLOOKUP($B38,'TICH LUY'!$B$11:$BY$85,76,0))</f>
        <v/>
      </c>
      <c r="DN38" s="455">
        <f t="shared" si="37"/>
        <v>4.8</v>
      </c>
      <c r="DO38" s="456">
        <f t="shared" si="38"/>
        <v>5.2</v>
      </c>
      <c r="DP38" s="456">
        <f t="shared" si="39"/>
        <v>5.3</v>
      </c>
      <c r="DQ38" s="456" t="str">
        <f t="shared" si="40"/>
        <v/>
      </c>
      <c r="DR38" s="456" t="str">
        <f t="shared" si="41"/>
        <v/>
      </c>
      <c r="DS38" s="456" t="str">
        <f t="shared" si="42"/>
        <v/>
      </c>
      <c r="DT38" s="456" t="str">
        <f t="shared" si="43"/>
        <v/>
      </c>
      <c r="DU38" s="456" t="str">
        <f t="shared" si="44"/>
        <v/>
      </c>
      <c r="DV38" s="456" t="str">
        <f t="shared" si="45"/>
        <v/>
      </c>
      <c r="DW38" s="456">
        <f t="shared" si="46"/>
        <v>6.3</v>
      </c>
      <c r="DX38" s="456">
        <f t="shared" si="47"/>
        <v>6.5</v>
      </c>
      <c r="DY38" s="457">
        <f t="shared" si="48"/>
        <v>5.74</v>
      </c>
      <c r="DZ38" s="453" t="str">
        <f t="shared" si="49"/>
        <v/>
      </c>
      <c r="EA38" s="452" t="str">
        <f t="shared" si="50"/>
        <v/>
      </c>
      <c r="EB38" s="452" t="str">
        <f t="shared" si="51"/>
        <v/>
      </c>
      <c r="EC38" s="452" t="str">
        <f t="shared" si="52"/>
        <v/>
      </c>
      <c r="ED38" s="452" t="str">
        <f t="shared" si="53"/>
        <v/>
      </c>
      <c r="EE38" s="452" t="str">
        <f t="shared" si="54"/>
        <v/>
      </c>
      <c r="EF38" s="452" t="str">
        <f t="shared" si="55"/>
        <v/>
      </c>
      <c r="EG38" s="452" t="str">
        <f t="shared" si="56"/>
        <v/>
      </c>
      <c r="EH38" s="452" t="str">
        <f t="shared" si="57"/>
        <v/>
      </c>
      <c r="EI38" s="453">
        <f t="shared" si="58"/>
        <v>4.8</v>
      </c>
      <c r="EJ38" s="452">
        <f t="shared" si="59"/>
        <v>5.2</v>
      </c>
      <c r="EK38" s="452">
        <f t="shared" si="60"/>
        <v>5.3</v>
      </c>
      <c r="EL38" s="452">
        <f t="shared" si="61"/>
        <v>2.1</v>
      </c>
      <c r="EM38" s="452">
        <f t="shared" si="62"/>
        <v>3.1</v>
      </c>
      <c r="EN38" s="452">
        <f t="shared" si="63"/>
        <v>3.1</v>
      </c>
      <c r="EO38" s="452" t="str">
        <f t="shared" si="64"/>
        <v/>
      </c>
      <c r="EP38" s="452" t="str">
        <f t="shared" si="65"/>
        <v/>
      </c>
      <c r="EQ38" s="452" t="str">
        <f t="shared" si="66"/>
        <v/>
      </c>
      <c r="ER38" s="452">
        <f t="shared" si="67"/>
        <v>6.3</v>
      </c>
      <c r="ES38" s="452">
        <f t="shared" si="21"/>
        <v>6.5</v>
      </c>
      <c r="ET38" s="458" t="str">
        <f t="shared" si="68"/>
        <v/>
      </c>
      <c r="EU38" s="527">
        <f>IF(OR(ISNA(VLOOKUP($B38,'TICH LUY'!$B$11:$BY$85,54,0)),$B38=""),"",VLOOKUP($B38,'TICH LUY'!$B$11:$BY$85,54,0))</f>
        <v>5.3</v>
      </c>
      <c r="EV38" s="507">
        <f>IF(OR(ISNA(VLOOKUP($B38,'TICH LUY'!$B$11:$BY$85,55,0)),$B38=""),"",VLOOKUP($B38,'TICH LUY'!$B$11:$BY$85,55,0))</f>
        <v>7</v>
      </c>
      <c r="EW38" s="507">
        <f>IF(OR(ISNA(VLOOKUP($B38,'TICH LUY'!$B$11:$BY$85,56,0)),$B38=""),"",VLOOKUP($B38,'TICH LUY'!$B$11:$BY$85,56,0))</f>
        <v>5</v>
      </c>
      <c r="EX38" s="507">
        <f>IF(OR(ISNA(VLOOKUP($B38,'TICH LUY'!$B$11:$BY$85,57,0)),$B38=""),"",VLOOKUP($B38,'TICH LUY'!$B$11:$BY$85,57,0))</f>
        <v>5.6</v>
      </c>
      <c r="EY38" s="507">
        <f>IF(OR(ISNA(VLOOKUP($B38,'TICH LUY'!$B$11:$BY$85,58,0)),$B38=""),"",VLOOKUP($B38,'TICH LUY'!$B$11:$BY$85,58,0))</f>
        <v>5.6</v>
      </c>
      <c r="EZ38" s="507">
        <f>IF(OR(ISNA(VLOOKUP($B38,'TICH LUY'!$B$11:$BY$85,59,0)),$B38=""),"",VLOOKUP($B38,'TICH LUY'!$B$11:$BY$85,59,0))</f>
        <v>6</v>
      </c>
      <c r="FA38" s="507">
        <f>IF(OR(ISNA(VLOOKUP($B38,'TICH LUY'!$B$11:$BY$85,60,0)),$B38=""),"",VLOOKUP($B38,'TICH LUY'!$B$11:$BY$85,60,0))</f>
        <v>6.6</v>
      </c>
      <c r="FB38" s="507" t="str">
        <f>IF(OR(ISNA(VLOOKUP($B38,'TICH LUY'!$B$11:$BY$85,61,0)),$B38=""),"",VLOOKUP($B38,'TICH LUY'!$B$11:$BY$85,61,0))</f>
        <v/>
      </c>
      <c r="FC38" s="507" t="str">
        <f>IF(OR(ISNA(VLOOKUP($B38,'TICH LUY'!$B$11:$BY$85,62,0)),$B38=""),"",VLOOKUP($B38,'TICH LUY'!$B$11:$BY$85,62,0))</f>
        <v/>
      </c>
      <c r="FD38" s="507">
        <f>IF(OR(ISNA(VLOOKUP($B38,'TICH LUY'!$B$11:$BY$85,63,0)),$B38=""),"",VLOOKUP($B38,'TICH LUY'!$B$11:$BY$85,63,0))</f>
        <v>5.7</v>
      </c>
      <c r="FE38" s="507">
        <f>IF(OR(ISNA(VLOOKUP($B38,'TICH LUY'!$B$11:$BY$85,64,0)),$B38=""),"",VLOOKUP($B38,'TICH LUY'!$B$11:$BY$85,64,0))</f>
        <v>4.7</v>
      </c>
      <c r="FF38" s="507" t="str">
        <f>IF(OR(ISNA(VLOOKUP($B38,'TICH LUY'!$B$11:$BY$85,65,0)),$B38=""),"",VLOOKUP($B38,'TICH LUY'!$B$11:$BY$85,65,0))</f>
        <v/>
      </c>
      <c r="FG38" s="507">
        <f>IF(OR(ISNA(VLOOKUP($B38,'TICH LUY'!$B$11:$BY$85,66,0)),$B38=""),"",VLOOKUP($B38,'TICH LUY'!$B$11:$BY$85,66,0))</f>
        <v>6.5</v>
      </c>
      <c r="FH38" s="507">
        <f>IF(OR(ISNA(VLOOKUP($B38,'TICH LUY'!$B$11:$BY$85,67,0)),$B38=""),"",VLOOKUP($B38,'TICH LUY'!$B$11:$BY$85,67,0))</f>
        <v>5.8</v>
      </c>
      <c r="FI38" s="507">
        <f>IF(OR(ISNA(VLOOKUP($B38,'TICH LUY'!$B$11:$BY$85,68,0)),$B38=""),"",VLOOKUP($B38,'TICH LUY'!$B$11:$BY$85,68,0))</f>
        <v>6.5</v>
      </c>
      <c r="FJ38" s="507">
        <f>IF(OR(ISNA(VLOOKUP($B38,'TICH LUY'!$B$11:$BY$85,69,0)),$B38=""),"",VLOOKUP($B38,'TICH LUY'!$B$11:$BY$85,69,0))</f>
        <v>5.7</v>
      </c>
      <c r="FK38" s="507">
        <f>IF(OR(ISNA(VLOOKUP($B38,'TICH LUY'!$B$11:$BY$85,70,0)),$B38=""),"",VLOOKUP($B38,'TICH LUY'!$B$11:$BY$85,70,0))</f>
        <v>5.0999999999999996</v>
      </c>
      <c r="FL38" s="507">
        <f>IF(OR(ISNA(VLOOKUP($B38,'TICH LUY'!$B$11:$BY$85,71,0)),$B38=""),"",VLOOKUP($B38,'TICH LUY'!$B$11:$BY$85,71,0))</f>
        <v>5.9</v>
      </c>
      <c r="FM38" s="507" t="str">
        <f>IF(OR(ISNA(VLOOKUP($B38,'TICH LUY'!$B$11:$BY$85,72,0)),$B38=""),"",VLOOKUP($B38,'TICH LUY'!$B$11:$BY$85,72,0))</f>
        <v/>
      </c>
      <c r="FN38" s="507" t="str">
        <f>IF(OR(ISNA(VLOOKUP($B38,'TICH LUY'!$B$11:$BY$85,73,0)),$B38=""),"",VLOOKUP($B38,'TICH LUY'!$B$11:$BY$85,73,0))</f>
        <v/>
      </c>
      <c r="FO38" s="507" t="str">
        <f>IF(OR(ISNA(VLOOKUP($B38,'TICH LUY'!$B$11:$BY$85,74,0)),$B38=""),"",VLOOKUP($B38,'TICH LUY'!$B$11:$BY$85,74,0))</f>
        <v/>
      </c>
      <c r="FP38" s="507">
        <f>IF(OR(ISNA(VLOOKUP($B38,'TICH LUY'!$B$11:$BY$85,75,0)),$B38=""),"",VLOOKUP($B38,'TICH LUY'!$B$11:$BY$85,75,0))</f>
        <v>5.6</v>
      </c>
      <c r="FQ38" s="529" t="str">
        <f>IF(OR(ISNA(VLOOKUP($B38,'TICH LUY'!$B$11:$BY$85,76,0)),$B38=""),"",VLOOKUP($B38,'TICH LUY'!$B$11:$BY$85,76,0))</f>
        <v/>
      </c>
      <c r="FR38" s="455">
        <f t="shared" si="69"/>
        <v>4.8</v>
      </c>
      <c r="FS38" s="456">
        <f t="shared" si="70"/>
        <v>5.2</v>
      </c>
      <c r="FT38" s="456">
        <f t="shared" si="71"/>
        <v>5.3</v>
      </c>
      <c r="FU38" s="456" t="str">
        <f t="shared" si="72"/>
        <v/>
      </c>
      <c r="FV38" s="456" t="str">
        <f t="shared" si="73"/>
        <v/>
      </c>
      <c r="FW38" s="456" t="str">
        <f t="shared" si="74"/>
        <v/>
      </c>
      <c r="FX38" s="456" t="str">
        <f t="shared" si="75"/>
        <v/>
      </c>
      <c r="FY38" s="456" t="str">
        <f t="shared" si="76"/>
        <v/>
      </c>
      <c r="FZ38" s="456" t="str">
        <f t="shared" si="77"/>
        <v/>
      </c>
      <c r="GA38" s="456">
        <f t="shared" si="78"/>
        <v>6.3</v>
      </c>
      <c r="GB38" s="459">
        <f t="shared" si="79"/>
        <v>6.5</v>
      </c>
      <c r="GC38" s="457">
        <f t="shared" si="23"/>
        <v>5.74</v>
      </c>
    </row>
    <row r="39" spans="1:185" s="221" customFormat="1" ht="15.75">
      <c r="A39" s="449">
        <f>IF(B39="","",SUBTOTAL(3,$B$11:B39))</f>
        <v>29</v>
      </c>
      <c r="B39" s="198" t="s">
        <v>2105</v>
      </c>
      <c r="C39" s="450" t="str">
        <f>IF($B39="","",VLOOKUP($B39,'DS LOP HKI'!$B$2:$F$2642,2,0))</f>
        <v>Trần Minh</v>
      </c>
      <c r="D39" s="451" t="str">
        <f>IF($B39="","",VLOOKUP($B39,'DS LOP HKI'!$B$2:$F$2642,3,0))</f>
        <v>Thanh</v>
      </c>
      <c r="E39" s="154"/>
      <c r="F39" s="152"/>
      <c r="G39" s="156">
        <v>0</v>
      </c>
      <c r="H39" s="181">
        <f>IF(OR($H$6="",$H$7=""),"",IF($B39="","",IF(ISNA(VLOOKUP($B39,'LT01'!$B$11:$R$75,13,FALSE)),"",IF(VLOOKUP($B39,'LT01'!$B$11:$R$75,13,FALSE)="","",VLOOKUP($B39,'LT01'!$B$11:$R$75,13,FALSE)))))</f>
        <v>3.6</v>
      </c>
      <c r="I39" s="182">
        <f>IF(OR($H$6="",$H$7=""),"",IF($B39="","",IF(ISNA(VLOOKUP($B39,'LT01'!$B$11:$R$75,14,FALSE)),"",VLOOKUP($B39,'LT01'!$B$11:$R$75,14,FALSE))))</f>
        <v>4.8</v>
      </c>
      <c r="J39" s="183"/>
      <c r="K39" s="182" t="str">
        <f>IF(OR($H$6="",$H$7=""),"",IF($B39="","",IF(ISNA(VLOOKUP($B39,'LT01'!$B$11:$R$75,17,FALSE)),"",VLOOKUP($B39,'LT01'!$B$11:$R$75,17,FALSE))))</f>
        <v/>
      </c>
      <c r="L39" s="185">
        <f>IF(OR($H$6="",$H$7=""),"",IF($B39="","",IF(ISNA(VLOOKUP($B39,'LT02'!$B$11:$R$75,13,FALSE)),"",IF(VLOOKUP($B39,'LT02'!$B$11:$R$75,13,FALSE)="","",VLOOKUP($B39,'LT02'!$B$11:$R$75,13,FALSE)))))</f>
        <v>6.8</v>
      </c>
      <c r="M39" s="182">
        <f>IF(OR($H$6="",$H$7=""),"",IF($B39="","",IF(ISNA(VLOOKUP($B39,'LT02'!$B$11:$R$75,14,FALSE)),"",VLOOKUP($B39,'LT02'!$B$11:$R$75,14,FALSE))))</f>
        <v>7.4</v>
      </c>
      <c r="N39" s="183"/>
      <c r="O39" s="182" t="str">
        <f>IF(OR($H$6="",$H$7=""),"",IF($B39="","",IF(ISNA(VLOOKUP($B39,'LT02'!$B$11:$R$75,17,FALSE)),"",VLOOKUP($B39,'LT02'!$B$11:$R$75,17,FALSE))))</f>
        <v/>
      </c>
      <c r="P39" s="185">
        <f>IF(OR($H$6="",$H$7=""),"",IF($B39="","",IF(ISNA(VLOOKUP($B39,'LT03'!$B$11:$R$75,13,FALSE)),"",IF(VLOOKUP($B39,'LT03'!$B$11:$R$75,13,FALSE)="","",VLOOKUP($B39,'LT03'!$B$11:$R$75,13,FALSE)))))</f>
        <v>7.1</v>
      </c>
      <c r="Q39" s="182">
        <f>IF(OR($H$6="",$H$7=""),"",IF($B39="","",IF(ISNA(VLOOKUP($B39,'LT03'!$B$11:$R$75,14,FALSE)),"",VLOOKUP($B39,'LT03'!$B$11:$R$75,14,FALSE))))</f>
        <v>6.5</v>
      </c>
      <c r="R39" s="183"/>
      <c r="S39" s="182" t="str">
        <f>IF(OR($H$6="",$H$7=""),"",IF($B39="","",IF(ISNA(VLOOKUP($B39,'LT03'!$B$11:$R$75,17,FALSE)),"",VLOOKUP($B39,'LT03'!$B$11:$R$75,17,FALSE))))</f>
        <v/>
      </c>
      <c r="T39" s="185">
        <f>IF(OR($H$6="",$H$7=""),"",IF($B39="","",IF(ISNA(VLOOKUP($B39,'LT04'!$B$11:$R$75,13,FALSE)),"",IF(VLOOKUP($B39,'LT04'!$B$11:$R$75,13,FALSE)="","",VLOOKUP($B39,'LT04'!$B$11:$R$75,13,FALSE)))))</f>
        <v>7.8</v>
      </c>
      <c r="U39" s="182">
        <f>IF(OR($H$6="",$H$7=""),"",IF($B39="","",IF(ISNA(VLOOKUP($B39,'LT04'!$B$11:$R$75,14,FALSE)),"",VLOOKUP($B39,'LT04'!$B$11:$R$75,14,FALSE))))</f>
        <v>7.7</v>
      </c>
      <c r="V39" s="183"/>
      <c r="W39" s="184" t="str">
        <f>IF(OR($H$6="",$H$7=""),"",IF($B39="","",IF(ISNA(VLOOKUP($B39,'LT04'!$B$11:$R$75,17,FALSE)),"",VLOOKUP($B39,'LT04'!$B$11:$R$75,17,FALSE))))</f>
        <v/>
      </c>
      <c r="X39" s="185">
        <f>IF(OR($H$6="",$H$7=""),"",IF($B39="","",IF(ISNA(VLOOKUP($B39,'LT05'!$B$11:$R$75,13,FALSE)),"",IF(VLOOKUP($B39,'LT05'!$B$11:$R$75,13,FALSE)="","",VLOOKUP($B39,'LT05'!$B$11:$R$75,13,FALSE)))))</f>
        <v>8</v>
      </c>
      <c r="Y39" s="182">
        <f>IF(OR($H$6="",$H$7=""),"",IF($B39="","",IF(ISNA(VLOOKUP($B39,'LT05'!$B$11:$R$75,14,FALSE)),"",VLOOKUP($B39,'LT05'!$B$11:$R$75,14,FALSE))))</f>
        <v>6.5</v>
      </c>
      <c r="Z39" s="183"/>
      <c r="AA39" s="182" t="str">
        <f>IF(OR($H$6="",$H$7=""),"",IF($B39="","",IF(ISNA(VLOOKUP($B39,'LT05'!$B$11:$R$75,17,FALSE)),"",VLOOKUP($B39,'LT05'!$B$11:$R$75,17,FALSE))))</f>
        <v/>
      </c>
      <c r="AB39" s="185">
        <f>IF(OR($H$6="",$H$7=""),"",IF($B39="","",IF(ISNA(VLOOKUP($B39,'LT06'!$B$11:$R$75,13,FALSE)),"",IF(VLOOKUP($B39,'LT06'!$B$11:$R$75,13,FALSE)="","",VLOOKUP($B39,'LT06'!$B$11:$R$75,13,FALSE)))))</f>
        <v>7</v>
      </c>
      <c r="AC39" s="182">
        <f>IF(OR($H$6="",$H$7=""),"",IF($B39="","",IF(ISNA(VLOOKUP($B39,'LT06'!$B$11:$R$75,14,FALSE)),"",VLOOKUP($B39,'LT06'!$B$11:$R$75,14,FALSE))))</f>
        <v>7.4</v>
      </c>
      <c r="AD39" s="183"/>
      <c r="AE39" s="182" t="str">
        <f>IF(OR($H$6="",$H$7=""),"",IF($B39="","",IF(ISNA(VLOOKUP($B39,'LT06'!$B$11:$R$75,17,FALSE)),"",VLOOKUP($B39,'LT06'!$B$11:$R$75,17,FALSE))))</f>
        <v/>
      </c>
      <c r="AF39" s="185" t="str">
        <f>IF(OR($H$6="",$H$7=""),"",IF($B39="","",IF(ISNA(VLOOKUP($B39,'LT07'!$B$11:$R$75,13,FALSE)),"",IF(VLOOKUP($B39,'LT07'!$B$11:$R$75,13,FALSE)="","",VLOOKUP($B39,'LT07'!$B$11:$R$75,13,FALSE)))))</f>
        <v/>
      </c>
      <c r="AG39" s="182" t="str">
        <f>IF(OR($H$6="",$H$7=""),"",IF($B39="","",IF(ISNA(VLOOKUP($B39,'LT07'!$B$11:$R$75,14,FALSE)),"",VLOOKUP($B39,'LT07'!$B$11:$R$75,14,FALSE))))</f>
        <v/>
      </c>
      <c r="AH39" s="183"/>
      <c r="AI39" s="182" t="str">
        <f>IF(OR($H$6="",$H$7=""),"",IF($B39="","",IF(ISNA(VLOOKUP($B39,'LT07'!$B$11:$R$75,17,FALSE)),"",VLOOKUP($B39,'LT07'!$B$11:$R$75,17,FALSE))))</f>
        <v/>
      </c>
      <c r="AJ39" s="185" t="str">
        <f>IF(OR($H$6="",$H$7=""),"",IF($B39="","",IF(ISNA(VLOOKUP($B39,'LT08'!$B$11:$R$75,13,FALSE)),"",IF(VLOOKUP($B39,'LT08'!$B$11:$R$75,13,FALSE)="","",VLOOKUP($B39,'LT08'!$B$11:$R$75,13,FALSE)))))</f>
        <v/>
      </c>
      <c r="AK39" s="182" t="str">
        <f>IF(OR($H$6="",$H$7=""),"",IF($B39="","",IF(ISNA(VLOOKUP($B39,'LT08'!$B$11:$R$75,14,FALSE)),"",VLOOKUP($B39,'LT08'!$B$11:$R$75,14,FALSE))))</f>
        <v/>
      </c>
      <c r="AL39" s="183"/>
      <c r="AM39" s="182" t="str">
        <f>IF(OR($H$6="",$H$7=""),"",IF($B39="","",IF(ISNA(VLOOKUP($B39,'LT08'!$B$11:$R$75,17,FALSE)),"",VLOOKUP($B39,'LT08'!$B$11:$R$75,17,FALSE))))</f>
        <v/>
      </c>
      <c r="AN39" s="185" t="str">
        <f>IF(OR($H$6="",$H$7=""),"",IF($B39="","",IF(ISNA(VLOOKUP($B39,'LT09'!$B$11:$R$75,13,FALSE)),"",IF(VLOOKUP($B39,'LT09'!$B$11:$R$75,13,FALSE)="","",VLOOKUP($B39,'LT09'!$B$11:$R$75,13,FALSE)))))</f>
        <v/>
      </c>
      <c r="AO39" s="182" t="str">
        <f>IF(OR($H$6="",$H$7=""),"",IF($B39="","",IF(ISNA(VLOOKUP($B39,'LT09'!$B$11:$R$75,14,FALSE)),"",VLOOKUP($B39,'LT09'!$B$11:$R$75,14,FALSE))))</f>
        <v/>
      </c>
      <c r="AP39" s="183"/>
      <c r="AQ39" s="182" t="str">
        <f>IF(OR($H$6="",$H$7=""),"",IF($B39="","",IF(ISNA(VLOOKUP($B39,'LT09'!$B$11:$R$75,17,FALSE)),"",VLOOKUP($B39,'LT09'!$B$11:$R$75,17,FALSE))))</f>
        <v/>
      </c>
      <c r="AR39" s="186"/>
      <c r="AS39" s="182">
        <f>IF(OR($H$6="",$H$7=""),"",IF($B39="","",IF(ISNA(VLOOKUP($B39,'TH01'!$B$11:$R$75,14,FALSE)),"",VLOOKUP($B39,'TH01'!$B$11:$R$75,14,FALSE))))</f>
        <v>6.5</v>
      </c>
      <c r="AT39" s="183"/>
      <c r="AU39" s="187"/>
      <c r="AV39" s="186"/>
      <c r="AW39" s="182">
        <f>IF(OR($H$6="",$H$7=""),"",IF($B39="","",IF(ISNA(VLOOKUP($B39,'TH02'!$B$11:$R$75,14,FALSE)),"",VLOOKUP($B39,'TH02'!$B$11:$R$75,14,FALSE))))</f>
        <v>9</v>
      </c>
      <c r="AX39" s="183"/>
      <c r="AY39" s="187"/>
      <c r="AZ39" s="54">
        <f t="shared" si="24"/>
        <v>6.97</v>
      </c>
      <c r="BA39" s="54" t="str">
        <f t="shared" si="0"/>
        <v/>
      </c>
      <c r="BB39" s="70">
        <v>62</v>
      </c>
      <c r="BC39" s="52" t="str">
        <f t="shared" si="25"/>
        <v>TB</v>
      </c>
      <c r="BD39" s="52" t="str">
        <f t="shared" si="26"/>
        <v/>
      </c>
      <c r="BE39" s="52" t="str">
        <f t="shared" si="1"/>
        <v/>
      </c>
      <c r="BF39" s="149" t="str">
        <f t="shared" si="2"/>
        <v/>
      </c>
      <c r="BG39" s="52">
        <f t="shared" si="3"/>
        <v>18</v>
      </c>
      <c r="BH39" s="52">
        <f t="shared" si="27"/>
        <v>0</v>
      </c>
      <c r="BI39" s="52">
        <f t="shared" si="4"/>
        <v>18</v>
      </c>
      <c r="BJ39" s="52">
        <f t="shared" si="5"/>
        <v>0</v>
      </c>
      <c r="BK39" s="54">
        <f t="shared" si="6"/>
        <v>7.43</v>
      </c>
      <c r="BL39" s="54" t="str">
        <f t="shared" si="7"/>
        <v>BT</v>
      </c>
      <c r="BM39" s="54">
        <f t="shared" si="8"/>
        <v>7.43</v>
      </c>
      <c r="BN39" s="54" t="str">
        <f t="shared" si="9"/>
        <v>BT</v>
      </c>
      <c r="BO39" s="70"/>
      <c r="BP39" s="52">
        <f>IF(ISNA(VLOOKUP(B39,'TICH LUY'!B:D,2,0)),"",VLOOKUP(B39,'TICH LUY'!B:D,2,0)+BI39)</f>
        <v>57</v>
      </c>
      <c r="BQ39" s="52">
        <f>IF(ISNA(VLOOKUP(B39,'TICH LUY'!B:D,3,0)),"",VLOOKUP(B39,'TICH LUY'!B:D,3,0)+BJ39)</f>
        <v>0</v>
      </c>
      <c r="BR39" s="40">
        <f t="shared" si="10"/>
        <v>1</v>
      </c>
      <c r="BS39" s="452">
        <f t="shared" si="11"/>
        <v>3.6</v>
      </c>
      <c r="BT39" s="452">
        <f t="shared" si="12"/>
        <v>6.8</v>
      </c>
      <c r="BU39" s="452">
        <f t="shared" si="13"/>
        <v>7.1</v>
      </c>
      <c r="BV39" s="452">
        <f t="shared" si="14"/>
        <v>7.8</v>
      </c>
      <c r="BW39" s="452">
        <f t="shared" si="15"/>
        <v>8</v>
      </c>
      <c r="BX39" s="452">
        <f t="shared" si="16"/>
        <v>7</v>
      </c>
      <c r="BY39" s="452" t="str">
        <f t="shared" si="17"/>
        <v/>
      </c>
      <c r="BZ39" s="452" t="str">
        <f t="shared" si="28"/>
        <v/>
      </c>
      <c r="CA39" s="452" t="str">
        <f t="shared" si="29"/>
        <v/>
      </c>
      <c r="CB39" s="452">
        <f t="shared" si="30"/>
        <v>6.5</v>
      </c>
      <c r="CC39" s="452">
        <f t="shared" si="18"/>
        <v>9</v>
      </c>
      <c r="CD39" s="40">
        <f t="shared" si="31"/>
        <v>0</v>
      </c>
      <c r="CE39" s="453">
        <f t="shared" si="80"/>
        <v>4.8</v>
      </c>
      <c r="CF39" s="452">
        <f t="shared" si="32"/>
        <v>7.4</v>
      </c>
      <c r="CG39" s="452">
        <f t="shared" si="81"/>
        <v>6.5</v>
      </c>
      <c r="CH39" s="452">
        <f t="shared" si="82"/>
        <v>7.7</v>
      </c>
      <c r="CI39" s="452">
        <f t="shared" si="83"/>
        <v>6.5</v>
      </c>
      <c r="CJ39" s="452">
        <f t="shared" si="84"/>
        <v>7.4</v>
      </c>
      <c r="CK39" s="452" t="str">
        <f t="shared" si="85"/>
        <v/>
      </c>
      <c r="CL39" s="452" t="str">
        <f t="shared" si="33"/>
        <v/>
      </c>
      <c r="CM39" s="452" t="str">
        <f t="shared" si="34"/>
        <v/>
      </c>
      <c r="CN39" s="452">
        <f t="shared" si="35"/>
        <v>6.5</v>
      </c>
      <c r="CO39" s="452">
        <f t="shared" si="19"/>
        <v>9</v>
      </c>
      <c r="CP39" s="454">
        <f t="shared" si="36"/>
        <v>6.97</v>
      </c>
      <c r="CQ39" s="527">
        <f>IF(OR(ISNA(VLOOKUP($B39,'TICH LUY'!$B$11:$BY$85,54,0)),$B39=""),"",VLOOKUP($B39,'TICH LUY'!$B$11:$BY$85,54,0))</f>
        <v>8.6999999999999993</v>
      </c>
      <c r="CR39" s="507">
        <f>IF(OR(ISNA(VLOOKUP($B39,'TICH LUY'!$B$11:$BY$85,55,0)),$B39=""),"",VLOOKUP($B39,'TICH LUY'!$B$11:$BY$85,55,0))</f>
        <v>7.9</v>
      </c>
      <c r="CS39" s="507">
        <f>IF(OR(ISNA(VLOOKUP($B39,'TICH LUY'!$B$11:$BY$85,56,0)),$B39=""),"",VLOOKUP($B39,'TICH LUY'!$B$11:$BY$85,56,0))</f>
        <v>7</v>
      </c>
      <c r="CT39" s="507">
        <f>IF(OR(ISNA(VLOOKUP($B39,'TICH LUY'!$B$11:$BY$85,57,0)),$B39=""),"",VLOOKUP($B39,'TICH LUY'!$B$11:$BY$85,57,0))</f>
        <v>7.3</v>
      </c>
      <c r="CU39" s="507">
        <f>IF(OR(ISNA(VLOOKUP($B39,'TICH LUY'!$B$11:$BY$85,58,0)),$B39=""),"",VLOOKUP($B39,'TICH LUY'!$B$11:$BY$85,58,0))</f>
        <v>6.6</v>
      </c>
      <c r="CV39" s="507">
        <f>IF(OR(ISNA(VLOOKUP($B39,'TICH LUY'!$B$11:$BY$85,59,0)),$B39=""),"",VLOOKUP($B39,'TICH LUY'!$B$11:$BY$85,59,0))</f>
        <v>7.4</v>
      </c>
      <c r="CW39" s="507">
        <f>IF(OR(ISNA(VLOOKUP($B39,'TICH LUY'!$B$11:$BY$85,60,0)),$B39=""),"",VLOOKUP($B39,'TICH LUY'!$B$11:$BY$85,60,0))</f>
        <v>9.1</v>
      </c>
      <c r="CX39" s="507" t="str">
        <f>IF(OR(ISNA(VLOOKUP($B39,'TICH LUY'!$B$11:$BY$85,61,0)),$B39=""),"",VLOOKUP($B39,'TICH LUY'!$B$11:$BY$85,61,0))</f>
        <v/>
      </c>
      <c r="CY39" s="507" t="str">
        <f>IF(OR(ISNA(VLOOKUP($B39,'TICH LUY'!$B$11:$BY$85,62,0)),$B39=""),"",VLOOKUP($B39,'TICH LUY'!$B$11:$BY$85,62,0))</f>
        <v/>
      </c>
      <c r="CZ39" s="507">
        <f>IF(OR(ISNA(VLOOKUP($B39,'TICH LUY'!$B$11:$BY$85,63,0)),$B39=""),"",VLOOKUP($B39,'TICH LUY'!$B$11:$BY$85,63,0))</f>
        <v>7.8</v>
      </c>
      <c r="DA39" s="507">
        <f>IF(OR(ISNA(VLOOKUP($B39,'TICH LUY'!$B$11:$BY$85,64,0)),$B39=""),"",VLOOKUP($B39,'TICH LUY'!$B$11:$BY$85,64,0))</f>
        <v>4.7</v>
      </c>
      <c r="DB39" s="507" t="str">
        <f>IF(OR(ISNA(VLOOKUP($B39,'TICH LUY'!$B$11:$BY$85,65,0)),$B39=""),"",VLOOKUP($B39,'TICH LUY'!$B$11:$BY$85,65,0))</f>
        <v/>
      </c>
      <c r="DC39" s="507">
        <f>IF(OR(ISNA(VLOOKUP($B39,'TICH LUY'!$B$11:$BY$85,66,0)),$B39=""),"",VLOOKUP($B39,'TICH LUY'!$B$11:$BY$85,66,0))</f>
        <v>8.6999999999999993</v>
      </c>
      <c r="DD39" s="507">
        <f>IF(OR(ISNA(VLOOKUP($B39,'TICH LUY'!$B$11:$BY$85,67,0)),$B39=""),"",VLOOKUP($B39,'TICH LUY'!$B$11:$BY$85,67,0))</f>
        <v>8.1</v>
      </c>
      <c r="DE39" s="507">
        <f>IF(OR(ISNA(VLOOKUP($B39,'TICH LUY'!$B$11:$BY$85,68,0)),$B39=""),"",VLOOKUP($B39,'TICH LUY'!$B$11:$BY$85,68,0))</f>
        <v>8.1</v>
      </c>
      <c r="DF39" s="507">
        <f>IF(OR(ISNA(VLOOKUP($B39,'TICH LUY'!$B$11:$BY$85,69,0)),$B39=""),"",VLOOKUP($B39,'TICH LUY'!$B$11:$BY$85,69,0))</f>
        <v>8.5</v>
      </c>
      <c r="DG39" s="507">
        <f>IF(OR(ISNA(VLOOKUP($B39,'TICH LUY'!$B$11:$BY$85,70,0)),$B39=""),"",VLOOKUP($B39,'TICH LUY'!$B$11:$BY$85,70,0))</f>
        <v>8.6</v>
      </c>
      <c r="DH39" s="507">
        <f>IF(OR(ISNA(VLOOKUP($B39,'TICH LUY'!$B$11:$BY$85,71,0)),$B39=""),"",VLOOKUP($B39,'TICH LUY'!$B$11:$BY$85,71,0))</f>
        <v>7.2</v>
      </c>
      <c r="DI39" s="507" t="str">
        <f>IF(OR(ISNA(VLOOKUP($B39,'TICH LUY'!$B$11:$BY$85,72,0)),$B39=""),"",VLOOKUP($B39,'TICH LUY'!$B$11:$BY$85,72,0))</f>
        <v/>
      </c>
      <c r="DJ39" s="507" t="str">
        <f>IF(OR(ISNA(VLOOKUP($B39,'TICH LUY'!$B$11:$BY$85,73,0)),$B39=""),"",VLOOKUP($B39,'TICH LUY'!$B$11:$BY$85,73,0))</f>
        <v/>
      </c>
      <c r="DK39" s="507" t="str">
        <f>IF(OR(ISNA(VLOOKUP($B39,'TICH LUY'!$B$11:$BY$85,74,0)),$B39=""),"",VLOOKUP($B39,'TICH LUY'!$B$11:$BY$85,74,0))</f>
        <v/>
      </c>
      <c r="DL39" s="507">
        <f>IF(OR(ISNA(VLOOKUP($B39,'TICH LUY'!$B$11:$BY$85,75,0)),$B39=""),"",VLOOKUP($B39,'TICH LUY'!$B$11:$BY$85,75,0))</f>
        <v>8.3000000000000007</v>
      </c>
      <c r="DM39" s="529" t="str">
        <f>IF(OR(ISNA(VLOOKUP($B39,'TICH LUY'!$B$11:$BY$85,76,0)),$B39=""),"",VLOOKUP($B39,'TICH LUY'!$B$11:$BY$85,76,0))</f>
        <v/>
      </c>
      <c r="DN39" s="455">
        <f t="shared" si="37"/>
        <v>4.8</v>
      </c>
      <c r="DO39" s="456">
        <f t="shared" si="38"/>
        <v>7.4</v>
      </c>
      <c r="DP39" s="456">
        <f t="shared" si="39"/>
        <v>6.5</v>
      </c>
      <c r="DQ39" s="456">
        <f t="shared" si="40"/>
        <v>7.7</v>
      </c>
      <c r="DR39" s="456">
        <f t="shared" si="41"/>
        <v>6.5</v>
      </c>
      <c r="DS39" s="456">
        <f t="shared" si="42"/>
        <v>7.4</v>
      </c>
      <c r="DT39" s="456" t="str">
        <f t="shared" si="43"/>
        <v/>
      </c>
      <c r="DU39" s="456" t="str">
        <f t="shared" si="44"/>
        <v/>
      </c>
      <c r="DV39" s="456" t="str">
        <f t="shared" si="45"/>
        <v/>
      </c>
      <c r="DW39" s="456">
        <f t="shared" si="46"/>
        <v>6.5</v>
      </c>
      <c r="DX39" s="456">
        <f t="shared" si="47"/>
        <v>9</v>
      </c>
      <c r="DY39" s="457">
        <f t="shared" si="48"/>
        <v>7.43</v>
      </c>
      <c r="DZ39" s="453" t="str">
        <f t="shared" si="49"/>
        <v/>
      </c>
      <c r="EA39" s="452" t="str">
        <f t="shared" si="50"/>
        <v/>
      </c>
      <c r="EB39" s="452" t="str">
        <f t="shared" si="51"/>
        <v/>
      </c>
      <c r="EC39" s="452" t="str">
        <f t="shared" si="52"/>
        <v/>
      </c>
      <c r="ED39" s="452" t="str">
        <f t="shared" si="53"/>
        <v/>
      </c>
      <c r="EE39" s="452" t="str">
        <f t="shared" si="54"/>
        <v/>
      </c>
      <c r="EF39" s="452" t="str">
        <f t="shared" si="55"/>
        <v/>
      </c>
      <c r="EG39" s="452" t="str">
        <f t="shared" si="56"/>
        <v/>
      </c>
      <c r="EH39" s="452" t="str">
        <f t="shared" si="57"/>
        <v/>
      </c>
      <c r="EI39" s="453">
        <f t="shared" si="58"/>
        <v>4.8</v>
      </c>
      <c r="EJ39" s="452">
        <f t="shared" si="59"/>
        <v>7.4</v>
      </c>
      <c r="EK39" s="452">
        <f t="shared" si="60"/>
        <v>6.5</v>
      </c>
      <c r="EL39" s="452">
        <f t="shared" si="61"/>
        <v>7.7</v>
      </c>
      <c r="EM39" s="452">
        <f t="shared" si="62"/>
        <v>6.5</v>
      </c>
      <c r="EN39" s="452">
        <f t="shared" si="63"/>
        <v>7.4</v>
      </c>
      <c r="EO39" s="452" t="str">
        <f t="shared" si="64"/>
        <v/>
      </c>
      <c r="EP39" s="452" t="str">
        <f t="shared" si="65"/>
        <v/>
      </c>
      <c r="EQ39" s="452" t="str">
        <f t="shared" si="66"/>
        <v/>
      </c>
      <c r="ER39" s="452">
        <f t="shared" si="67"/>
        <v>6.5</v>
      </c>
      <c r="ES39" s="452">
        <f t="shared" si="21"/>
        <v>9</v>
      </c>
      <c r="ET39" s="458" t="str">
        <f t="shared" si="68"/>
        <v/>
      </c>
      <c r="EU39" s="527">
        <f>IF(OR(ISNA(VLOOKUP($B39,'TICH LUY'!$B$11:$BY$85,54,0)),$B39=""),"",VLOOKUP($B39,'TICH LUY'!$B$11:$BY$85,54,0))</f>
        <v>8.6999999999999993</v>
      </c>
      <c r="EV39" s="507">
        <f>IF(OR(ISNA(VLOOKUP($B39,'TICH LUY'!$B$11:$BY$85,55,0)),$B39=""),"",VLOOKUP($B39,'TICH LUY'!$B$11:$BY$85,55,0))</f>
        <v>7.9</v>
      </c>
      <c r="EW39" s="507">
        <f>IF(OR(ISNA(VLOOKUP($B39,'TICH LUY'!$B$11:$BY$85,56,0)),$B39=""),"",VLOOKUP($B39,'TICH LUY'!$B$11:$BY$85,56,0))</f>
        <v>7</v>
      </c>
      <c r="EX39" s="507">
        <f>IF(OR(ISNA(VLOOKUP($B39,'TICH LUY'!$B$11:$BY$85,57,0)),$B39=""),"",VLOOKUP($B39,'TICH LUY'!$B$11:$BY$85,57,0))</f>
        <v>7.3</v>
      </c>
      <c r="EY39" s="507">
        <f>IF(OR(ISNA(VLOOKUP($B39,'TICH LUY'!$B$11:$BY$85,58,0)),$B39=""),"",VLOOKUP($B39,'TICH LUY'!$B$11:$BY$85,58,0))</f>
        <v>6.6</v>
      </c>
      <c r="EZ39" s="507">
        <f>IF(OR(ISNA(VLOOKUP($B39,'TICH LUY'!$B$11:$BY$85,59,0)),$B39=""),"",VLOOKUP($B39,'TICH LUY'!$B$11:$BY$85,59,0))</f>
        <v>7.4</v>
      </c>
      <c r="FA39" s="507">
        <f>IF(OR(ISNA(VLOOKUP($B39,'TICH LUY'!$B$11:$BY$85,60,0)),$B39=""),"",VLOOKUP($B39,'TICH LUY'!$B$11:$BY$85,60,0))</f>
        <v>9.1</v>
      </c>
      <c r="FB39" s="507" t="str">
        <f>IF(OR(ISNA(VLOOKUP($B39,'TICH LUY'!$B$11:$BY$85,61,0)),$B39=""),"",VLOOKUP($B39,'TICH LUY'!$B$11:$BY$85,61,0))</f>
        <v/>
      </c>
      <c r="FC39" s="507" t="str">
        <f>IF(OR(ISNA(VLOOKUP($B39,'TICH LUY'!$B$11:$BY$85,62,0)),$B39=""),"",VLOOKUP($B39,'TICH LUY'!$B$11:$BY$85,62,0))</f>
        <v/>
      </c>
      <c r="FD39" s="507">
        <f>IF(OR(ISNA(VLOOKUP($B39,'TICH LUY'!$B$11:$BY$85,63,0)),$B39=""),"",VLOOKUP($B39,'TICH LUY'!$B$11:$BY$85,63,0))</f>
        <v>7.8</v>
      </c>
      <c r="FE39" s="507">
        <f>IF(OR(ISNA(VLOOKUP($B39,'TICH LUY'!$B$11:$BY$85,64,0)),$B39=""),"",VLOOKUP($B39,'TICH LUY'!$B$11:$BY$85,64,0))</f>
        <v>4.7</v>
      </c>
      <c r="FF39" s="507" t="str">
        <f>IF(OR(ISNA(VLOOKUP($B39,'TICH LUY'!$B$11:$BY$85,65,0)),$B39=""),"",VLOOKUP($B39,'TICH LUY'!$B$11:$BY$85,65,0))</f>
        <v/>
      </c>
      <c r="FG39" s="507">
        <f>IF(OR(ISNA(VLOOKUP($B39,'TICH LUY'!$B$11:$BY$85,66,0)),$B39=""),"",VLOOKUP($B39,'TICH LUY'!$B$11:$BY$85,66,0))</f>
        <v>8.6999999999999993</v>
      </c>
      <c r="FH39" s="507">
        <f>IF(OR(ISNA(VLOOKUP($B39,'TICH LUY'!$B$11:$BY$85,67,0)),$B39=""),"",VLOOKUP($B39,'TICH LUY'!$B$11:$BY$85,67,0))</f>
        <v>8.1</v>
      </c>
      <c r="FI39" s="507">
        <f>IF(OR(ISNA(VLOOKUP($B39,'TICH LUY'!$B$11:$BY$85,68,0)),$B39=""),"",VLOOKUP($B39,'TICH LUY'!$B$11:$BY$85,68,0))</f>
        <v>8.1</v>
      </c>
      <c r="FJ39" s="507">
        <f>IF(OR(ISNA(VLOOKUP($B39,'TICH LUY'!$B$11:$BY$85,69,0)),$B39=""),"",VLOOKUP($B39,'TICH LUY'!$B$11:$BY$85,69,0))</f>
        <v>8.5</v>
      </c>
      <c r="FK39" s="507">
        <f>IF(OR(ISNA(VLOOKUP($B39,'TICH LUY'!$B$11:$BY$85,70,0)),$B39=""),"",VLOOKUP($B39,'TICH LUY'!$B$11:$BY$85,70,0))</f>
        <v>8.6</v>
      </c>
      <c r="FL39" s="507">
        <f>IF(OR(ISNA(VLOOKUP($B39,'TICH LUY'!$B$11:$BY$85,71,0)),$B39=""),"",VLOOKUP($B39,'TICH LUY'!$B$11:$BY$85,71,0))</f>
        <v>7.2</v>
      </c>
      <c r="FM39" s="507" t="str">
        <f>IF(OR(ISNA(VLOOKUP($B39,'TICH LUY'!$B$11:$BY$85,72,0)),$B39=""),"",VLOOKUP($B39,'TICH LUY'!$B$11:$BY$85,72,0))</f>
        <v/>
      </c>
      <c r="FN39" s="507" t="str">
        <f>IF(OR(ISNA(VLOOKUP($B39,'TICH LUY'!$B$11:$BY$85,73,0)),$B39=""),"",VLOOKUP($B39,'TICH LUY'!$B$11:$BY$85,73,0))</f>
        <v/>
      </c>
      <c r="FO39" s="507" t="str">
        <f>IF(OR(ISNA(VLOOKUP($B39,'TICH LUY'!$B$11:$BY$85,74,0)),$B39=""),"",VLOOKUP($B39,'TICH LUY'!$B$11:$BY$85,74,0))</f>
        <v/>
      </c>
      <c r="FP39" s="507">
        <f>IF(OR(ISNA(VLOOKUP($B39,'TICH LUY'!$B$11:$BY$85,75,0)),$B39=""),"",VLOOKUP($B39,'TICH LUY'!$B$11:$BY$85,75,0))</f>
        <v>8.3000000000000007</v>
      </c>
      <c r="FQ39" s="529" t="str">
        <f>IF(OR(ISNA(VLOOKUP($B39,'TICH LUY'!$B$11:$BY$85,76,0)),$B39=""),"",VLOOKUP($B39,'TICH LUY'!$B$11:$BY$85,76,0))</f>
        <v/>
      </c>
      <c r="FR39" s="455">
        <f t="shared" si="69"/>
        <v>4.8</v>
      </c>
      <c r="FS39" s="456">
        <f t="shared" si="70"/>
        <v>7.4</v>
      </c>
      <c r="FT39" s="456">
        <f t="shared" si="71"/>
        <v>6.5</v>
      </c>
      <c r="FU39" s="456">
        <f t="shared" si="72"/>
        <v>7.7</v>
      </c>
      <c r="FV39" s="456">
        <f t="shared" si="73"/>
        <v>6.5</v>
      </c>
      <c r="FW39" s="456">
        <f t="shared" si="74"/>
        <v>7.4</v>
      </c>
      <c r="FX39" s="456" t="str">
        <f t="shared" si="75"/>
        <v/>
      </c>
      <c r="FY39" s="456" t="str">
        <f t="shared" si="76"/>
        <v/>
      </c>
      <c r="FZ39" s="456" t="str">
        <f t="shared" si="77"/>
        <v/>
      </c>
      <c r="GA39" s="456">
        <f t="shared" si="78"/>
        <v>6.5</v>
      </c>
      <c r="GB39" s="459">
        <f t="shared" si="79"/>
        <v>9</v>
      </c>
      <c r="GC39" s="457">
        <f t="shared" si="23"/>
        <v>7.43</v>
      </c>
    </row>
    <row r="40" spans="1:185" s="221" customFormat="1" ht="15.75">
      <c r="A40" s="449">
        <f>IF(B40="","",SUBTOTAL(3,$B$11:B40))</f>
        <v>30</v>
      </c>
      <c r="B40" s="198" t="s">
        <v>2106</v>
      </c>
      <c r="C40" s="450" t="str">
        <f>IF($B40="","",VLOOKUP($B40,'DS LOP HKI'!$B$2:$F$2642,2,0))</f>
        <v>Nguyễn Thanh</v>
      </c>
      <c r="D40" s="451" t="str">
        <f>IF($B40="","",VLOOKUP($B40,'DS LOP HKI'!$B$2:$F$2642,3,0))</f>
        <v>Thảo</v>
      </c>
      <c r="E40" s="154"/>
      <c r="F40" s="152"/>
      <c r="G40" s="156">
        <v>2</v>
      </c>
      <c r="H40" s="181">
        <f>IF(OR($H$6="",$H$7=""),"",IF($B40="","",IF(ISNA(VLOOKUP($B40,'LT01'!$B$11:$R$75,13,FALSE)),"",IF(VLOOKUP($B40,'LT01'!$B$11:$R$75,13,FALSE)="","",VLOOKUP($B40,'LT01'!$B$11:$R$75,13,FALSE)))))</f>
        <v>3.4</v>
      </c>
      <c r="I40" s="182">
        <f>IF(OR($H$6="",$H$7=""),"",IF($B40="","",IF(ISNA(VLOOKUP($B40,'LT01'!$B$11:$R$75,14,FALSE)),"",VLOOKUP($B40,'LT01'!$B$11:$R$75,14,FALSE))))</f>
        <v>4.4000000000000004</v>
      </c>
      <c r="J40" s="183"/>
      <c r="K40" s="182" t="str">
        <f>IF(OR($H$6="",$H$7=""),"",IF($B40="","",IF(ISNA(VLOOKUP($B40,'LT01'!$B$11:$R$75,17,FALSE)),"",VLOOKUP($B40,'LT01'!$B$11:$R$75,17,FALSE))))</f>
        <v/>
      </c>
      <c r="L40" s="185">
        <f>IF(OR($H$6="",$H$7=""),"",IF($B40="","",IF(ISNA(VLOOKUP($B40,'LT02'!$B$11:$R$75,13,FALSE)),"",IF(VLOOKUP($B40,'LT02'!$B$11:$R$75,13,FALSE)="","",VLOOKUP($B40,'LT02'!$B$11:$R$75,13,FALSE)))))</f>
        <v>7.3</v>
      </c>
      <c r="M40" s="182">
        <f>IF(OR($H$6="",$H$7=""),"",IF($B40="","",IF(ISNA(VLOOKUP($B40,'LT02'!$B$11:$R$75,14,FALSE)),"",VLOOKUP($B40,'LT02'!$B$11:$R$75,14,FALSE))))</f>
        <v>6.2</v>
      </c>
      <c r="N40" s="183"/>
      <c r="O40" s="182" t="str">
        <f>IF(OR($H$6="",$H$7=""),"",IF($B40="","",IF(ISNA(VLOOKUP($B40,'LT02'!$B$11:$R$75,17,FALSE)),"",VLOOKUP($B40,'LT02'!$B$11:$R$75,17,FALSE))))</f>
        <v/>
      </c>
      <c r="P40" s="185">
        <f>IF(OR($H$6="",$H$7=""),"",IF($B40="","",IF(ISNA(VLOOKUP($B40,'LT03'!$B$11:$R$75,13,FALSE)),"",IF(VLOOKUP($B40,'LT03'!$B$11:$R$75,13,FALSE)="","",VLOOKUP($B40,'LT03'!$B$11:$R$75,13,FALSE)))))</f>
        <v>3.4</v>
      </c>
      <c r="Q40" s="182">
        <f>IF(OR($H$6="",$H$7=""),"",IF($B40="","",IF(ISNA(VLOOKUP($B40,'LT03'!$B$11:$R$75,14,FALSE)),"",VLOOKUP($B40,'LT03'!$B$11:$R$75,14,FALSE))))</f>
        <v>4</v>
      </c>
      <c r="R40" s="183"/>
      <c r="S40" s="182" t="str">
        <f>IF(OR($H$6="",$H$7=""),"",IF($B40="","",IF(ISNA(VLOOKUP($B40,'LT03'!$B$11:$R$75,17,FALSE)),"",VLOOKUP($B40,'LT03'!$B$11:$R$75,17,FALSE))))</f>
        <v/>
      </c>
      <c r="T40" s="185">
        <f>IF(OR($H$6="",$H$7=""),"",IF($B40="","",IF(ISNA(VLOOKUP($B40,'LT04'!$B$11:$R$75,13,FALSE)),"",IF(VLOOKUP($B40,'LT04'!$B$11:$R$75,13,FALSE)="","",VLOOKUP($B40,'LT04'!$B$11:$R$75,13,FALSE)))))</f>
        <v>2</v>
      </c>
      <c r="U40" s="182">
        <f>IF(OR($H$6="",$H$7=""),"",IF($B40="","",IF(ISNA(VLOOKUP($B40,'LT04'!$B$11:$R$75,14,FALSE)),"",VLOOKUP($B40,'LT04'!$B$11:$R$75,14,FALSE))))</f>
        <v>2.4</v>
      </c>
      <c r="V40" s="183"/>
      <c r="W40" s="184" t="str">
        <f>IF(OR($H$6="",$H$7=""),"",IF($B40="","",IF(ISNA(VLOOKUP($B40,'LT04'!$B$11:$R$75,17,FALSE)),"",VLOOKUP($B40,'LT04'!$B$11:$R$75,17,FALSE))))</f>
        <v/>
      </c>
      <c r="X40" s="185">
        <f>IF(OR($H$6="",$H$7=""),"",IF($B40="","",IF(ISNA(VLOOKUP($B40,'LT05'!$B$11:$R$75,13,FALSE)),"",IF(VLOOKUP($B40,'LT05'!$B$11:$R$75,13,FALSE)="","",VLOOKUP($B40,'LT05'!$B$11:$R$75,13,FALSE)))))</f>
        <v>4</v>
      </c>
      <c r="Y40" s="182">
        <f>IF(OR($H$6="",$H$7=""),"",IF($B40="","",IF(ISNA(VLOOKUP($B40,'LT05'!$B$11:$R$75,14,FALSE)),"",VLOOKUP($B40,'LT05'!$B$11:$R$75,14,FALSE))))</f>
        <v>4.3</v>
      </c>
      <c r="Z40" s="183"/>
      <c r="AA40" s="182" t="str">
        <f>IF(OR($H$6="",$H$7=""),"",IF($B40="","",IF(ISNA(VLOOKUP($B40,'LT05'!$B$11:$R$75,17,FALSE)),"",VLOOKUP($B40,'LT05'!$B$11:$R$75,17,FALSE))))</f>
        <v/>
      </c>
      <c r="AB40" s="185">
        <f>IF(OR($H$6="",$H$7=""),"",IF($B40="","",IF(ISNA(VLOOKUP($B40,'LT06'!$B$11:$R$75,13,FALSE)),"",IF(VLOOKUP($B40,'LT06'!$B$11:$R$75,13,FALSE)="","",VLOOKUP($B40,'LT06'!$B$11:$R$75,13,FALSE)))))</f>
        <v>1</v>
      </c>
      <c r="AC40" s="182">
        <f>IF(OR($H$6="",$H$7=""),"",IF($B40="","",IF(ISNA(VLOOKUP($B40,'LT06'!$B$11:$R$75,14,FALSE)),"",VLOOKUP($B40,'LT06'!$B$11:$R$75,14,FALSE))))</f>
        <v>2.8</v>
      </c>
      <c r="AD40" s="183"/>
      <c r="AE40" s="182" t="str">
        <f>IF(OR($H$6="",$H$7=""),"",IF($B40="","",IF(ISNA(VLOOKUP($B40,'LT06'!$B$11:$R$75,17,FALSE)),"",VLOOKUP($B40,'LT06'!$B$11:$R$75,17,FALSE))))</f>
        <v/>
      </c>
      <c r="AF40" s="185" t="str">
        <f>IF(OR($H$6="",$H$7=""),"",IF($B40="","",IF(ISNA(VLOOKUP($B40,'LT07'!$B$11:$R$75,13,FALSE)),"",IF(VLOOKUP($B40,'LT07'!$B$11:$R$75,13,FALSE)="","",VLOOKUP($B40,'LT07'!$B$11:$R$75,13,FALSE)))))</f>
        <v/>
      </c>
      <c r="AG40" s="182" t="str">
        <f>IF(OR($H$6="",$H$7=""),"",IF($B40="","",IF(ISNA(VLOOKUP($B40,'LT07'!$B$11:$R$75,14,FALSE)),"",VLOOKUP($B40,'LT07'!$B$11:$R$75,14,FALSE))))</f>
        <v/>
      </c>
      <c r="AH40" s="183"/>
      <c r="AI40" s="182" t="str">
        <f>IF(OR($H$6="",$H$7=""),"",IF($B40="","",IF(ISNA(VLOOKUP($B40,'LT07'!$B$11:$R$75,17,FALSE)),"",VLOOKUP($B40,'LT07'!$B$11:$R$75,17,FALSE))))</f>
        <v/>
      </c>
      <c r="AJ40" s="185" t="str">
        <f>IF(OR($H$6="",$H$7=""),"",IF($B40="","",IF(ISNA(VLOOKUP($B40,'LT08'!$B$11:$R$75,13,FALSE)),"",IF(VLOOKUP($B40,'LT08'!$B$11:$R$75,13,FALSE)="","",VLOOKUP($B40,'LT08'!$B$11:$R$75,13,FALSE)))))</f>
        <v/>
      </c>
      <c r="AK40" s="182" t="str">
        <f>IF(OR($H$6="",$H$7=""),"",IF($B40="","",IF(ISNA(VLOOKUP($B40,'LT08'!$B$11:$R$75,14,FALSE)),"",VLOOKUP($B40,'LT08'!$B$11:$R$75,14,FALSE))))</f>
        <v/>
      </c>
      <c r="AL40" s="183"/>
      <c r="AM40" s="182" t="str">
        <f>IF(OR($H$6="",$H$7=""),"",IF($B40="","",IF(ISNA(VLOOKUP($B40,'LT08'!$B$11:$R$75,17,FALSE)),"",VLOOKUP($B40,'LT08'!$B$11:$R$75,17,FALSE))))</f>
        <v/>
      </c>
      <c r="AN40" s="185" t="str">
        <f>IF(OR($H$6="",$H$7=""),"",IF($B40="","",IF(ISNA(VLOOKUP($B40,'LT09'!$B$11:$R$75,13,FALSE)),"",IF(VLOOKUP($B40,'LT09'!$B$11:$R$75,13,FALSE)="","",VLOOKUP($B40,'LT09'!$B$11:$R$75,13,FALSE)))))</f>
        <v/>
      </c>
      <c r="AO40" s="182" t="str">
        <f>IF(OR($H$6="",$H$7=""),"",IF($B40="","",IF(ISNA(VLOOKUP($B40,'LT09'!$B$11:$R$75,14,FALSE)),"",VLOOKUP($B40,'LT09'!$B$11:$R$75,14,FALSE))))</f>
        <v/>
      </c>
      <c r="AP40" s="183"/>
      <c r="AQ40" s="182" t="str">
        <f>IF(OR($H$6="",$H$7=""),"",IF($B40="","",IF(ISNA(VLOOKUP($B40,'LT09'!$B$11:$R$75,17,FALSE)),"",VLOOKUP($B40,'LT09'!$B$11:$R$75,17,FALSE))))</f>
        <v/>
      </c>
      <c r="AR40" s="186"/>
      <c r="AS40" s="182">
        <f>IF(OR($H$6="",$H$7=""),"",IF($B40="","",IF(ISNA(VLOOKUP($B40,'TH01'!$B$11:$R$75,14,FALSE)),"",VLOOKUP($B40,'TH01'!$B$11:$R$75,14,FALSE))))</f>
        <v>6</v>
      </c>
      <c r="AT40" s="183"/>
      <c r="AU40" s="187"/>
      <c r="AV40" s="186"/>
      <c r="AW40" s="182">
        <f>IF(OR($H$6="",$H$7=""),"",IF($B40="","",IF(ISNA(VLOOKUP($B40,'TH02'!$B$11:$R$75,14,FALSE)),"",VLOOKUP($B40,'TH02'!$B$11:$R$75,14,FALSE))))</f>
        <v>7</v>
      </c>
      <c r="AX40" s="183"/>
      <c r="AY40" s="187"/>
      <c r="AZ40" s="54">
        <f t="shared" si="24"/>
        <v>4.6900000000000004</v>
      </c>
      <c r="BA40" s="54" t="str">
        <f t="shared" si="0"/>
        <v/>
      </c>
      <c r="BB40" s="70">
        <v>49</v>
      </c>
      <c r="BC40" s="52" t="str">
        <f t="shared" si="25"/>
        <v>TBY</v>
      </c>
      <c r="BD40" s="52" t="str">
        <f t="shared" si="26"/>
        <v/>
      </c>
      <c r="BE40" s="52" t="str">
        <f t="shared" si="1"/>
        <v/>
      </c>
      <c r="BF40" s="149" t="str">
        <f t="shared" si="2"/>
        <v/>
      </c>
      <c r="BG40" s="52">
        <f t="shared" si="3"/>
        <v>14</v>
      </c>
      <c r="BH40" s="52">
        <f t="shared" si="27"/>
        <v>4</v>
      </c>
      <c r="BI40" s="52">
        <f t="shared" si="4"/>
        <v>14</v>
      </c>
      <c r="BJ40" s="52">
        <f t="shared" si="5"/>
        <v>4</v>
      </c>
      <c r="BK40" s="54">
        <f t="shared" si="6"/>
        <v>5.51</v>
      </c>
      <c r="BL40" s="54" t="str">
        <f t="shared" si="7"/>
        <v>BT</v>
      </c>
      <c r="BM40" s="54">
        <f t="shared" si="8"/>
        <v>5.51</v>
      </c>
      <c r="BN40" s="54" t="str">
        <f t="shared" si="9"/>
        <v>BT</v>
      </c>
      <c r="BO40" s="70"/>
      <c r="BP40" s="52">
        <f>IF(ISNA(VLOOKUP(B40,'TICH LUY'!B:D,2,0)),"",VLOOKUP(B40,'TICH LUY'!B:D,2,0)+BI40)</f>
        <v>49</v>
      </c>
      <c r="BQ40" s="52">
        <f>IF(ISNA(VLOOKUP(B40,'TICH LUY'!B:D,3,0)),"",VLOOKUP(B40,'TICH LUY'!B:D,3,0)+BJ40)</f>
        <v>8</v>
      </c>
      <c r="BR40" s="40">
        <f t="shared" si="10"/>
        <v>5</v>
      </c>
      <c r="BS40" s="452">
        <f t="shared" si="11"/>
        <v>3.4</v>
      </c>
      <c r="BT40" s="452">
        <f t="shared" si="12"/>
        <v>7.3</v>
      </c>
      <c r="BU40" s="452">
        <f t="shared" si="13"/>
        <v>3.4</v>
      </c>
      <c r="BV40" s="452">
        <f t="shared" si="14"/>
        <v>2</v>
      </c>
      <c r="BW40" s="452">
        <f t="shared" si="15"/>
        <v>4</v>
      </c>
      <c r="BX40" s="452">
        <f t="shared" si="16"/>
        <v>1</v>
      </c>
      <c r="BY40" s="452" t="str">
        <f t="shared" si="17"/>
        <v/>
      </c>
      <c r="BZ40" s="452" t="str">
        <f t="shared" si="28"/>
        <v/>
      </c>
      <c r="CA40" s="452" t="str">
        <f t="shared" si="29"/>
        <v/>
      </c>
      <c r="CB40" s="452">
        <f t="shared" si="30"/>
        <v>6</v>
      </c>
      <c r="CC40" s="452">
        <f t="shared" si="18"/>
        <v>7</v>
      </c>
      <c r="CD40" s="40">
        <f t="shared" si="31"/>
        <v>2</v>
      </c>
      <c r="CE40" s="453">
        <f t="shared" si="80"/>
        <v>4.4000000000000004</v>
      </c>
      <c r="CF40" s="452">
        <f t="shared" si="32"/>
        <v>6.2</v>
      </c>
      <c r="CG40" s="452">
        <f t="shared" si="81"/>
        <v>4</v>
      </c>
      <c r="CH40" s="452">
        <f t="shared" si="82"/>
        <v>2.4</v>
      </c>
      <c r="CI40" s="452">
        <f t="shared" si="83"/>
        <v>4.3</v>
      </c>
      <c r="CJ40" s="452">
        <f t="shared" si="84"/>
        <v>2.8</v>
      </c>
      <c r="CK40" s="452" t="str">
        <f t="shared" si="85"/>
        <v/>
      </c>
      <c r="CL40" s="452" t="str">
        <f t="shared" si="33"/>
        <v/>
      </c>
      <c r="CM40" s="452" t="str">
        <f t="shared" si="34"/>
        <v/>
      </c>
      <c r="CN40" s="452">
        <f t="shared" si="35"/>
        <v>6</v>
      </c>
      <c r="CO40" s="452">
        <f t="shared" si="19"/>
        <v>7</v>
      </c>
      <c r="CP40" s="454">
        <f t="shared" si="36"/>
        <v>4.6900000000000004</v>
      </c>
      <c r="CQ40" s="527">
        <f>IF(OR(ISNA(VLOOKUP($B40,'TICH LUY'!$B$11:$BY$85,54,0)),$B40=""),"",VLOOKUP($B40,'TICH LUY'!$B$11:$BY$85,54,0))</f>
        <v>5.5</v>
      </c>
      <c r="CR40" s="507">
        <f>IF(OR(ISNA(VLOOKUP($B40,'TICH LUY'!$B$11:$BY$85,55,0)),$B40=""),"",VLOOKUP($B40,'TICH LUY'!$B$11:$BY$85,55,0))</f>
        <v>4.7</v>
      </c>
      <c r="CS40" s="507">
        <f>IF(OR(ISNA(VLOOKUP($B40,'TICH LUY'!$B$11:$BY$85,56,0)),$B40=""),"",VLOOKUP($B40,'TICH LUY'!$B$11:$BY$85,56,0))</f>
        <v>6.5</v>
      </c>
      <c r="CT40" s="507">
        <f>IF(OR(ISNA(VLOOKUP($B40,'TICH LUY'!$B$11:$BY$85,57,0)),$B40=""),"",VLOOKUP($B40,'TICH LUY'!$B$11:$BY$85,57,0))</f>
        <v>4.5</v>
      </c>
      <c r="CU40" s="507">
        <f>IF(OR(ISNA(VLOOKUP($B40,'TICH LUY'!$B$11:$BY$85,58,0)),$B40=""),"",VLOOKUP($B40,'TICH LUY'!$B$11:$BY$85,58,0))</f>
        <v>4.7</v>
      </c>
      <c r="CV40" s="507">
        <f>IF(OR(ISNA(VLOOKUP($B40,'TICH LUY'!$B$11:$BY$85,59,0)),$B40=""),"",VLOOKUP($B40,'TICH LUY'!$B$11:$BY$85,59,0))</f>
        <v>4.5</v>
      </c>
      <c r="CW40" s="507">
        <f>IF(OR(ISNA(VLOOKUP($B40,'TICH LUY'!$B$11:$BY$85,60,0)),$B40=""),"",VLOOKUP($B40,'TICH LUY'!$B$11:$BY$85,60,0))</f>
        <v>6.4</v>
      </c>
      <c r="CX40" s="507" t="str">
        <f>IF(OR(ISNA(VLOOKUP($B40,'TICH LUY'!$B$11:$BY$85,61,0)),$B40=""),"",VLOOKUP($B40,'TICH LUY'!$B$11:$BY$85,61,0))</f>
        <v/>
      </c>
      <c r="CY40" s="507" t="str">
        <f>IF(OR(ISNA(VLOOKUP($B40,'TICH LUY'!$B$11:$BY$85,62,0)),$B40=""),"",VLOOKUP($B40,'TICH LUY'!$B$11:$BY$85,62,0))</f>
        <v/>
      </c>
      <c r="CZ40" s="507" t="str">
        <f>IF(OR(ISNA(VLOOKUP($B40,'TICH LUY'!$B$11:$BY$85,63,0)),$B40=""),"",VLOOKUP($B40,'TICH LUY'!$B$11:$BY$85,63,0))</f>
        <v/>
      </c>
      <c r="DA40" s="507">
        <f>IF(OR(ISNA(VLOOKUP($B40,'TICH LUY'!$B$11:$BY$85,64,0)),$B40=""),"",VLOOKUP($B40,'TICH LUY'!$B$11:$BY$85,64,0))</f>
        <v>5.0999999999999996</v>
      </c>
      <c r="DB40" s="507" t="str">
        <f>IF(OR(ISNA(VLOOKUP($B40,'TICH LUY'!$B$11:$BY$85,65,0)),$B40=""),"",VLOOKUP($B40,'TICH LUY'!$B$11:$BY$85,65,0))</f>
        <v/>
      </c>
      <c r="DC40" s="507">
        <f>IF(OR(ISNA(VLOOKUP($B40,'TICH LUY'!$B$11:$BY$85,66,0)),$B40=""),"",VLOOKUP($B40,'TICH LUY'!$B$11:$BY$85,66,0))</f>
        <v>6.6</v>
      </c>
      <c r="DD40" s="507">
        <f>IF(OR(ISNA(VLOOKUP($B40,'TICH LUY'!$B$11:$BY$85,67,0)),$B40=""),"",VLOOKUP($B40,'TICH LUY'!$B$11:$BY$85,67,0))</f>
        <v>5.2</v>
      </c>
      <c r="DE40" s="507">
        <f>IF(OR(ISNA(VLOOKUP($B40,'TICH LUY'!$B$11:$BY$85,68,0)),$B40=""),"",VLOOKUP($B40,'TICH LUY'!$B$11:$BY$85,68,0))</f>
        <v>6.3</v>
      </c>
      <c r="DF40" s="507">
        <f>IF(OR(ISNA(VLOOKUP($B40,'TICH LUY'!$B$11:$BY$85,69,0)),$B40=""),"",VLOOKUP($B40,'TICH LUY'!$B$11:$BY$85,69,0))</f>
        <v>7.6</v>
      </c>
      <c r="DG40" s="507" t="str">
        <f>IF(OR(ISNA(VLOOKUP($B40,'TICH LUY'!$B$11:$BY$85,70,0)),$B40=""),"",VLOOKUP($B40,'TICH LUY'!$B$11:$BY$85,70,0))</f>
        <v/>
      </c>
      <c r="DH40" s="507">
        <f>IF(OR(ISNA(VLOOKUP($B40,'TICH LUY'!$B$11:$BY$85,71,0)),$B40=""),"",VLOOKUP($B40,'TICH LUY'!$B$11:$BY$85,71,0))</f>
        <v>7</v>
      </c>
      <c r="DI40" s="507" t="str">
        <f>IF(OR(ISNA(VLOOKUP($B40,'TICH LUY'!$B$11:$BY$85,72,0)),$B40=""),"",VLOOKUP($B40,'TICH LUY'!$B$11:$BY$85,72,0))</f>
        <v/>
      </c>
      <c r="DJ40" s="507" t="str">
        <f>IF(OR(ISNA(VLOOKUP($B40,'TICH LUY'!$B$11:$BY$85,73,0)),$B40=""),"",VLOOKUP($B40,'TICH LUY'!$B$11:$BY$85,73,0))</f>
        <v/>
      </c>
      <c r="DK40" s="507" t="str">
        <f>IF(OR(ISNA(VLOOKUP($B40,'TICH LUY'!$B$11:$BY$85,74,0)),$B40=""),"",VLOOKUP($B40,'TICH LUY'!$B$11:$BY$85,74,0))</f>
        <v/>
      </c>
      <c r="DL40" s="507">
        <f>IF(OR(ISNA(VLOOKUP($B40,'TICH LUY'!$B$11:$BY$85,75,0)),$B40=""),"",VLOOKUP($B40,'TICH LUY'!$B$11:$BY$85,75,0))</f>
        <v>6.6</v>
      </c>
      <c r="DM40" s="529" t="str">
        <f>IF(OR(ISNA(VLOOKUP($B40,'TICH LUY'!$B$11:$BY$85,76,0)),$B40=""),"",VLOOKUP($B40,'TICH LUY'!$B$11:$BY$85,76,0))</f>
        <v/>
      </c>
      <c r="DN40" s="455">
        <f t="shared" si="37"/>
        <v>4.4000000000000004</v>
      </c>
      <c r="DO40" s="456">
        <f t="shared" si="38"/>
        <v>6.2</v>
      </c>
      <c r="DP40" s="456">
        <f t="shared" si="39"/>
        <v>4</v>
      </c>
      <c r="DQ40" s="456" t="str">
        <f t="shared" si="40"/>
        <v/>
      </c>
      <c r="DR40" s="456">
        <f t="shared" si="41"/>
        <v>4.3</v>
      </c>
      <c r="DS40" s="456" t="str">
        <f t="shared" si="42"/>
        <v/>
      </c>
      <c r="DT40" s="456" t="str">
        <f t="shared" si="43"/>
        <v/>
      </c>
      <c r="DU40" s="456" t="str">
        <f t="shared" si="44"/>
        <v/>
      </c>
      <c r="DV40" s="456" t="str">
        <f t="shared" si="45"/>
        <v/>
      </c>
      <c r="DW40" s="456">
        <f t="shared" si="46"/>
        <v>6</v>
      </c>
      <c r="DX40" s="456">
        <f t="shared" si="47"/>
        <v>7</v>
      </c>
      <c r="DY40" s="457">
        <f t="shared" si="48"/>
        <v>5.51</v>
      </c>
      <c r="DZ40" s="453" t="str">
        <f t="shared" si="49"/>
        <v/>
      </c>
      <c r="EA40" s="452" t="str">
        <f t="shared" si="50"/>
        <v/>
      </c>
      <c r="EB40" s="452" t="str">
        <f t="shared" si="51"/>
        <v/>
      </c>
      <c r="EC40" s="452" t="str">
        <f t="shared" si="52"/>
        <v/>
      </c>
      <c r="ED40" s="452" t="str">
        <f t="shared" si="53"/>
        <v/>
      </c>
      <c r="EE40" s="452" t="str">
        <f t="shared" si="54"/>
        <v/>
      </c>
      <c r="EF40" s="452" t="str">
        <f t="shared" si="55"/>
        <v/>
      </c>
      <c r="EG40" s="452" t="str">
        <f t="shared" si="56"/>
        <v/>
      </c>
      <c r="EH40" s="452" t="str">
        <f t="shared" si="57"/>
        <v/>
      </c>
      <c r="EI40" s="453">
        <f t="shared" si="58"/>
        <v>4.4000000000000004</v>
      </c>
      <c r="EJ40" s="452">
        <f t="shared" si="59"/>
        <v>6.2</v>
      </c>
      <c r="EK40" s="452">
        <f t="shared" si="60"/>
        <v>4</v>
      </c>
      <c r="EL40" s="452">
        <f t="shared" si="61"/>
        <v>2.4</v>
      </c>
      <c r="EM40" s="452">
        <f t="shared" si="62"/>
        <v>4.3</v>
      </c>
      <c r="EN40" s="452">
        <f t="shared" si="63"/>
        <v>2.8</v>
      </c>
      <c r="EO40" s="452" t="str">
        <f t="shared" si="64"/>
        <v/>
      </c>
      <c r="EP40" s="452" t="str">
        <f t="shared" si="65"/>
        <v/>
      </c>
      <c r="EQ40" s="452" t="str">
        <f t="shared" si="66"/>
        <v/>
      </c>
      <c r="ER40" s="452">
        <f t="shared" si="67"/>
        <v>6</v>
      </c>
      <c r="ES40" s="452">
        <f t="shared" si="21"/>
        <v>7</v>
      </c>
      <c r="ET40" s="458" t="str">
        <f t="shared" si="68"/>
        <v/>
      </c>
      <c r="EU40" s="527">
        <f>IF(OR(ISNA(VLOOKUP($B40,'TICH LUY'!$B$11:$BY$85,54,0)),$B40=""),"",VLOOKUP($B40,'TICH LUY'!$B$11:$BY$85,54,0))</f>
        <v>5.5</v>
      </c>
      <c r="EV40" s="507">
        <f>IF(OR(ISNA(VLOOKUP($B40,'TICH LUY'!$B$11:$BY$85,55,0)),$B40=""),"",VLOOKUP($B40,'TICH LUY'!$B$11:$BY$85,55,0))</f>
        <v>4.7</v>
      </c>
      <c r="EW40" s="507">
        <f>IF(OR(ISNA(VLOOKUP($B40,'TICH LUY'!$B$11:$BY$85,56,0)),$B40=""),"",VLOOKUP($B40,'TICH LUY'!$B$11:$BY$85,56,0))</f>
        <v>6.5</v>
      </c>
      <c r="EX40" s="507">
        <f>IF(OR(ISNA(VLOOKUP($B40,'TICH LUY'!$B$11:$BY$85,57,0)),$B40=""),"",VLOOKUP($B40,'TICH LUY'!$B$11:$BY$85,57,0))</f>
        <v>4.5</v>
      </c>
      <c r="EY40" s="507">
        <f>IF(OR(ISNA(VLOOKUP($B40,'TICH LUY'!$B$11:$BY$85,58,0)),$B40=""),"",VLOOKUP($B40,'TICH LUY'!$B$11:$BY$85,58,0))</f>
        <v>4.7</v>
      </c>
      <c r="EZ40" s="507">
        <f>IF(OR(ISNA(VLOOKUP($B40,'TICH LUY'!$B$11:$BY$85,59,0)),$B40=""),"",VLOOKUP($B40,'TICH LUY'!$B$11:$BY$85,59,0))</f>
        <v>4.5</v>
      </c>
      <c r="FA40" s="507">
        <f>IF(OR(ISNA(VLOOKUP($B40,'TICH LUY'!$B$11:$BY$85,60,0)),$B40=""),"",VLOOKUP($B40,'TICH LUY'!$B$11:$BY$85,60,0))</f>
        <v>6.4</v>
      </c>
      <c r="FB40" s="507" t="str">
        <f>IF(OR(ISNA(VLOOKUP($B40,'TICH LUY'!$B$11:$BY$85,61,0)),$B40=""),"",VLOOKUP($B40,'TICH LUY'!$B$11:$BY$85,61,0))</f>
        <v/>
      </c>
      <c r="FC40" s="507" t="str">
        <f>IF(OR(ISNA(VLOOKUP($B40,'TICH LUY'!$B$11:$BY$85,62,0)),$B40=""),"",VLOOKUP($B40,'TICH LUY'!$B$11:$BY$85,62,0))</f>
        <v/>
      </c>
      <c r="FD40" s="507" t="str">
        <f>IF(OR(ISNA(VLOOKUP($B40,'TICH LUY'!$B$11:$BY$85,63,0)),$B40=""),"",VLOOKUP($B40,'TICH LUY'!$B$11:$BY$85,63,0))</f>
        <v/>
      </c>
      <c r="FE40" s="507">
        <f>IF(OR(ISNA(VLOOKUP($B40,'TICH LUY'!$B$11:$BY$85,64,0)),$B40=""),"",VLOOKUP($B40,'TICH LUY'!$B$11:$BY$85,64,0))</f>
        <v>5.0999999999999996</v>
      </c>
      <c r="FF40" s="507" t="str">
        <f>IF(OR(ISNA(VLOOKUP($B40,'TICH LUY'!$B$11:$BY$85,65,0)),$B40=""),"",VLOOKUP($B40,'TICH LUY'!$B$11:$BY$85,65,0))</f>
        <v/>
      </c>
      <c r="FG40" s="507">
        <f>IF(OR(ISNA(VLOOKUP($B40,'TICH LUY'!$B$11:$BY$85,66,0)),$B40=""),"",VLOOKUP($B40,'TICH LUY'!$B$11:$BY$85,66,0))</f>
        <v>6.6</v>
      </c>
      <c r="FH40" s="507">
        <f>IF(OR(ISNA(VLOOKUP($B40,'TICH LUY'!$B$11:$BY$85,67,0)),$B40=""),"",VLOOKUP($B40,'TICH LUY'!$B$11:$BY$85,67,0))</f>
        <v>5.2</v>
      </c>
      <c r="FI40" s="507">
        <f>IF(OR(ISNA(VLOOKUP($B40,'TICH LUY'!$B$11:$BY$85,68,0)),$B40=""),"",VLOOKUP($B40,'TICH LUY'!$B$11:$BY$85,68,0))</f>
        <v>6.3</v>
      </c>
      <c r="FJ40" s="507">
        <f>IF(OR(ISNA(VLOOKUP($B40,'TICH LUY'!$B$11:$BY$85,69,0)),$B40=""),"",VLOOKUP($B40,'TICH LUY'!$B$11:$BY$85,69,0))</f>
        <v>7.6</v>
      </c>
      <c r="FK40" s="507" t="str">
        <f>IF(OR(ISNA(VLOOKUP($B40,'TICH LUY'!$B$11:$BY$85,70,0)),$B40=""),"",VLOOKUP($B40,'TICH LUY'!$B$11:$BY$85,70,0))</f>
        <v/>
      </c>
      <c r="FL40" s="507">
        <f>IF(OR(ISNA(VLOOKUP($B40,'TICH LUY'!$B$11:$BY$85,71,0)),$B40=""),"",VLOOKUP($B40,'TICH LUY'!$B$11:$BY$85,71,0))</f>
        <v>7</v>
      </c>
      <c r="FM40" s="507" t="str">
        <f>IF(OR(ISNA(VLOOKUP($B40,'TICH LUY'!$B$11:$BY$85,72,0)),$B40=""),"",VLOOKUP($B40,'TICH LUY'!$B$11:$BY$85,72,0))</f>
        <v/>
      </c>
      <c r="FN40" s="507" t="str">
        <f>IF(OR(ISNA(VLOOKUP($B40,'TICH LUY'!$B$11:$BY$85,73,0)),$B40=""),"",VLOOKUP($B40,'TICH LUY'!$B$11:$BY$85,73,0))</f>
        <v/>
      </c>
      <c r="FO40" s="507" t="str">
        <f>IF(OR(ISNA(VLOOKUP($B40,'TICH LUY'!$B$11:$BY$85,74,0)),$B40=""),"",VLOOKUP($B40,'TICH LUY'!$B$11:$BY$85,74,0))</f>
        <v/>
      </c>
      <c r="FP40" s="507">
        <f>IF(OR(ISNA(VLOOKUP($B40,'TICH LUY'!$B$11:$BY$85,75,0)),$B40=""),"",VLOOKUP($B40,'TICH LUY'!$B$11:$BY$85,75,0))</f>
        <v>6.6</v>
      </c>
      <c r="FQ40" s="529" t="str">
        <f>IF(OR(ISNA(VLOOKUP($B40,'TICH LUY'!$B$11:$BY$85,76,0)),$B40=""),"",VLOOKUP($B40,'TICH LUY'!$B$11:$BY$85,76,0))</f>
        <v/>
      </c>
      <c r="FR40" s="455">
        <f t="shared" si="69"/>
        <v>4.4000000000000004</v>
      </c>
      <c r="FS40" s="456">
        <f t="shared" si="70"/>
        <v>6.2</v>
      </c>
      <c r="FT40" s="456">
        <f t="shared" si="71"/>
        <v>4</v>
      </c>
      <c r="FU40" s="456" t="str">
        <f t="shared" si="72"/>
        <v/>
      </c>
      <c r="FV40" s="456">
        <f t="shared" si="73"/>
        <v>4.3</v>
      </c>
      <c r="FW40" s="456" t="str">
        <f t="shared" si="74"/>
        <v/>
      </c>
      <c r="FX40" s="456" t="str">
        <f t="shared" si="75"/>
        <v/>
      </c>
      <c r="FY40" s="456" t="str">
        <f t="shared" si="76"/>
        <v/>
      </c>
      <c r="FZ40" s="456" t="str">
        <f t="shared" si="77"/>
        <v/>
      </c>
      <c r="GA40" s="456">
        <f t="shared" si="78"/>
        <v>6</v>
      </c>
      <c r="GB40" s="459">
        <f t="shared" si="79"/>
        <v>7</v>
      </c>
      <c r="GC40" s="457">
        <f t="shared" si="23"/>
        <v>5.51</v>
      </c>
    </row>
    <row r="41" spans="1:185" s="221" customFormat="1" ht="15.75">
      <c r="A41" s="449">
        <f>IF(B41="","",SUBTOTAL(3,$B$11:B41))</f>
        <v>31</v>
      </c>
      <c r="B41" s="198" t="s">
        <v>2113</v>
      </c>
      <c r="C41" s="450" t="str">
        <f>IF($B41="","",VLOOKUP($B41,'DS LOP HKI'!$B$2:$F$2642,2,0))</f>
        <v>Võ Đức</v>
      </c>
      <c r="D41" s="451" t="str">
        <f>IF($B41="","",VLOOKUP($B41,'DS LOP HKI'!$B$2:$F$2642,3,0))</f>
        <v>Trí</v>
      </c>
      <c r="E41" s="154"/>
      <c r="F41" s="152"/>
      <c r="G41" s="156">
        <v>2</v>
      </c>
      <c r="H41" s="181">
        <f>IF(OR($H$6="",$H$7=""),"",IF($B41="","",IF(ISNA(VLOOKUP($B41,'LT01'!$B$11:$R$75,13,FALSE)),"",IF(VLOOKUP($B41,'LT01'!$B$11:$R$75,13,FALSE)="","",VLOOKUP($B41,'LT01'!$B$11:$R$75,13,FALSE)))))</f>
        <v>3.8</v>
      </c>
      <c r="I41" s="182">
        <f>IF(OR($H$6="",$H$7=""),"",IF($B41="","",IF(ISNA(VLOOKUP($B41,'LT01'!$B$11:$R$75,14,FALSE)),"",VLOOKUP($B41,'LT01'!$B$11:$R$75,14,FALSE))))</f>
        <v>4.8</v>
      </c>
      <c r="J41" s="183"/>
      <c r="K41" s="182" t="str">
        <f>IF(OR($H$6="",$H$7=""),"",IF($B41="","",IF(ISNA(VLOOKUP($B41,'LT01'!$B$11:$R$75,17,FALSE)),"",VLOOKUP($B41,'LT01'!$B$11:$R$75,17,FALSE))))</f>
        <v/>
      </c>
      <c r="L41" s="185">
        <f>IF(OR($H$6="",$H$7=""),"",IF($B41="","",IF(ISNA(VLOOKUP($B41,'LT02'!$B$11:$R$75,13,FALSE)),"",IF(VLOOKUP($B41,'LT02'!$B$11:$R$75,13,FALSE)="","",VLOOKUP($B41,'LT02'!$B$11:$R$75,13,FALSE)))))</f>
        <v>6.3</v>
      </c>
      <c r="M41" s="182">
        <f>IF(OR($H$6="",$H$7=""),"",IF($B41="","",IF(ISNA(VLOOKUP($B41,'LT02'!$B$11:$R$75,14,FALSE)),"",VLOOKUP($B41,'LT02'!$B$11:$R$75,14,FALSE))))</f>
        <v>6.1</v>
      </c>
      <c r="N41" s="183"/>
      <c r="O41" s="182" t="str">
        <f>IF(OR($H$6="",$H$7=""),"",IF($B41="","",IF(ISNA(VLOOKUP($B41,'LT02'!$B$11:$R$75,17,FALSE)),"",VLOOKUP($B41,'LT02'!$B$11:$R$75,17,FALSE))))</f>
        <v/>
      </c>
      <c r="P41" s="185">
        <f>IF(OR($H$6="",$H$7=""),"",IF($B41="","",IF(ISNA(VLOOKUP($B41,'LT03'!$B$11:$R$75,13,FALSE)),"",IF(VLOOKUP($B41,'LT03'!$B$11:$R$75,13,FALSE)="","",VLOOKUP($B41,'LT03'!$B$11:$R$75,13,FALSE)))))</f>
        <v>3.4</v>
      </c>
      <c r="Q41" s="182">
        <f>IF(OR($H$6="",$H$7=""),"",IF($B41="","",IF(ISNA(VLOOKUP($B41,'LT03'!$B$11:$R$75,14,FALSE)),"",VLOOKUP($B41,'LT03'!$B$11:$R$75,14,FALSE))))</f>
        <v>4.5999999999999996</v>
      </c>
      <c r="R41" s="183"/>
      <c r="S41" s="182" t="str">
        <f>IF(OR($H$6="",$H$7=""),"",IF($B41="","",IF(ISNA(VLOOKUP($B41,'LT03'!$B$11:$R$75,17,FALSE)),"",VLOOKUP($B41,'LT03'!$B$11:$R$75,17,FALSE))))</f>
        <v/>
      </c>
      <c r="T41" s="185">
        <f>IF(OR($H$6="",$H$7=""),"",IF($B41="","",IF(ISNA(VLOOKUP($B41,'LT04'!$B$11:$R$75,13,FALSE)),"",IF(VLOOKUP($B41,'LT04'!$B$11:$R$75,13,FALSE)="","",VLOOKUP($B41,'LT04'!$B$11:$R$75,13,FALSE)))))</f>
        <v>0.5</v>
      </c>
      <c r="U41" s="182">
        <f>IF(OR($H$6="",$H$7=""),"",IF($B41="","",IF(ISNA(VLOOKUP($B41,'LT04'!$B$11:$R$75,14,FALSE)),"",VLOOKUP($B41,'LT04'!$B$11:$R$75,14,FALSE))))</f>
        <v>3</v>
      </c>
      <c r="V41" s="183"/>
      <c r="W41" s="184" t="str">
        <f>IF(OR($H$6="",$H$7=""),"",IF($B41="","",IF(ISNA(VLOOKUP($B41,'LT04'!$B$11:$R$75,17,FALSE)),"",VLOOKUP($B41,'LT04'!$B$11:$R$75,17,FALSE))))</f>
        <v/>
      </c>
      <c r="X41" s="185">
        <f>IF(OR($H$6="",$H$7=""),"",IF($B41="","",IF(ISNA(VLOOKUP($B41,'LT05'!$B$11:$R$75,13,FALSE)),"",IF(VLOOKUP($B41,'LT05'!$B$11:$R$75,13,FALSE)="","",VLOOKUP($B41,'LT05'!$B$11:$R$75,13,FALSE)))))</f>
        <v>6</v>
      </c>
      <c r="Y41" s="182">
        <f>IF(OR($H$6="",$H$7=""),"",IF($B41="","",IF(ISNA(VLOOKUP($B41,'LT05'!$B$11:$R$75,14,FALSE)),"",VLOOKUP($B41,'LT05'!$B$11:$R$75,14,FALSE))))</f>
        <v>5.9</v>
      </c>
      <c r="Z41" s="183"/>
      <c r="AA41" s="182" t="str">
        <f>IF(OR($H$6="",$H$7=""),"",IF($B41="","",IF(ISNA(VLOOKUP($B41,'LT05'!$B$11:$R$75,17,FALSE)),"",VLOOKUP($B41,'LT05'!$B$11:$R$75,17,FALSE))))</f>
        <v/>
      </c>
      <c r="AB41" s="185">
        <f>IF(OR($H$6="",$H$7=""),"",IF($B41="","",IF(ISNA(VLOOKUP($B41,'LT06'!$B$11:$R$75,13,FALSE)),"",IF(VLOOKUP($B41,'LT06'!$B$11:$R$75,13,FALSE)="","",VLOOKUP($B41,'LT06'!$B$11:$R$75,13,FALSE)))))</f>
        <v>0</v>
      </c>
      <c r="AC41" s="182">
        <f>IF(OR($H$6="",$H$7=""),"",IF($B41="","",IF(ISNA(VLOOKUP($B41,'LT06'!$B$11:$R$75,14,FALSE)),"",VLOOKUP($B41,'LT06'!$B$11:$R$75,14,FALSE))))</f>
        <v>2.2999999999999998</v>
      </c>
      <c r="AD41" s="183"/>
      <c r="AE41" s="182" t="str">
        <f>IF(OR($H$6="",$H$7=""),"",IF($B41="","",IF(ISNA(VLOOKUP($B41,'LT06'!$B$11:$R$75,17,FALSE)),"",VLOOKUP($B41,'LT06'!$B$11:$R$75,17,FALSE))))</f>
        <v/>
      </c>
      <c r="AF41" s="185" t="str">
        <f>IF(OR($H$6="",$H$7=""),"",IF($B41="","",IF(ISNA(VLOOKUP($B41,'LT07'!$B$11:$R$75,13,FALSE)),"",IF(VLOOKUP($B41,'LT07'!$B$11:$R$75,13,FALSE)="","",VLOOKUP($B41,'LT07'!$B$11:$R$75,13,FALSE)))))</f>
        <v/>
      </c>
      <c r="AG41" s="182" t="str">
        <f>IF(OR($H$6="",$H$7=""),"",IF($B41="","",IF(ISNA(VLOOKUP($B41,'LT07'!$B$11:$R$75,14,FALSE)),"",VLOOKUP($B41,'LT07'!$B$11:$R$75,14,FALSE))))</f>
        <v/>
      </c>
      <c r="AH41" s="183"/>
      <c r="AI41" s="182" t="str">
        <f>IF(OR($H$6="",$H$7=""),"",IF($B41="","",IF(ISNA(VLOOKUP($B41,'LT07'!$B$11:$R$75,17,FALSE)),"",VLOOKUP($B41,'LT07'!$B$11:$R$75,17,FALSE))))</f>
        <v/>
      </c>
      <c r="AJ41" s="185" t="str">
        <f>IF(OR($H$6="",$H$7=""),"",IF($B41="","",IF(ISNA(VLOOKUP($B41,'LT08'!$B$11:$R$75,13,FALSE)),"",IF(VLOOKUP($B41,'LT08'!$B$11:$R$75,13,FALSE)="","",VLOOKUP($B41,'LT08'!$B$11:$R$75,13,FALSE)))))</f>
        <v/>
      </c>
      <c r="AK41" s="182" t="str">
        <f>IF(OR($H$6="",$H$7=""),"",IF($B41="","",IF(ISNA(VLOOKUP($B41,'LT08'!$B$11:$R$75,14,FALSE)),"",VLOOKUP($B41,'LT08'!$B$11:$R$75,14,FALSE))))</f>
        <v/>
      </c>
      <c r="AL41" s="183"/>
      <c r="AM41" s="182" t="str">
        <f>IF(OR($H$6="",$H$7=""),"",IF($B41="","",IF(ISNA(VLOOKUP($B41,'LT08'!$B$11:$R$75,17,FALSE)),"",VLOOKUP($B41,'LT08'!$B$11:$R$75,17,FALSE))))</f>
        <v/>
      </c>
      <c r="AN41" s="185" t="str">
        <f>IF(OR($H$6="",$H$7=""),"",IF($B41="","",IF(ISNA(VLOOKUP($B41,'LT09'!$B$11:$R$75,13,FALSE)),"",IF(VLOOKUP($B41,'LT09'!$B$11:$R$75,13,FALSE)="","",VLOOKUP($B41,'LT09'!$B$11:$R$75,13,FALSE)))))</f>
        <v/>
      </c>
      <c r="AO41" s="182" t="str">
        <f>IF(OR($H$6="",$H$7=""),"",IF($B41="","",IF(ISNA(VLOOKUP($B41,'LT09'!$B$11:$R$75,14,FALSE)),"",VLOOKUP($B41,'LT09'!$B$11:$R$75,14,FALSE))))</f>
        <v/>
      </c>
      <c r="AP41" s="183"/>
      <c r="AQ41" s="182" t="str">
        <f>IF(OR($H$6="",$H$7=""),"",IF($B41="","",IF(ISNA(VLOOKUP($B41,'LT09'!$B$11:$R$75,17,FALSE)),"",VLOOKUP($B41,'LT09'!$B$11:$R$75,17,FALSE))))</f>
        <v/>
      </c>
      <c r="AR41" s="186"/>
      <c r="AS41" s="182">
        <f>IF(OR($H$6="",$H$7=""),"",IF($B41="","",IF(ISNA(VLOOKUP($B41,'TH01'!$B$11:$R$75,14,FALSE)),"",VLOOKUP($B41,'TH01'!$B$11:$R$75,14,FALSE))))</f>
        <v>7</v>
      </c>
      <c r="AT41" s="183"/>
      <c r="AU41" s="187"/>
      <c r="AV41" s="186"/>
      <c r="AW41" s="182">
        <f>IF(OR($H$6="",$H$7=""),"",IF($B41="","",IF(ISNA(VLOOKUP($B41,'TH02'!$B$11:$R$75,14,FALSE)),"",VLOOKUP($B41,'TH02'!$B$11:$R$75,14,FALSE))))</f>
        <v>7</v>
      </c>
      <c r="AX41" s="183"/>
      <c r="AY41" s="187"/>
      <c r="AZ41" s="54">
        <f t="shared" si="24"/>
        <v>5.12</v>
      </c>
      <c r="BA41" s="54" t="str">
        <f t="shared" si="0"/>
        <v/>
      </c>
      <c r="BB41" s="70">
        <v>64</v>
      </c>
      <c r="BC41" s="52" t="str">
        <f t="shared" si="25"/>
        <v>TBY</v>
      </c>
      <c r="BD41" s="52" t="str">
        <f t="shared" si="26"/>
        <v/>
      </c>
      <c r="BE41" s="52" t="str">
        <f t="shared" si="1"/>
        <v/>
      </c>
      <c r="BF41" s="149" t="str">
        <f t="shared" si="2"/>
        <v/>
      </c>
      <c r="BG41" s="52">
        <f t="shared" si="3"/>
        <v>14</v>
      </c>
      <c r="BH41" s="52">
        <f t="shared" si="27"/>
        <v>4</v>
      </c>
      <c r="BI41" s="52">
        <f t="shared" si="4"/>
        <v>14</v>
      </c>
      <c r="BJ41" s="52">
        <f t="shared" si="5"/>
        <v>4</v>
      </c>
      <c r="BK41" s="54">
        <f t="shared" si="6"/>
        <v>5.55</v>
      </c>
      <c r="BL41" s="54" t="str">
        <f t="shared" si="7"/>
        <v>BT</v>
      </c>
      <c r="BM41" s="54">
        <f t="shared" si="8"/>
        <v>5.55</v>
      </c>
      <c r="BN41" s="54" t="str">
        <f t="shared" si="9"/>
        <v>BT</v>
      </c>
      <c r="BO41" s="70"/>
      <c r="BP41" s="52">
        <f>IF(ISNA(VLOOKUP(B41,'TICH LUY'!B:D,2,0)),"",VLOOKUP(B41,'TICH LUY'!B:D,2,0)+BI41)</f>
        <v>49</v>
      </c>
      <c r="BQ41" s="52">
        <f>IF(ISNA(VLOOKUP(B41,'TICH LUY'!B:D,3,0)),"",VLOOKUP(B41,'TICH LUY'!B:D,3,0)+BJ41)</f>
        <v>8</v>
      </c>
      <c r="BR41" s="40">
        <f t="shared" si="10"/>
        <v>4</v>
      </c>
      <c r="BS41" s="452">
        <f t="shared" si="11"/>
        <v>3.8</v>
      </c>
      <c r="BT41" s="452">
        <f t="shared" si="12"/>
        <v>6.3</v>
      </c>
      <c r="BU41" s="452">
        <f t="shared" si="13"/>
        <v>3.4</v>
      </c>
      <c r="BV41" s="452">
        <f t="shared" si="14"/>
        <v>0.5</v>
      </c>
      <c r="BW41" s="452">
        <f t="shared" si="15"/>
        <v>6</v>
      </c>
      <c r="BX41" s="452">
        <f t="shared" si="16"/>
        <v>0</v>
      </c>
      <c r="BY41" s="452" t="str">
        <f t="shared" si="17"/>
        <v/>
      </c>
      <c r="BZ41" s="452" t="str">
        <f t="shared" si="28"/>
        <v/>
      </c>
      <c r="CA41" s="452" t="str">
        <f t="shared" si="29"/>
        <v/>
      </c>
      <c r="CB41" s="452">
        <f t="shared" si="30"/>
        <v>7</v>
      </c>
      <c r="CC41" s="452">
        <f t="shared" si="18"/>
        <v>7</v>
      </c>
      <c r="CD41" s="40">
        <f t="shared" si="31"/>
        <v>2</v>
      </c>
      <c r="CE41" s="453">
        <f t="shared" si="80"/>
        <v>4.8</v>
      </c>
      <c r="CF41" s="452">
        <f t="shared" si="32"/>
        <v>6.1</v>
      </c>
      <c r="CG41" s="452">
        <f t="shared" si="81"/>
        <v>4.5999999999999996</v>
      </c>
      <c r="CH41" s="452">
        <f t="shared" si="82"/>
        <v>3</v>
      </c>
      <c r="CI41" s="452">
        <f t="shared" si="83"/>
        <v>5.9</v>
      </c>
      <c r="CJ41" s="452">
        <f t="shared" si="84"/>
        <v>2.2999999999999998</v>
      </c>
      <c r="CK41" s="452" t="str">
        <f t="shared" si="85"/>
        <v/>
      </c>
      <c r="CL41" s="452" t="str">
        <f t="shared" si="33"/>
        <v/>
      </c>
      <c r="CM41" s="452" t="str">
        <f t="shared" si="34"/>
        <v/>
      </c>
      <c r="CN41" s="452">
        <f t="shared" si="35"/>
        <v>7</v>
      </c>
      <c r="CO41" s="452">
        <f t="shared" si="19"/>
        <v>7</v>
      </c>
      <c r="CP41" s="454">
        <f t="shared" si="36"/>
        <v>5.12</v>
      </c>
      <c r="CQ41" s="527">
        <f>IF(OR(ISNA(VLOOKUP($B41,'TICH LUY'!$B$11:$BY$85,54,0)),$B41=""),"",VLOOKUP($B41,'TICH LUY'!$B$11:$BY$85,54,0))</f>
        <v>4.4000000000000004</v>
      </c>
      <c r="CR41" s="507">
        <f>IF(OR(ISNA(VLOOKUP($B41,'TICH LUY'!$B$11:$BY$85,55,0)),$B41=""),"",VLOOKUP($B41,'TICH LUY'!$B$11:$BY$85,55,0))</f>
        <v>5.6</v>
      </c>
      <c r="CS41" s="507">
        <f>IF(OR(ISNA(VLOOKUP($B41,'TICH LUY'!$B$11:$BY$85,56,0)),$B41=""),"",VLOOKUP($B41,'TICH LUY'!$B$11:$BY$85,56,0))</f>
        <v>5.2</v>
      </c>
      <c r="CT41" s="507">
        <f>IF(OR(ISNA(VLOOKUP($B41,'TICH LUY'!$B$11:$BY$85,57,0)),$B41=""),"",VLOOKUP($B41,'TICH LUY'!$B$11:$BY$85,57,0))</f>
        <v>4.0999999999999996</v>
      </c>
      <c r="CU41" s="507">
        <f>IF(OR(ISNA(VLOOKUP($B41,'TICH LUY'!$B$11:$BY$85,58,0)),$B41=""),"",VLOOKUP($B41,'TICH LUY'!$B$11:$BY$85,58,0))</f>
        <v>5.6</v>
      </c>
      <c r="CV41" s="507">
        <f>IF(OR(ISNA(VLOOKUP($B41,'TICH LUY'!$B$11:$BY$85,59,0)),$B41=""),"",VLOOKUP($B41,'TICH LUY'!$B$11:$BY$85,59,0))</f>
        <v>5.7</v>
      </c>
      <c r="CW41" s="507">
        <f>IF(OR(ISNA(VLOOKUP($B41,'TICH LUY'!$B$11:$BY$85,60,0)),$B41=""),"",VLOOKUP($B41,'TICH LUY'!$B$11:$BY$85,60,0))</f>
        <v>5.8</v>
      </c>
      <c r="CX41" s="507" t="str">
        <f>IF(OR(ISNA(VLOOKUP($B41,'TICH LUY'!$B$11:$BY$85,61,0)),$B41=""),"",VLOOKUP($B41,'TICH LUY'!$B$11:$BY$85,61,0))</f>
        <v/>
      </c>
      <c r="CY41" s="507" t="str">
        <f>IF(OR(ISNA(VLOOKUP($B41,'TICH LUY'!$B$11:$BY$85,62,0)),$B41=""),"",VLOOKUP($B41,'TICH LUY'!$B$11:$BY$85,62,0))</f>
        <v/>
      </c>
      <c r="CZ41" s="507" t="str">
        <f>IF(OR(ISNA(VLOOKUP($B41,'TICH LUY'!$B$11:$BY$85,63,0)),$B41=""),"",VLOOKUP($B41,'TICH LUY'!$B$11:$BY$85,63,0))</f>
        <v/>
      </c>
      <c r="DA41" s="507">
        <f>IF(OR(ISNA(VLOOKUP($B41,'TICH LUY'!$B$11:$BY$85,64,0)),$B41=""),"",VLOOKUP($B41,'TICH LUY'!$B$11:$BY$85,64,0))</f>
        <v>4.4000000000000004</v>
      </c>
      <c r="DB41" s="507">
        <f>IF(OR(ISNA(VLOOKUP($B41,'TICH LUY'!$B$11:$BY$85,65,0)),$B41=""),"",VLOOKUP($B41,'TICH LUY'!$B$11:$BY$85,65,0))</f>
        <v>4.5</v>
      </c>
      <c r="DC41" s="507">
        <f>IF(OR(ISNA(VLOOKUP($B41,'TICH LUY'!$B$11:$BY$85,66,0)),$B41=""),"",VLOOKUP($B41,'TICH LUY'!$B$11:$BY$85,66,0))</f>
        <v>6.7</v>
      </c>
      <c r="DD41" s="507" t="str">
        <f>IF(OR(ISNA(VLOOKUP($B41,'TICH LUY'!$B$11:$BY$85,67,0)),$B41=""),"",VLOOKUP($B41,'TICH LUY'!$B$11:$BY$85,67,0))</f>
        <v/>
      </c>
      <c r="DE41" s="507">
        <f>IF(OR(ISNA(VLOOKUP($B41,'TICH LUY'!$B$11:$BY$85,68,0)),$B41=""),"",VLOOKUP($B41,'TICH LUY'!$B$11:$BY$85,68,0))</f>
        <v>6</v>
      </c>
      <c r="DF41" s="507">
        <f>IF(OR(ISNA(VLOOKUP($B41,'TICH LUY'!$B$11:$BY$85,69,0)),$B41=""),"",VLOOKUP($B41,'TICH LUY'!$B$11:$BY$85,69,0))</f>
        <v>5.8</v>
      </c>
      <c r="DG41" s="507" t="str">
        <f>IF(OR(ISNA(VLOOKUP($B41,'TICH LUY'!$B$11:$BY$85,70,0)),$B41=""),"",VLOOKUP($B41,'TICH LUY'!$B$11:$BY$85,70,0))</f>
        <v/>
      </c>
      <c r="DH41" s="507">
        <f>IF(OR(ISNA(VLOOKUP($B41,'TICH LUY'!$B$11:$BY$85,71,0)),$B41=""),"",VLOOKUP($B41,'TICH LUY'!$B$11:$BY$85,71,0))</f>
        <v>5.9</v>
      </c>
      <c r="DI41" s="507" t="str">
        <f>IF(OR(ISNA(VLOOKUP($B41,'TICH LUY'!$B$11:$BY$85,72,0)),$B41=""),"",VLOOKUP($B41,'TICH LUY'!$B$11:$BY$85,72,0))</f>
        <v/>
      </c>
      <c r="DJ41" s="507" t="str">
        <f>IF(OR(ISNA(VLOOKUP($B41,'TICH LUY'!$B$11:$BY$85,73,0)),$B41=""),"",VLOOKUP($B41,'TICH LUY'!$B$11:$BY$85,73,0))</f>
        <v/>
      </c>
      <c r="DK41" s="507" t="str">
        <f>IF(OR(ISNA(VLOOKUP($B41,'TICH LUY'!$B$11:$BY$85,74,0)),$B41=""),"",VLOOKUP($B41,'TICH LUY'!$B$11:$BY$85,74,0))</f>
        <v/>
      </c>
      <c r="DL41" s="507">
        <f>IF(OR(ISNA(VLOOKUP($B41,'TICH LUY'!$B$11:$BY$85,75,0)),$B41=""),"",VLOOKUP($B41,'TICH LUY'!$B$11:$BY$85,75,0))</f>
        <v>6.9</v>
      </c>
      <c r="DM41" s="529" t="str">
        <f>IF(OR(ISNA(VLOOKUP($B41,'TICH LUY'!$B$11:$BY$85,76,0)),$B41=""),"",VLOOKUP($B41,'TICH LUY'!$B$11:$BY$85,76,0))</f>
        <v/>
      </c>
      <c r="DN41" s="455">
        <f t="shared" si="37"/>
        <v>4.8</v>
      </c>
      <c r="DO41" s="456">
        <f t="shared" si="38"/>
        <v>6.1</v>
      </c>
      <c r="DP41" s="456">
        <f t="shared" si="39"/>
        <v>4.5999999999999996</v>
      </c>
      <c r="DQ41" s="456" t="str">
        <f t="shared" si="40"/>
        <v/>
      </c>
      <c r="DR41" s="456">
        <f t="shared" si="41"/>
        <v>5.9</v>
      </c>
      <c r="DS41" s="456" t="str">
        <f t="shared" si="42"/>
        <v/>
      </c>
      <c r="DT41" s="456" t="str">
        <f t="shared" si="43"/>
        <v/>
      </c>
      <c r="DU41" s="456" t="str">
        <f t="shared" si="44"/>
        <v/>
      </c>
      <c r="DV41" s="456" t="str">
        <f t="shared" si="45"/>
        <v/>
      </c>
      <c r="DW41" s="456">
        <f t="shared" si="46"/>
        <v>7</v>
      </c>
      <c r="DX41" s="456">
        <f t="shared" si="47"/>
        <v>7</v>
      </c>
      <c r="DY41" s="457">
        <f t="shared" si="48"/>
        <v>5.55</v>
      </c>
      <c r="DZ41" s="453" t="str">
        <f t="shared" si="49"/>
        <v/>
      </c>
      <c r="EA41" s="452" t="str">
        <f t="shared" si="50"/>
        <v/>
      </c>
      <c r="EB41" s="452" t="str">
        <f t="shared" si="51"/>
        <v/>
      </c>
      <c r="EC41" s="452" t="str">
        <f t="shared" si="52"/>
        <v/>
      </c>
      <c r="ED41" s="452" t="str">
        <f t="shared" si="53"/>
        <v/>
      </c>
      <c r="EE41" s="452" t="str">
        <f t="shared" si="54"/>
        <v/>
      </c>
      <c r="EF41" s="452" t="str">
        <f t="shared" si="55"/>
        <v/>
      </c>
      <c r="EG41" s="452" t="str">
        <f t="shared" si="56"/>
        <v/>
      </c>
      <c r="EH41" s="452" t="str">
        <f t="shared" si="57"/>
        <v/>
      </c>
      <c r="EI41" s="453">
        <f t="shared" si="58"/>
        <v>4.8</v>
      </c>
      <c r="EJ41" s="452">
        <f t="shared" si="59"/>
        <v>6.1</v>
      </c>
      <c r="EK41" s="452">
        <f t="shared" si="60"/>
        <v>4.5999999999999996</v>
      </c>
      <c r="EL41" s="452">
        <f t="shared" si="61"/>
        <v>3</v>
      </c>
      <c r="EM41" s="452">
        <f t="shared" si="62"/>
        <v>5.9</v>
      </c>
      <c r="EN41" s="452">
        <f t="shared" si="63"/>
        <v>2.2999999999999998</v>
      </c>
      <c r="EO41" s="452" t="str">
        <f t="shared" si="64"/>
        <v/>
      </c>
      <c r="EP41" s="452" t="str">
        <f t="shared" si="65"/>
        <v/>
      </c>
      <c r="EQ41" s="452" t="str">
        <f t="shared" si="66"/>
        <v/>
      </c>
      <c r="ER41" s="452">
        <f t="shared" si="67"/>
        <v>7</v>
      </c>
      <c r="ES41" s="452">
        <f t="shared" si="21"/>
        <v>7</v>
      </c>
      <c r="ET41" s="458" t="str">
        <f t="shared" si="68"/>
        <v/>
      </c>
      <c r="EU41" s="527">
        <f>IF(OR(ISNA(VLOOKUP($B41,'TICH LUY'!$B$11:$BY$85,54,0)),$B41=""),"",VLOOKUP($B41,'TICH LUY'!$B$11:$BY$85,54,0))</f>
        <v>4.4000000000000004</v>
      </c>
      <c r="EV41" s="507">
        <f>IF(OR(ISNA(VLOOKUP($B41,'TICH LUY'!$B$11:$BY$85,55,0)),$B41=""),"",VLOOKUP($B41,'TICH LUY'!$B$11:$BY$85,55,0))</f>
        <v>5.6</v>
      </c>
      <c r="EW41" s="507">
        <f>IF(OR(ISNA(VLOOKUP($B41,'TICH LUY'!$B$11:$BY$85,56,0)),$B41=""),"",VLOOKUP($B41,'TICH LUY'!$B$11:$BY$85,56,0))</f>
        <v>5.2</v>
      </c>
      <c r="EX41" s="507">
        <f>IF(OR(ISNA(VLOOKUP($B41,'TICH LUY'!$B$11:$BY$85,57,0)),$B41=""),"",VLOOKUP($B41,'TICH LUY'!$B$11:$BY$85,57,0))</f>
        <v>4.0999999999999996</v>
      </c>
      <c r="EY41" s="507">
        <f>IF(OR(ISNA(VLOOKUP($B41,'TICH LUY'!$B$11:$BY$85,58,0)),$B41=""),"",VLOOKUP($B41,'TICH LUY'!$B$11:$BY$85,58,0))</f>
        <v>5.6</v>
      </c>
      <c r="EZ41" s="507">
        <f>IF(OR(ISNA(VLOOKUP($B41,'TICH LUY'!$B$11:$BY$85,59,0)),$B41=""),"",VLOOKUP($B41,'TICH LUY'!$B$11:$BY$85,59,0))</f>
        <v>5.7</v>
      </c>
      <c r="FA41" s="507">
        <f>IF(OR(ISNA(VLOOKUP($B41,'TICH LUY'!$B$11:$BY$85,60,0)),$B41=""),"",VLOOKUP($B41,'TICH LUY'!$B$11:$BY$85,60,0))</f>
        <v>5.8</v>
      </c>
      <c r="FB41" s="507" t="str">
        <f>IF(OR(ISNA(VLOOKUP($B41,'TICH LUY'!$B$11:$BY$85,61,0)),$B41=""),"",VLOOKUP($B41,'TICH LUY'!$B$11:$BY$85,61,0))</f>
        <v/>
      </c>
      <c r="FC41" s="507" t="str">
        <f>IF(OR(ISNA(VLOOKUP($B41,'TICH LUY'!$B$11:$BY$85,62,0)),$B41=""),"",VLOOKUP($B41,'TICH LUY'!$B$11:$BY$85,62,0))</f>
        <v/>
      </c>
      <c r="FD41" s="507" t="str">
        <f>IF(OR(ISNA(VLOOKUP($B41,'TICH LUY'!$B$11:$BY$85,63,0)),$B41=""),"",VLOOKUP($B41,'TICH LUY'!$B$11:$BY$85,63,0))</f>
        <v/>
      </c>
      <c r="FE41" s="507">
        <f>IF(OR(ISNA(VLOOKUP($B41,'TICH LUY'!$B$11:$BY$85,64,0)),$B41=""),"",VLOOKUP($B41,'TICH LUY'!$B$11:$BY$85,64,0))</f>
        <v>4.4000000000000004</v>
      </c>
      <c r="FF41" s="507">
        <f>IF(OR(ISNA(VLOOKUP($B41,'TICH LUY'!$B$11:$BY$85,65,0)),$B41=""),"",VLOOKUP($B41,'TICH LUY'!$B$11:$BY$85,65,0))</f>
        <v>4.5</v>
      </c>
      <c r="FG41" s="507">
        <f>IF(OR(ISNA(VLOOKUP($B41,'TICH LUY'!$B$11:$BY$85,66,0)),$B41=""),"",VLOOKUP($B41,'TICH LUY'!$B$11:$BY$85,66,0))</f>
        <v>6.7</v>
      </c>
      <c r="FH41" s="507" t="str">
        <f>IF(OR(ISNA(VLOOKUP($B41,'TICH LUY'!$B$11:$BY$85,67,0)),$B41=""),"",VLOOKUP($B41,'TICH LUY'!$B$11:$BY$85,67,0))</f>
        <v/>
      </c>
      <c r="FI41" s="507">
        <f>IF(OR(ISNA(VLOOKUP($B41,'TICH LUY'!$B$11:$BY$85,68,0)),$B41=""),"",VLOOKUP($B41,'TICH LUY'!$B$11:$BY$85,68,0))</f>
        <v>6</v>
      </c>
      <c r="FJ41" s="507">
        <f>IF(OR(ISNA(VLOOKUP($B41,'TICH LUY'!$B$11:$BY$85,69,0)),$B41=""),"",VLOOKUP($B41,'TICH LUY'!$B$11:$BY$85,69,0))</f>
        <v>5.8</v>
      </c>
      <c r="FK41" s="507" t="str">
        <f>IF(OR(ISNA(VLOOKUP($B41,'TICH LUY'!$B$11:$BY$85,70,0)),$B41=""),"",VLOOKUP($B41,'TICH LUY'!$B$11:$BY$85,70,0))</f>
        <v/>
      </c>
      <c r="FL41" s="507">
        <f>IF(OR(ISNA(VLOOKUP($B41,'TICH LUY'!$B$11:$BY$85,71,0)),$B41=""),"",VLOOKUP($B41,'TICH LUY'!$B$11:$BY$85,71,0))</f>
        <v>5.9</v>
      </c>
      <c r="FM41" s="507" t="str">
        <f>IF(OR(ISNA(VLOOKUP($B41,'TICH LUY'!$B$11:$BY$85,72,0)),$B41=""),"",VLOOKUP($B41,'TICH LUY'!$B$11:$BY$85,72,0))</f>
        <v/>
      </c>
      <c r="FN41" s="507" t="str">
        <f>IF(OR(ISNA(VLOOKUP($B41,'TICH LUY'!$B$11:$BY$85,73,0)),$B41=""),"",VLOOKUP($B41,'TICH LUY'!$B$11:$BY$85,73,0))</f>
        <v/>
      </c>
      <c r="FO41" s="507" t="str">
        <f>IF(OR(ISNA(VLOOKUP($B41,'TICH LUY'!$B$11:$BY$85,74,0)),$B41=""),"",VLOOKUP($B41,'TICH LUY'!$B$11:$BY$85,74,0))</f>
        <v/>
      </c>
      <c r="FP41" s="507">
        <f>IF(OR(ISNA(VLOOKUP($B41,'TICH LUY'!$B$11:$BY$85,75,0)),$B41=""),"",VLOOKUP($B41,'TICH LUY'!$B$11:$BY$85,75,0))</f>
        <v>6.9</v>
      </c>
      <c r="FQ41" s="529" t="str">
        <f>IF(OR(ISNA(VLOOKUP($B41,'TICH LUY'!$B$11:$BY$85,76,0)),$B41=""),"",VLOOKUP($B41,'TICH LUY'!$B$11:$BY$85,76,0))</f>
        <v/>
      </c>
      <c r="FR41" s="455">
        <f t="shared" si="69"/>
        <v>4.8</v>
      </c>
      <c r="FS41" s="456">
        <f t="shared" si="70"/>
        <v>6.1</v>
      </c>
      <c r="FT41" s="456">
        <f t="shared" si="71"/>
        <v>4.5999999999999996</v>
      </c>
      <c r="FU41" s="456" t="str">
        <f t="shared" si="72"/>
        <v/>
      </c>
      <c r="FV41" s="456">
        <f t="shared" si="73"/>
        <v>5.9</v>
      </c>
      <c r="FW41" s="456" t="str">
        <f t="shared" si="74"/>
        <v/>
      </c>
      <c r="FX41" s="456" t="str">
        <f t="shared" si="75"/>
        <v/>
      </c>
      <c r="FY41" s="456" t="str">
        <f t="shared" si="76"/>
        <v/>
      </c>
      <c r="FZ41" s="456" t="str">
        <f t="shared" si="77"/>
        <v/>
      </c>
      <c r="GA41" s="456">
        <f t="shared" si="78"/>
        <v>7</v>
      </c>
      <c r="GB41" s="459">
        <f t="shared" si="79"/>
        <v>7</v>
      </c>
      <c r="GC41" s="457">
        <f t="shared" si="23"/>
        <v>5.55</v>
      </c>
    </row>
    <row r="42" spans="1:185" s="221" customFormat="1" ht="15.75">
      <c r="A42" s="449">
        <f>IF(B42="","",SUBTOTAL(3,$B$11:B42))</f>
        <v>32</v>
      </c>
      <c r="B42" s="198" t="s">
        <v>2119</v>
      </c>
      <c r="C42" s="450" t="str">
        <f>IF($B42="","",VLOOKUP($B42,'DS LOP HKI'!$B$2:$F$2642,2,0))</f>
        <v>Nguyễn Bá</v>
      </c>
      <c r="D42" s="451" t="str">
        <f>IF($B42="","",VLOOKUP($B42,'DS LOP HKI'!$B$2:$F$2642,3,0))</f>
        <v>Trung</v>
      </c>
      <c r="E42" s="154"/>
      <c r="F42" s="152"/>
      <c r="G42" s="156">
        <v>3</v>
      </c>
      <c r="H42" s="181">
        <f>IF(OR($H$6="",$H$7=""),"",IF($B42="","",IF(ISNA(VLOOKUP($B42,'LT01'!$B$11:$R$75,13,FALSE)),"",IF(VLOOKUP($B42,'LT01'!$B$11:$R$75,13,FALSE)="","",VLOOKUP($B42,'LT01'!$B$11:$R$75,13,FALSE)))))</f>
        <v>4.3</v>
      </c>
      <c r="I42" s="182">
        <f>IF(OR($H$6="",$H$7=""),"",IF($B42="","",IF(ISNA(VLOOKUP($B42,'LT01'!$B$11:$R$75,14,FALSE)),"",VLOOKUP($B42,'LT01'!$B$11:$R$75,14,FALSE))))</f>
        <v>5.3</v>
      </c>
      <c r="J42" s="183"/>
      <c r="K42" s="182" t="str">
        <f>IF(OR($H$6="",$H$7=""),"",IF($B42="","",IF(ISNA(VLOOKUP($B42,'LT01'!$B$11:$R$75,17,FALSE)),"",VLOOKUP($B42,'LT01'!$B$11:$R$75,17,FALSE))))</f>
        <v/>
      </c>
      <c r="L42" s="185">
        <f>IF(OR($H$6="",$H$7=""),"",IF($B42="","",IF(ISNA(VLOOKUP($B42,'LT02'!$B$11:$R$75,13,FALSE)),"",IF(VLOOKUP($B42,'LT02'!$B$11:$R$75,13,FALSE)="","",VLOOKUP($B42,'LT02'!$B$11:$R$75,13,FALSE)))))</f>
        <v>6.5</v>
      </c>
      <c r="M42" s="182">
        <f>IF(OR($H$6="",$H$7=""),"",IF($B42="","",IF(ISNA(VLOOKUP($B42,'LT02'!$B$11:$R$75,14,FALSE)),"",VLOOKUP($B42,'LT02'!$B$11:$R$75,14,FALSE))))</f>
        <v>5.6</v>
      </c>
      <c r="N42" s="183"/>
      <c r="O42" s="182" t="str">
        <f>IF(OR($H$6="",$H$7=""),"",IF($B42="","",IF(ISNA(VLOOKUP($B42,'LT02'!$B$11:$R$75,17,FALSE)),"",VLOOKUP($B42,'LT02'!$B$11:$R$75,17,FALSE))))</f>
        <v/>
      </c>
      <c r="P42" s="185">
        <f>IF(OR($H$6="",$H$7=""),"",IF($B42="","",IF(ISNA(VLOOKUP($B42,'LT03'!$B$11:$R$75,13,FALSE)),"",IF(VLOOKUP($B42,'LT03'!$B$11:$R$75,13,FALSE)="","",VLOOKUP($B42,'LT03'!$B$11:$R$75,13,FALSE)))))</f>
        <v>5</v>
      </c>
      <c r="Q42" s="182">
        <f>IF(OR($H$6="",$H$7=""),"",IF($B42="","",IF(ISNA(VLOOKUP($B42,'LT03'!$B$11:$R$75,14,FALSE)),"",VLOOKUP($B42,'LT03'!$B$11:$R$75,14,FALSE))))</f>
        <v>5.5</v>
      </c>
      <c r="R42" s="183"/>
      <c r="S42" s="182" t="str">
        <f>IF(OR($H$6="",$H$7=""),"",IF($B42="","",IF(ISNA(VLOOKUP($B42,'LT03'!$B$11:$R$75,17,FALSE)),"",VLOOKUP($B42,'LT03'!$B$11:$R$75,17,FALSE))))</f>
        <v/>
      </c>
      <c r="T42" s="185">
        <f>IF(OR($H$6="",$H$7=""),"",IF($B42="","",IF(ISNA(VLOOKUP($B42,'LT04'!$B$11:$R$75,13,FALSE)),"",IF(VLOOKUP($B42,'LT04'!$B$11:$R$75,13,FALSE)="","",VLOOKUP($B42,'LT04'!$B$11:$R$75,13,FALSE)))))</f>
        <v>2.5</v>
      </c>
      <c r="U42" s="182">
        <f>IF(OR($H$6="",$H$7=""),"",IF($B42="","",IF(ISNA(VLOOKUP($B42,'LT04'!$B$11:$R$75,14,FALSE)),"",VLOOKUP($B42,'LT04'!$B$11:$R$75,14,FALSE))))</f>
        <v>4.2</v>
      </c>
      <c r="V42" s="183"/>
      <c r="W42" s="184" t="str">
        <f>IF(OR($H$6="",$H$7=""),"",IF($B42="","",IF(ISNA(VLOOKUP($B42,'LT04'!$B$11:$R$75,17,FALSE)),"",VLOOKUP($B42,'LT04'!$B$11:$R$75,17,FALSE))))</f>
        <v/>
      </c>
      <c r="X42" s="185">
        <f>IF(OR($H$6="",$H$7=""),"",IF($B42="","",IF(ISNA(VLOOKUP($B42,'LT05'!$B$11:$R$75,13,FALSE)),"",IF(VLOOKUP($B42,'LT05'!$B$11:$R$75,13,FALSE)="","",VLOOKUP($B42,'LT05'!$B$11:$R$75,13,FALSE)))))</f>
        <v>6.5</v>
      </c>
      <c r="Y42" s="182">
        <f>IF(OR($H$6="",$H$7=""),"",IF($B42="","",IF(ISNA(VLOOKUP($B42,'LT05'!$B$11:$R$75,14,FALSE)),"",VLOOKUP($B42,'LT05'!$B$11:$R$75,14,FALSE))))</f>
        <v>5.3</v>
      </c>
      <c r="Z42" s="183"/>
      <c r="AA42" s="182" t="str">
        <f>IF(OR($H$6="",$H$7=""),"",IF($B42="","",IF(ISNA(VLOOKUP($B42,'LT05'!$B$11:$R$75,17,FALSE)),"",VLOOKUP($B42,'LT05'!$B$11:$R$75,17,FALSE))))</f>
        <v/>
      </c>
      <c r="AB42" s="185">
        <f>IF(OR($H$6="",$H$7=""),"",IF($B42="","",IF(ISNA(VLOOKUP($B42,'LT06'!$B$11:$R$75,13,FALSE)),"",IF(VLOOKUP($B42,'LT06'!$B$11:$R$75,13,FALSE)="","",VLOOKUP($B42,'LT06'!$B$11:$R$75,13,FALSE)))))</f>
        <v>1</v>
      </c>
      <c r="AC42" s="182">
        <f>IF(OR($H$6="",$H$7=""),"",IF($B42="","",IF(ISNA(VLOOKUP($B42,'LT06'!$B$11:$R$75,14,FALSE)),"",VLOOKUP($B42,'LT06'!$B$11:$R$75,14,FALSE))))</f>
        <v>2.4</v>
      </c>
      <c r="AD42" s="183"/>
      <c r="AE42" s="182" t="str">
        <f>IF(OR($H$6="",$H$7=""),"",IF($B42="","",IF(ISNA(VLOOKUP($B42,'LT06'!$B$11:$R$75,17,FALSE)),"",VLOOKUP($B42,'LT06'!$B$11:$R$75,17,FALSE))))</f>
        <v/>
      </c>
      <c r="AF42" s="185" t="str">
        <f>IF(OR($H$6="",$H$7=""),"",IF($B42="","",IF(ISNA(VLOOKUP($B42,'LT07'!$B$11:$R$75,13,FALSE)),"",IF(VLOOKUP($B42,'LT07'!$B$11:$R$75,13,FALSE)="","",VLOOKUP($B42,'LT07'!$B$11:$R$75,13,FALSE)))))</f>
        <v/>
      </c>
      <c r="AG42" s="182" t="str">
        <f>IF(OR($H$6="",$H$7=""),"",IF($B42="","",IF(ISNA(VLOOKUP($B42,'LT07'!$B$11:$R$75,14,FALSE)),"",VLOOKUP($B42,'LT07'!$B$11:$R$75,14,FALSE))))</f>
        <v/>
      </c>
      <c r="AH42" s="183"/>
      <c r="AI42" s="182" t="str">
        <f>IF(OR($H$6="",$H$7=""),"",IF($B42="","",IF(ISNA(VLOOKUP($B42,'LT07'!$B$11:$R$75,17,FALSE)),"",VLOOKUP($B42,'LT07'!$B$11:$R$75,17,FALSE))))</f>
        <v/>
      </c>
      <c r="AJ42" s="185" t="str">
        <f>IF(OR($H$6="",$H$7=""),"",IF($B42="","",IF(ISNA(VLOOKUP($B42,'LT08'!$B$11:$R$75,13,FALSE)),"",IF(VLOOKUP($B42,'LT08'!$B$11:$R$75,13,FALSE)="","",VLOOKUP($B42,'LT08'!$B$11:$R$75,13,FALSE)))))</f>
        <v/>
      </c>
      <c r="AK42" s="182" t="str">
        <f>IF(OR($H$6="",$H$7=""),"",IF($B42="","",IF(ISNA(VLOOKUP($B42,'LT08'!$B$11:$R$75,14,FALSE)),"",VLOOKUP($B42,'LT08'!$B$11:$R$75,14,FALSE))))</f>
        <v/>
      </c>
      <c r="AL42" s="183"/>
      <c r="AM42" s="182" t="str">
        <f>IF(OR($H$6="",$H$7=""),"",IF($B42="","",IF(ISNA(VLOOKUP($B42,'LT08'!$B$11:$R$75,17,FALSE)),"",VLOOKUP($B42,'LT08'!$B$11:$R$75,17,FALSE))))</f>
        <v/>
      </c>
      <c r="AN42" s="185" t="str">
        <f>IF(OR($H$6="",$H$7=""),"",IF($B42="","",IF(ISNA(VLOOKUP($B42,'LT09'!$B$11:$R$75,13,FALSE)),"",IF(VLOOKUP($B42,'LT09'!$B$11:$R$75,13,FALSE)="","",VLOOKUP($B42,'LT09'!$B$11:$R$75,13,FALSE)))))</f>
        <v/>
      </c>
      <c r="AO42" s="182" t="str">
        <f>IF(OR($H$6="",$H$7=""),"",IF($B42="","",IF(ISNA(VLOOKUP($B42,'LT09'!$B$11:$R$75,14,FALSE)),"",VLOOKUP($B42,'LT09'!$B$11:$R$75,14,FALSE))))</f>
        <v/>
      </c>
      <c r="AP42" s="183"/>
      <c r="AQ42" s="182" t="str">
        <f>IF(OR($H$6="",$H$7=""),"",IF($B42="","",IF(ISNA(VLOOKUP($B42,'LT09'!$B$11:$R$75,17,FALSE)),"",VLOOKUP($B42,'LT09'!$B$11:$R$75,17,FALSE))))</f>
        <v/>
      </c>
      <c r="AR42" s="186"/>
      <c r="AS42" s="182">
        <f>IF(OR($H$6="",$H$7=""),"",IF($B42="","",IF(ISNA(VLOOKUP($B42,'TH01'!$B$11:$R$75,14,FALSE)),"",VLOOKUP($B42,'TH01'!$B$11:$R$75,14,FALSE))))</f>
        <v>7.5</v>
      </c>
      <c r="AT42" s="183"/>
      <c r="AU42" s="187"/>
      <c r="AV42" s="186"/>
      <c r="AW42" s="182">
        <f>IF(OR($H$6="",$H$7=""),"",IF($B42="","",IF(ISNA(VLOOKUP($B42,'TH02'!$B$11:$R$75,14,FALSE)),"",VLOOKUP($B42,'TH02'!$B$11:$R$75,14,FALSE))))</f>
        <v>7.3</v>
      </c>
      <c r="AX42" s="183"/>
      <c r="AY42" s="187"/>
      <c r="AZ42" s="54">
        <f t="shared" si="24"/>
        <v>5.41</v>
      </c>
      <c r="BA42" s="54" t="str">
        <f t="shared" si="0"/>
        <v/>
      </c>
      <c r="BB42" s="70">
        <v>51</v>
      </c>
      <c r="BC42" s="52" t="str">
        <f t="shared" si="25"/>
        <v>TBY</v>
      </c>
      <c r="BD42" s="52" t="str">
        <f t="shared" si="26"/>
        <v/>
      </c>
      <c r="BE42" s="52" t="str">
        <f t="shared" si="1"/>
        <v/>
      </c>
      <c r="BF42" s="149" t="str">
        <f t="shared" si="2"/>
        <v/>
      </c>
      <c r="BG42" s="52">
        <f t="shared" si="3"/>
        <v>16</v>
      </c>
      <c r="BH42" s="52">
        <f t="shared" si="27"/>
        <v>2</v>
      </c>
      <c r="BI42" s="52">
        <f t="shared" si="4"/>
        <v>16</v>
      </c>
      <c r="BJ42" s="52">
        <f t="shared" si="5"/>
        <v>2</v>
      </c>
      <c r="BK42" s="54">
        <f t="shared" si="6"/>
        <v>6.06</v>
      </c>
      <c r="BL42" s="54" t="str">
        <f t="shared" si="7"/>
        <v>BT</v>
      </c>
      <c r="BM42" s="54">
        <f t="shared" si="8"/>
        <v>6.06</v>
      </c>
      <c r="BN42" s="54" t="str">
        <f t="shared" si="9"/>
        <v>BT</v>
      </c>
      <c r="BO42" s="70"/>
      <c r="BP42" s="52">
        <f>IF(ISNA(VLOOKUP(B42,'TICH LUY'!B:D,2,0)),"",VLOOKUP(B42,'TICH LUY'!B:D,2,0)+BI42)</f>
        <v>53</v>
      </c>
      <c r="BQ42" s="52">
        <f>IF(ISNA(VLOOKUP(B42,'TICH LUY'!B:D,3,0)),"",VLOOKUP(B42,'TICH LUY'!B:D,3,0)+BJ42)</f>
        <v>4</v>
      </c>
      <c r="BR42" s="40">
        <f t="shared" si="10"/>
        <v>3</v>
      </c>
      <c r="BS42" s="452">
        <f t="shared" si="11"/>
        <v>4.3</v>
      </c>
      <c r="BT42" s="452">
        <f t="shared" si="12"/>
        <v>6.5</v>
      </c>
      <c r="BU42" s="452">
        <f t="shared" si="13"/>
        <v>5</v>
      </c>
      <c r="BV42" s="452">
        <f t="shared" si="14"/>
        <v>2.5</v>
      </c>
      <c r="BW42" s="452">
        <f t="shared" si="15"/>
        <v>6.5</v>
      </c>
      <c r="BX42" s="452">
        <f t="shared" si="16"/>
        <v>1</v>
      </c>
      <c r="BY42" s="452" t="str">
        <f t="shared" si="17"/>
        <v/>
      </c>
      <c r="BZ42" s="452" t="str">
        <f t="shared" si="28"/>
        <v/>
      </c>
      <c r="CA42" s="452" t="str">
        <f t="shared" si="29"/>
        <v/>
      </c>
      <c r="CB42" s="452">
        <f t="shared" si="30"/>
        <v>7.5</v>
      </c>
      <c r="CC42" s="452">
        <f t="shared" si="18"/>
        <v>7.3</v>
      </c>
      <c r="CD42" s="40">
        <f t="shared" si="31"/>
        <v>1</v>
      </c>
      <c r="CE42" s="453">
        <f t="shared" si="80"/>
        <v>5.3</v>
      </c>
      <c r="CF42" s="452">
        <f t="shared" si="32"/>
        <v>5.6</v>
      </c>
      <c r="CG42" s="452">
        <f t="shared" si="81"/>
        <v>5.5</v>
      </c>
      <c r="CH42" s="452">
        <f t="shared" si="82"/>
        <v>4.2</v>
      </c>
      <c r="CI42" s="452">
        <f t="shared" si="83"/>
        <v>5.3</v>
      </c>
      <c r="CJ42" s="452">
        <f t="shared" si="84"/>
        <v>2.4</v>
      </c>
      <c r="CK42" s="452" t="str">
        <f t="shared" si="85"/>
        <v/>
      </c>
      <c r="CL42" s="452" t="str">
        <f t="shared" si="33"/>
        <v/>
      </c>
      <c r="CM42" s="452" t="str">
        <f t="shared" si="34"/>
        <v/>
      </c>
      <c r="CN42" s="452">
        <f t="shared" si="35"/>
        <v>7.5</v>
      </c>
      <c r="CO42" s="452">
        <f t="shared" si="19"/>
        <v>7.3</v>
      </c>
      <c r="CP42" s="454">
        <f t="shared" si="36"/>
        <v>5.41</v>
      </c>
      <c r="CQ42" s="527">
        <f>IF(OR(ISNA(VLOOKUP($B42,'TICH LUY'!$B$11:$BY$85,54,0)),$B42=""),"",VLOOKUP($B42,'TICH LUY'!$B$11:$BY$85,54,0))</f>
        <v>5</v>
      </c>
      <c r="CR42" s="507">
        <f>IF(OR(ISNA(VLOOKUP($B42,'TICH LUY'!$B$11:$BY$85,55,0)),$B42=""),"",VLOOKUP($B42,'TICH LUY'!$B$11:$BY$85,55,0))</f>
        <v>6.4</v>
      </c>
      <c r="CS42" s="507">
        <f>IF(OR(ISNA(VLOOKUP($B42,'TICH LUY'!$B$11:$BY$85,56,0)),$B42=""),"",VLOOKUP($B42,'TICH LUY'!$B$11:$BY$85,56,0))</f>
        <v>5.6</v>
      </c>
      <c r="CT42" s="507">
        <f>IF(OR(ISNA(VLOOKUP($B42,'TICH LUY'!$B$11:$BY$85,57,0)),$B42=""),"",VLOOKUP($B42,'TICH LUY'!$B$11:$BY$85,57,0))</f>
        <v>5.6</v>
      </c>
      <c r="CU42" s="507">
        <f>IF(OR(ISNA(VLOOKUP($B42,'TICH LUY'!$B$11:$BY$85,58,0)),$B42=""),"",VLOOKUP($B42,'TICH LUY'!$B$11:$BY$85,58,0))</f>
        <v>5.9</v>
      </c>
      <c r="CV42" s="507">
        <f>IF(OR(ISNA(VLOOKUP($B42,'TICH LUY'!$B$11:$BY$85,59,0)),$B42=""),"",VLOOKUP($B42,'TICH LUY'!$B$11:$BY$85,59,0))</f>
        <v>6.5</v>
      </c>
      <c r="CW42" s="507">
        <f>IF(OR(ISNA(VLOOKUP($B42,'TICH LUY'!$B$11:$BY$85,60,0)),$B42=""),"",VLOOKUP($B42,'TICH LUY'!$B$11:$BY$85,60,0))</f>
        <v>5.2</v>
      </c>
      <c r="CX42" s="507" t="str">
        <f>IF(OR(ISNA(VLOOKUP($B42,'TICH LUY'!$B$11:$BY$85,61,0)),$B42=""),"",VLOOKUP($B42,'TICH LUY'!$B$11:$BY$85,61,0))</f>
        <v/>
      </c>
      <c r="CY42" s="507" t="str">
        <f>IF(OR(ISNA(VLOOKUP($B42,'TICH LUY'!$B$11:$BY$85,62,0)),$B42=""),"",VLOOKUP($B42,'TICH LUY'!$B$11:$BY$85,62,0))</f>
        <v/>
      </c>
      <c r="CZ42" s="507">
        <f>IF(OR(ISNA(VLOOKUP($B42,'TICH LUY'!$B$11:$BY$85,63,0)),$B42=""),"",VLOOKUP($B42,'TICH LUY'!$B$11:$BY$85,63,0))</f>
        <v>5.8</v>
      </c>
      <c r="DA42" s="507">
        <f>IF(OR(ISNA(VLOOKUP($B42,'TICH LUY'!$B$11:$BY$85,64,0)),$B42=""),"",VLOOKUP($B42,'TICH LUY'!$B$11:$BY$85,64,0))</f>
        <v>5.2</v>
      </c>
      <c r="DB42" s="507" t="str">
        <f>IF(OR(ISNA(VLOOKUP($B42,'TICH LUY'!$B$11:$BY$85,65,0)),$B42=""),"",VLOOKUP($B42,'TICH LUY'!$B$11:$BY$85,65,0))</f>
        <v/>
      </c>
      <c r="DC42" s="507">
        <f>IF(OR(ISNA(VLOOKUP($B42,'TICH LUY'!$B$11:$BY$85,66,0)),$B42=""),"",VLOOKUP($B42,'TICH LUY'!$B$11:$BY$85,66,0))</f>
        <v>8.3000000000000007</v>
      </c>
      <c r="DD42" s="507">
        <f>IF(OR(ISNA(VLOOKUP($B42,'TICH LUY'!$B$11:$BY$85,67,0)),$B42=""),"",VLOOKUP($B42,'TICH LUY'!$B$11:$BY$85,67,0))</f>
        <v>6.4</v>
      </c>
      <c r="DE42" s="507">
        <f>IF(OR(ISNA(VLOOKUP($B42,'TICH LUY'!$B$11:$BY$85,68,0)),$B42=""),"",VLOOKUP($B42,'TICH LUY'!$B$11:$BY$85,68,0))</f>
        <v>6.4</v>
      </c>
      <c r="DF42" s="507">
        <f>IF(OR(ISNA(VLOOKUP($B42,'TICH LUY'!$B$11:$BY$85,69,0)),$B42=""),"",VLOOKUP($B42,'TICH LUY'!$B$11:$BY$85,69,0))</f>
        <v>6.1</v>
      </c>
      <c r="DG42" s="507" t="str">
        <f>IF(OR(ISNA(VLOOKUP($B42,'TICH LUY'!$B$11:$BY$85,70,0)),$B42=""),"",VLOOKUP($B42,'TICH LUY'!$B$11:$BY$85,70,0))</f>
        <v/>
      </c>
      <c r="DH42" s="507">
        <f>IF(OR(ISNA(VLOOKUP($B42,'TICH LUY'!$B$11:$BY$85,71,0)),$B42=""),"",VLOOKUP($B42,'TICH LUY'!$B$11:$BY$85,71,0))</f>
        <v>8</v>
      </c>
      <c r="DI42" s="507" t="str">
        <f>IF(OR(ISNA(VLOOKUP($B42,'TICH LUY'!$B$11:$BY$85,72,0)),$B42=""),"",VLOOKUP($B42,'TICH LUY'!$B$11:$BY$85,72,0))</f>
        <v/>
      </c>
      <c r="DJ42" s="507" t="str">
        <f>IF(OR(ISNA(VLOOKUP($B42,'TICH LUY'!$B$11:$BY$85,73,0)),$B42=""),"",VLOOKUP($B42,'TICH LUY'!$B$11:$BY$85,73,0))</f>
        <v/>
      </c>
      <c r="DK42" s="507" t="str">
        <f>IF(OR(ISNA(VLOOKUP($B42,'TICH LUY'!$B$11:$BY$85,74,0)),$B42=""),"",VLOOKUP($B42,'TICH LUY'!$B$11:$BY$85,74,0))</f>
        <v/>
      </c>
      <c r="DL42" s="507">
        <f>IF(OR(ISNA(VLOOKUP($B42,'TICH LUY'!$B$11:$BY$85,75,0)),$B42=""),"",VLOOKUP($B42,'TICH LUY'!$B$11:$BY$85,75,0))</f>
        <v>6.9</v>
      </c>
      <c r="DM42" s="529" t="str">
        <f>IF(OR(ISNA(VLOOKUP($B42,'TICH LUY'!$B$11:$BY$85,76,0)),$B42=""),"",VLOOKUP($B42,'TICH LUY'!$B$11:$BY$85,76,0))</f>
        <v/>
      </c>
      <c r="DN42" s="455">
        <f t="shared" si="37"/>
        <v>5.3</v>
      </c>
      <c r="DO42" s="456">
        <f t="shared" si="38"/>
        <v>5.6</v>
      </c>
      <c r="DP42" s="456">
        <f t="shared" si="39"/>
        <v>5.5</v>
      </c>
      <c r="DQ42" s="456">
        <f t="shared" si="40"/>
        <v>4.2</v>
      </c>
      <c r="DR42" s="456">
        <f t="shared" si="41"/>
        <v>5.3</v>
      </c>
      <c r="DS42" s="456" t="str">
        <f t="shared" si="42"/>
        <v/>
      </c>
      <c r="DT42" s="456" t="str">
        <f t="shared" si="43"/>
        <v/>
      </c>
      <c r="DU42" s="456" t="str">
        <f t="shared" si="44"/>
        <v/>
      </c>
      <c r="DV42" s="456" t="str">
        <f t="shared" si="45"/>
        <v/>
      </c>
      <c r="DW42" s="456">
        <f t="shared" si="46"/>
        <v>7.5</v>
      </c>
      <c r="DX42" s="456">
        <f t="shared" si="47"/>
        <v>7.3</v>
      </c>
      <c r="DY42" s="457">
        <f t="shared" si="48"/>
        <v>6.06</v>
      </c>
      <c r="DZ42" s="453" t="str">
        <f t="shared" si="49"/>
        <v/>
      </c>
      <c r="EA42" s="452" t="str">
        <f t="shared" si="50"/>
        <v/>
      </c>
      <c r="EB42" s="452" t="str">
        <f t="shared" si="51"/>
        <v/>
      </c>
      <c r="EC42" s="452" t="str">
        <f t="shared" si="52"/>
        <v/>
      </c>
      <c r="ED42" s="452" t="str">
        <f t="shared" si="53"/>
        <v/>
      </c>
      <c r="EE42" s="452" t="str">
        <f t="shared" si="54"/>
        <v/>
      </c>
      <c r="EF42" s="452" t="str">
        <f t="shared" si="55"/>
        <v/>
      </c>
      <c r="EG42" s="452" t="str">
        <f t="shared" si="56"/>
        <v/>
      </c>
      <c r="EH42" s="452" t="str">
        <f t="shared" si="57"/>
        <v/>
      </c>
      <c r="EI42" s="453">
        <f t="shared" si="58"/>
        <v>5.3</v>
      </c>
      <c r="EJ42" s="452">
        <f t="shared" si="59"/>
        <v>5.6</v>
      </c>
      <c r="EK42" s="452">
        <f t="shared" si="60"/>
        <v>5.5</v>
      </c>
      <c r="EL42" s="452">
        <f t="shared" si="61"/>
        <v>4.2</v>
      </c>
      <c r="EM42" s="452">
        <f t="shared" si="62"/>
        <v>5.3</v>
      </c>
      <c r="EN42" s="452">
        <f t="shared" si="63"/>
        <v>2.4</v>
      </c>
      <c r="EO42" s="452" t="str">
        <f t="shared" si="64"/>
        <v/>
      </c>
      <c r="EP42" s="452" t="str">
        <f t="shared" si="65"/>
        <v/>
      </c>
      <c r="EQ42" s="452" t="str">
        <f t="shared" si="66"/>
        <v/>
      </c>
      <c r="ER42" s="452">
        <f t="shared" si="67"/>
        <v>7.5</v>
      </c>
      <c r="ES42" s="452">
        <f t="shared" si="21"/>
        <v>7.3</v>
      </c>
      <c r="ET42" s="458" t="str">
        <f t="shared" si="68"/>
        <v/>
      </c>
      <c r="EU42" s="527">
        <f>IF(OR(ISNA(VLOOKUP($B42,'TICH LUY'!$B$11:$BY$85,54,0)),$B42=""),"",VLOOKUP($B42,'TICH LUY'!$B$11:$BY$85,54,0))</f>
        <v>5</v>
      </c>
      <c r="EV42" s="507">
        <f>IF(OR(ISNA(VLOOKUP($B42,'TICH LUY'!$B$11:$BY$85,55,0)),$B42=""),"",VLOOKUP($B42,'TICH LUY'!$B$11:$BY$85,55,0))</f>
        <v>6.4</v>
      </c>
      <c r="EW42" s="507">
        <f>IF(OR(ISNA(VLOOKUP($B42,'TICH LUY'!$B$11:$BY$85,56,0)),$B42=""),"",VLOOKUP($B42,'TICH LUY'!$B$11:$BY$85,56,0))</f>
        <v>5.6</v>
      </c>
      <c r="EX42" s="507">
        <f>IF(OR(ISNA(VLOOKUP($B42,'TICH LUY'!$B$11:$BY$85,57,0)),$B42=""),"",VLOOKUP($B42,'TICH LUY'!$B$11:$BY$85,57,0))</f>
        <v>5.6</v>
      </c>
      <c r="EY42" s="507">
        <f>IF(OR(ISNA(VLOOKUP($B42,'TICH LUY'!$B$11:$BY$85,58,0)),$B42=""),"",VLOOKUP($B42,'TICH LUY'!$B$11:$BY$85,58,0))</f>
        <v>5.9</v>
      </c>
      <c r="EZ42" s="507">
        <f>IF(OR(ISNA(VLOOKUP($B42,'TICH LUY'!$B$11:$BY$85,59,0)),$B42=""),"",VLOOKUP($B42,'TICH LUY'!$B$11:$BY$85,59,0))</f>
        <v>6.5</v>
      </c>
      <c r="FA42" s="507">
        <f>IF(OR(ISNA(VLOOKUP($B42,'TICH LUY'!$B$11:$BY$85,60,0)),$B42=""),"",VLOOKUP($B42,'TICH LUY'!$B$11:$BY$85,60,0))</f>
        <v>5.2</v>
      </c>
      <c r="FB42" s="507" t="str">
        <f>IF(OR(ISNA(VLOOKUP($B42,'TICH LUY'!$B$11:$BY$85,61,0)),$B42=""),"",VLOOKUP($B42,'TICH LUY'!$B$11:$BY$85,61,0))</f>
        <v/>
      </c>
      <c r="FC42" s="507" t="str">
        <f>IF(OR(ISNA(VLOOKUP($B42,'TICH LUY'!$B$11:$BY$85,62,0)),$B42=""),"",VLOOKUP($B42,'TICH LUY'!$B$11:$BY$85,62,0))</f>
        <v/>
      </c>
      <c r="FD42" s="507">
        <f>IF(OR(ISNA(VLOOKUP($B42,'TICH LUY'!$B$11:$BY$85,63,0)),$B42=""),"",VLOOKUP($B42,'TICH LUY'!$B$11:$BY$85,63,0))</f>
        <v>5.8</v>
      </c>
      <c r="FE42" s="507">
        <f>IF(OR(ISNA(VLOOKUP($B42,'TICH LUY'!$B$11:$BY$85,64,0)),$B42=""),"",VLOOKUP($B42,'TICH LUY'!$B$11:$BY$85,64,0))</f>
        <v>5.2</v>
      </c>
      <c r="FF42" s="507" t="str">
        <f>IF(OR(ISNA(VLOOKUP($B42,'TICH LUY'!$B$11:$BY$85,65,0)),$B42=""),"",VLOOKUP($B42,'TICH LUY'!$B$11:$BY$85,65,0))</f>
        <v/>
      </c>
      <c r="FG42" s="507">
        <f>IF(OR(ISNA(VLOOKUP($B42,'TICH LUY'!$B$11:$BY$85,66,0)),$B42=""),"",VLOOKUP($B42,'TICH LUY'!$B$11:$BY$85,66,0))</f>
        <v>8.3000000000000007</v>
      </c>
      <c r="FH42" s="507">
        <f>IF(OR(ISNA(VLOOKUP($B42,'TICH LUY'!$B$11:$BY$85,67,0)),$B42=""),"",VLOOKUP($B42,'TICH LUY'!$B$11:$BY$85,67,0))</f>
        <v>6.4</v>
      </c>
      <c r="FI42" s="507">
        <f>IF(OR(ISNA(VLOOKUP($B42,'TICH LUY'!$B$11:$BY$85,68,0)),$B42=""),"",VLOOKUP($B42,'TICH LUY'!$B$11:$BY$85,68,0))</f>
        <v>6.4</v>
      </c>
      <c r="FJ42" s="507">
        <f>IF(OR(ISNA(VLOOKUP($B42,'TICH LUY'!$B$11:$BY$85,69,0)),$B42=""),"",VLOOKUP($B42,'TICH LUY'!$B$11:$BY$85,69,0))</f>
        <v>6.1</v>
      </c>
      <c r="FK42" s="507" t="str">
        <f>IF(OR(ISNA(VLOOKUP($B42,'TICH LUY'!$B$11:$BY$85,70,0)),$B42=""),"",VLOOKUP($B42,'TICH LUY'!$B$11:$BY$85,70,0))</f>
        <v/>
      </c>
      <c r="FL42" s="507">
        <f>IF(OR(ISNA(VLOOKUP($B42,'TICH LUY'!$B$11:$BY$85,71,0)),$B42=""),"",VLOOKUP($B42,'TICH LUY'!$B$11:$BY$85,71,0))</f>
        <v>8</v>
      </c>
      <c r="FM42" s="507" t="str">
        <f>IF(OR(ISNA(VLOOKUP($B42,'TICH LUY'!$B$11:$BY$85,72,0)),$B42=""),"",VLOOKUP($B42,'TICH LUY'!$B$11:$BY$85,72,0))</f>
        <v/>
      </c>
      <c r="FN42" s="507" t="str">
        <f>IF(OR(ISNA(VLOOKUP($B42,'TICH LUY'!$B$11:$BY$85,73,0)),$B42=""),"",VLOOKUP($B42,'TICH LUY'!$B$11:$BY$85,73,0))</f>
        <v/>
      </c>
      <c r="FO42" s="507" t="str">
        <f>IF(OR(ISNA(VLOOKUP($B42,'TICH LUY'!$B$11:$BY$85,74,0)),$B42=""),"",VLOOKUP($B42,'TICH LUY'!$B$11:$BY$85,74,0))</f>
        <v/>
      </c>
      <c r="FP42" s="507">
        <f>IF(OR(ISNA(VLOOKUP($B42,'TICH LUY'!$B$11:$BY$85,75,0)),$B42=""),"",VLOOKUP($B42,'TICH LUY'!$B$11:$BY$85,75,0))</f>
        <v>6.9</v>
      </c>
      <c r="FQ42" s="529" t="str">
        <f>IF(OR(ISNA(VLOOKUP($B42,'TICH LUY'!$B$11:$BY$85,76,0)),$B42=""),"",VLOOKUP($B42,'TICH LUY'!$B$11:$BY$85,76,0))</f>
        <v/>
      </c>
      <c r="FR42" s="455">
        <f t="shared" si="69"/>
        <v>5.3</v>
      </c>
      <c r="FS42" s="456">
        <f t="shared" si="70"/>
        <v>5.6</v>
      </c>
      <c r="FT42" s="456">
        <f t="shared" si="71"/>
        <v>5.5</v>
      </c>
      <c r="FU42" s="456">
        <f t="shared" si="72"/>
        <v>4.2</v>
      </c>
      <c r="FV42" s="456">
        <f t="shared" si="73"/>
        <v>5.3</v>
      </c>
      <c r="FW42" s="456" t="str">
        <f t="shared" si="74"/>
        <v/>
      </c>
      <c r="FX42" s="456" t="str">
        <f t="shared" si="75"/>
        <v/>
      </c>
      <c r="FY42" s="456" t="str">
        <f t="shared" si="76"/>
        <v/>
      </c>
      <c r="FZ42" s="456" t="str">
        <f t="shared" si="77"/>
        <v/>
      </c>
      <c r="GA42" s="456">
        <f t="shared" si="78"/>
        <v>7.5</v>
      </c>
      <c r="GB42" s="459">
        <f t="shared" si="79"/>
        <v>7.3</v>
      </c>
      <c r="GC42" s="457">
        <f t="shared" si="23"/>
        <v>6.06</v>
      </c>
    </row>
    <row r="43" spans="1:185" s="221" customFormat="1" ht="15.75">
      <c r="A43" s="449">
        <f>IF(B43="","",SUBTOTAL(3,$B$11:B43))</f>
        <v>33</v>
      </c>
      <c r="B43" s="198" t="s">
        <v>2121</v>
      </c>
      <c r="C43" s="450" t="str">
        <f>IF($B43="","",VLOOKUP($B43,'DS LOP HKI'!$B$2:$F$2642,2,0))</f>
        <v>Mai Ngọc</v>
      </c>
      <c r="D43" s="451" t="str">
        <f>IF($B43="","",VLOOKUP($B43,'DS LOP HKI'!$B$2:$F$2642,3,0))</f>
        <v>Trước</v>
      </c>
      <c r="E43" s="154"/>
      <c r="F43" s="152"/>
      <c r="G43" s="156">
        <v>3</v>
      </c>
      <c r="H43" s="181">
        <f>IF(OR($H$6="",$H$7=""),"",IF($B43="","",IF(ISNA(VLOOKUP($B43,'LT01'!$B$11:$R$75,13,FALSE)),"",IF(VLOOKUP($B43,'LT01'!$B$11:$R$75,13,FALSE)="","",VLOOKUP($B43,'LT01'!$B$11:$R$75,13,FALSE)))))</f>
        <v>3.3</v>
      </c>
      <c r="I43" s="182">
        <f>IF(OR($H$6="",$H$7=""),"",IF($B43="","",IF(ISNA(VLOOKUP($B43,'LT01'!$B$11:$R$75,14,FALSE)),"",VLOOKUP($B43,'LT01'!$B$11:$R$75,14,FALSE))))</f>
        <v>4.3</v>
      </c>
      <c r="J43" s="183"/>
      <c r="K43" s="182" t="str">
        <f>IF(OR($H$6="",$H$7=""),"",IF($B43="","",IF(ISNA(VLOOKUP($B43,'LT01'!$B$11:$R$75,17,FALSE)),"",VLOOKUP($B43,'LT01'!$B$11:$R$75,17,FALSE))))</f>
        <v/>
      </c>
      <c r="L43" s="185">
        <f>IF(OR($H$6="",$H$7=""),"",IF($B43="","",IF(ISNA(VLOOKUP($B43,'LT02'!$B$11:$R$75,13,FALSE)),"",IF(VLOOKUP($B43,'LT02'!$B$11:$R$75,13,FALSE)="","",VLOOKUP($B43,'LT02'!$B$11:$R$75,13,FALSE)))))</f>
        <v>6</v>
      </c>
      <c r="M43" s="182">
        <f>IF(OR($H$6="",$H$7=""),"",IF($B43="","",IF(ISNA(VLOOKUP($B43,'LT02'!$B$11:$R$75,14,FALSE)),"",VLOOKUP($B43,'LT02'!$B$11:$R$75,14,FALSE))))</f>
        <v>7</v>
      </c>
      <c r="N43" s="183"/>
      <c r="O43" s="182" t="str">
        <f>IF(OR($H$6="",$H$7=""),"",IF($B43="","",IF(ISNA(VLOOKUP($B43,'LT02'!$B$11:$R$75,17,FALSE)),"",VLOOKUP($B43,'LT02'!$B$11:$R$75,17,FALSE))))</f>
        <v/>
      </c>
      <c r="P43" s="185">
        <f>IF(OR($H$6="",$H$7=""),"",IF($B43="","",IF(ISNA(VLOOKUP($B43,'LT03'!$B$11:$R$75,13,FALSE)),"",IF(VLOOKUP($B43,'LT03'!$B$11:$R$75,13,FALSE)="","",VLOOKUP($B43,'LT03'!$B$11:$R$75,13,FALSE)))))</f>
        <v>5.6</v>
      </c>
      <c r="Q43" s="182">
        <f>IF(OR($H$6="",$H$7=""),"",IF($B43="","",IF(ISNA(VLOOKUP($B43,'LT03'!$B$11:$R$75,14,FALSE)),"",VLOOKUP($B43,'LT03'!$B$11:$R$75,14,FALSE))))</f>
        <v>6.3</v>
      </c>
      <c r="R43" s="183"/>
      <c r="S43" s="182" t="str">
        <f>IF(OR($H$6="",$H$7=""),"",IF($B43="","",IF(ISNA(VLOOKUP($B43,'LT03'!$B$11:$R$75,17,FALSE)),"",VLOOKUP($B43,'LT03'!$B$11:$R$75,17,FALSE))))</f>
        <v/>
      </c>
      <c r="T43" s="185">
        <f>IF(OR($H$6="",$H$7=""),"",IF($B43="","",IF(ISNA(VLOOKUP($B43,'LT04'!$B$11:$R$75,13,FALSE)),"",IF(VLOOKUP($B43,'LT04'!$B$11:$R$75,13,FALSE)="","",VLOOKUP($B43,'LT04'!$B$11:$R$75,13,FALSE)))))</f>
        <v>5.5</v>
      </c>
      <c r="U43" s="182">
        <f>IF(OR($H$6="",$H$7=""),"",IF($B43="","",IF(ISNA(VLOOKUP($B43,'LT04'!$B$11:$R$75,14,FALSE)),"",VLOOKUP($B43,'LT04'!$B$11:$R$75,14,FALSE))))</f>
        <v>6.7</v>
      </c>
      <c r="V43" s="183"/>
      <c r="W43" s="184" t="str">
        <f>IF(OR($H$6="",$H$7=""),"",IF($B43="","",IF(ISNA(VLOOKUP($B43,'LT04'!$B$11:$R$75,17,FALSE)),"",VLOOKUP($B43,'LT04'!$B$11:$R$75,17,FALSE))))</f>
        <v/>
      </c>
      <c r="X43" s="185">
        <f>IF(OR($H$6="",$H$7=""),"",IF($B43="","",IF(ISNA(VLOOKUP($B43,'LT05'!$B$11:$R$75,13,FALSE)),"",IF(VLOOKUP($B43,'LT05'!$B$11:$R$75,13,FALSE)="","",VLOOKUP($B43,'LT05'!$B$11:$R$75,13,FALSE)))))</f>
        <v>7</v>
      </c>
      <c r="Y43" s="182">
        <f>IF(OR($H$6="",$H$7=""),"",IF($B43="","",IF(ISNA(VLOOKUP($B43,'LT05'!$B$11:$R$75,14,FALSE)),"",VLOOKUP($B43,'LT05'!$B$11:$R$75,14,FALSE))))</f>
        <v>6.1</v>
      </c>
      <c r="Z43" s="183"/>
      <c r="AA43" s="182" t="str">
        <f>IF(OR($H$6="",$H$7=""),"",IF($B43="","",IF(ISNA(VLOOKUP($B43,'LT05'!$B$11:$R$75,17,FALSE)),"",VLOOKUP($B43,'LT05'!$B$11:$R$75,17,FALSE))))</f>
        <v/>
      </c>
      <c r="AB43" s="185">
        <f>IF(OR($H$6="",$H$7=""),"",IF($B43="","",IF(ISNA(VLOOKUP($B43,'LT06'!$B$11:$R$75,13,FALSE)),"",IF(VLOOKUP($B43,'LT06'!$B$11:$R$75,13,FALSE)="","",VLOOKUP($B43,'LT06'!$B$11:$R$75,13,FALSE)))))</f>
        <v>3.5</v>
      </c>
      <c r="AC43" s="182">
        <f>IF(OR($H$6="",$H$7=""),"",IF($B43="","",IF(ISNA(VLOOKUP($B43,'LT06'!$B$11:$R$75,14,FALSE)),"",VLOOKUP($B43,'LT06'!$B$11:$R$75,14,FALSE))))</f>
        <v>4.5999999999999996</v>
      </c>
      <c r="AD43" s="183"/>
      <c r="AE43" s="182" t="str">
        <f>IF(OR($H$6="",$H$7=""),"",IF($B43="","",IF(ISNA(VLOOKUP($B43,'LT06'!$B$11:$R$75,17,FALSE)),"",VLOOKUP($B43,'LT06'!$B$11:$R$75,17,FALSE))))</f>
        <v/>
      </c>
      <c r="AF43" s="185" t="str">
        <f>IF(OR($H$6="",$H$7=""),"",IF($B43="","",IF(ISNA(VLOOKUP($B43,'LT07'!$B$11:$R$75,13,FALSE)),"",IF(VLOOKUP($B43,'LT07'!$B$11:$R$75,13,FALSE)="","",VLOOKUP($B43,'LT07'!$B$11:$R$75,13,FALSE)))))</f>
        <v/>
      </c>
      <c r="AG43" s="182" t="str">
        <f>IF(OR($H$6="",$H$7=""),"",IF($B43="","",IF(ISNA(VLOOKUP($B43,'LT07'!$B$11:$R$75,14,FALSE)),"",VLOOKUP($B43,'LT07'!$B$11:$R$75,14,FALSE))))</f>
        <v/>
      </c>
      <c r="AH43" s="183"/>
      <c r="AI43" s="182" t="str">
        <f>IF(OR($H$6="",$H$7=""),"",IF($B43="","",IF(ISNA(VLOOKUP($B43,'LT07'!$B$11:$R$75,17,FALSE)),"",VLOOKUP($B43,'LT07'!$B$11:$R$75,17,FALSE))))</f>
        <v/>
      </c>
      <c r="AJ43" s="185" t="str">
        <f>IF(OR($H$6="",$H$7=""),"",IF($B43="","",IF(ISNA(VLOOKUP($B43,'LT08'!$B$11:$R$75,13,FALSE)),"",IF(VLOOKUP($B43,'LT08'!$B$11:$R$75,13,FALSE)="","",VLOOKUP($B43,'LT08'!$B$11:$R$75,13,FALSE)))))</f>
        <v/>
      </c>
      <c r="AK43" s="182" t="str">
        <f>IF(OR($H$6="",$H$7=""),"",IF($B43="","",IF(ISNA(VLOOKUP($B43,'LT08'!$B$11:$R$75,14,FALSE)),"",VLOOKUP($B43,'LT08'!$B$11:$R$75,14,FALSE))))</f>
        <v/>
      </c>
      <c r="AL43" s="183"/>
      <c r="AM43" s="182" t="str">
        <f>IF(OR($H$6="",$H$7=""),"",IF($B43="","",IF(ISNA(VLOOKUP($B43,'LT08'!$B$11:$R$75,17,FALSE)),"",VLOOKUP($B43,'LT08'!$B$11:$R$75,17,FALSE))))</f>
        <v/>
      </c>
      <c r="AN43" s="185" t="str">
        <f>IF(OR($H$6="",$H$7=""),"",IF($B43="","",IF(ISNA(VLOOKUP($B43,'LT09'!$B$11:$R$75,13,FALSE)),"",IF(VLOOKUP($B43,'LT09'!$B$11:$R$75,13,FALSE)="","",VLOOKUP($B43,'LT09'!$B$11:$R$75,13,FALSE)))))</f>
        <v/>
      </c>
      <c r="AO43" s="182" t="str">
        <f>IF(OR($H$6="",$H$7=""),"",IF($B43="","",IF(ISNA(VLOOKUP($B43,'LT09'!$B$11:$R$75,14,FALSE)),"",VLOOKUP($B43,'LT09'!$B$11:$R$75,14,FALSE))))</f>
        <v/>
      </c>
      <c r="AP43" s="183"/>
      <c r="AQ43" s="182" t="str">
        <f>IF(OR($H$6="",$H$7=""),"",IF($B43="","",IF(ISNA(VLOOKUP($B43,'LT09'!$B$11:$R$75,17,FALSE)),"",VLOOKUP($B43,'LT09'!$B$11:$R$75,17,FALSE))))</f>
        <v/>
      </c>
      <c r="AR43" s="186"/>
      <c r="AS43" s="182">
        <f>IF(OR($H$6="",$H$7=""),"",IF($B43="","",IF(ISNA(VLOOKUP($B43,'TH01'!$B$11:$R$75,14,FALSE)),"",VLOOKUP($B43,'TH01'!$B$11:$R$75,14,FALSE))))</f>
        <v>6.8</v>
      </c>
      <c r="AT43" s="183"/>
      <c r="AU43" s="187"/>
      <c r="AV43" s="186"/>
      <c r="AW43" s="182">
        <f>IF(OR($H$6="",$H$7=""),"",IF($B43="","",IF(ISNA(VLOOKUP($B43,'TH02'!$B$11:$R$75,14,FALSE)),"",VLOOKUP($B43,'TH02'!$B$11:$R$75,14,FALSE))))</f>
        <v>7.5</v>
      </c>
      <c r="AX43" s="183"/>
      <c r="AY43" s="187"/>
      <c r="AZ43" s="54">
        <f t="shared" si="24"/>
        <v>6.22</v>
      </c>
      <c r="BA43" s="54" t="str">
        <f t="shared" si="0"/>
        <v/>
      </c>
      <c r="BB43" s="70">
        <v>45</v>
      </c>
      <c r="BC43" s="52" t="str">
        <f t="shared" si="25"/>
        <v>TB</v>
      </c>
      <c r="BD43" s="52" t="str">
        <f t="shared" si="26"/>
        <v/>
      </c>
      <c r="BE43" s="52" t="str">
        <f t="shared" ref="BE43:BE75" si="86">IF(AND(BI43&gt;15,AZ43&gt;=7,BB43&gt;=70,ISBLANK(BO43)=TRUE,BR43=0,CD43=0,COUNT(BS43:CC43)&gt;0,COUNT(CE43:CO43)&gt;0),"Xét KT&amp;HB","")</f>
        <v/>
      </c>
      <c r="BF43" s="149" t="str">
        <f t="shared" ref="BF43:BF75" si="87">IF(AZ43&gt;=4,"",IF(OR(BA43&lt;4,AND(AZ43&lt;4,BA43="",COUNT(DZ43:EH43)=0),BQ43&gt;24),"Cảnh Báo",""))</f>
        <v/>
      </c>
      <c r="BG43" s="52">
        <f t="shared" ref="BG43:BG75" si="88">IF(B43="","",SUMIF($CE43:$CO43,"&gt;=4",$CE$7:$CO$7))</f>
        <v>18</v>
      </c>
      <c r="BH43" s="52">
        <f t="shared" ref="BH43:BH75" si="89">IF(B43="","",SUMIF($CE43:$CO43,"&lt;4",$CE$7:$CO$7))</f>
        <v>0</v>
      </c>
      <c r="BI43" s="52">
        <f t="shared" ref="BI43:BI75" si="90">IF(B43="","",SUMIF($EI43:$ES43,"&gt;=4",$EI$7:$ES$7))</f>
        <v>18</v>
      </c>
      <c r="BJ43" s="52">
        <f t="shared" ref="BJ43:BJ75" si="91">IF(B43="","",SUMIF($EI43:$ES43,"&lt;4",$EI$7:$ES$7))</f>
        <v>0</v>
      </c>
      <c r="BK43" s="54">
        <f t="shared" ref="BK43:BK75" si="92">DY43</f>
        <v>6.47</v>
      </c>
      <c r="BL43" s="54" t="str">
        <f t="shared" ref="BL43:BL74" si="93">IF(B43="","",IF(BK43&gt;=5.5,"BT","Y"))</f>
        <v>BT</v>
      </c>
      <c r="BM43" s="54">
        <f t="shared" ref="BM43:BM75" si="94">GC43</f>
        <v>6.47</v>
      </c>
      <c r="BN43" s="54" t="str">
        <f t="shared" ref="BN43:BN74" si="95">IF(B43="","",IF(BM43&gt;=5.5,"BT","Y"))</f>
        <v>BT</v>
      </c>
      <c r="BO43" s="70"/>
      <c r="BP43" s="52">
        <f>IF(ISNA(VLOOKUP(B43,'TICH LUY'!B:D,2,0)),"",VLOOKUP(B43,'TICH LUY'!B:D,2,0)+BI43)</f>
        <v>57</v>
      </c>
      <c r="BQ43" s="52">
        <f>IF(ISNA(VLOOKUP(B43,'TICH LUY'!B:D,3,0)),"",VLOOKUP(B43,'TICH LUY'!B:D,3,0)+BJ43)</f>
        <v>0</v>
      </c>
      <c r="BR43" s="40">
        <f t="shared" ref="BR43:BR74" si="96">IF(COUNT(BS43:CC43)=0,"",COUNTIF(BS43:CC43,"&lt;5"))</f>
        <v>2</v>
      </c>
      <c r="BS43" s="452">
        <f t="shared" ref="BS43:BS75" si="97">H43</f>
        <v>3.3</v>
      </c>
      <c r="BT43" s="452">
        <f t="shared" ref="BT43:BT75" si="98">L43</f>
        <v>6</v>
      </c>
      <c r="BU43" s="452">
        <f t="shared" ref="BU43:BU75" si="99">P43</f>
        <v>5.6</v>
      </c>
      <c r="BV43" s="452">
        <f t="shared" ref="BV43:BV75" si="100">T43</f>
        <v>5.5</v>
      </c>
      <c r="BW43" s="452">
        <f t="shared" ref="BW43:BW75" si="101">X43</f>
        <v>7</v>
      </c>
      <c r="BX43" s="452">
        <f t="shared" ref="BX43:BX75" si="102">AB43</f>
        <v>3.5</v>
      </c>
      <c r="BY43" s="452" t="str">
        <f t="shared" ref="BY43:BY75" si="103">AF43</f>
        <v/>
      </c>
      <c r="BZ43" s="452" t="str">
        <f t="shared" si="28"/>
        <v/>
      </c>
      <c r="CA43" s="452" t="str">
        <f t="shared" si="29"/>
        <v/>
      </c>
      <c r="CB43" s="452">
        <f t="shared" si="30"/>
        <v>6.8</v>
      </c>
      <c r="CC43" s="452">
        <f t="shared" ref="CC43:CC75" si="104">AW43</f>
        <v>7.5</v>
      </c>
      <c r="CD43" s="40">
        <f t="shared" si="31"/>
        <v>0</v>
      </c>
      <c r="CE43" s="453">
        <f t="shared" si="80"/>
        <v>4.3</v>
      </c>
      <c r="CF43" s="452">
        <f t="shared" si="32"/>
        <v>7</v>
      </c>
      <c r="CG43" s="452">
        <f t="shared" si="81"/>
        <v>6.3</v>
      </c>
      <c r="CH43" s="452">
        <f t="shared" si="82"/>
        <v>6.7</v>
      </c>
      <c r="CI43" s="452">
        <f t="shared" si="83"/>
        <v>6.1</v>
      </c>
      <c r="CJ43" s="452">
        <f t="shared" si="84"/>
        <v>4.5999999999999996</v>
      </c>
      <c r="CK43" s="452" t="str">
        <f t="shared" si="85"/>
        <v/>
      </c>
      <c r="CL43" s="452" t="str">
        <f t="shared" si="33"/>
        <v/>
      </c>
      <c r="CM43" s="452" t="str">
        <f t="shared" si="34"/>
        <v/>
      </c>
      <c r="CN43" s="452">
        <f t="shared" si="35"/>
        <v>6.8</v>
      </c>
      <c r="CO43" s="452">
        <f t="shared" ref="CO43:CO75" si="105">AW43</f>
        <v>7.5</v>
      </c>
      <c r="CP43" s="454">
        <f t="shared" si="36"/>
        <v>6.22</v>
      </c>
      <c r="CQ43" s="527">
        <f>IF(OR(ISNA(VLOOKUP($B43,'TICH LUY'!$B$11:$BY$85,54,0)),$B43=""),"",VLOOKUP($B43,'TICH LUY'!$B$11:$BY$85,54,0))</f>
        <v>5</v>
      </c>
      <c r="CR43" s="507">
        <f>IF(OR(ISNA(VLOOKUP($B43,'TICH LUY'!$B$11:$BY$85,55,0)),$B43=""),"",VLOOKUP($B43,'TICH LUY'!$B$11:$BY$85,55,0))</f>
        <v>6.7</v>
      </c>
      <c r="CS43" s="507">
        <f>IF(OR(ISNA(VLOOKUP($B43,'TICH LUY'!$B$11:$BY$85,56,0)),$B43=""),"",VLOOKUP($B43,'TICH LUY'!$B$11:$BY$85,56,0))</f>
        <v>6.6</v>
      </c>
      <c r="CT43" s="507">
        <f>IF(OR(ISNA(VLOOKUP($B43,'TICH LUY'!$B$11:$BY$85,57,0)),$B43=""),"",VLOOKUP($B43,'TICH LUY'!$B$11:$BY$85,57,0))</f>
        <v>6.5</v>
      </c>
      <c r="CU43" s="507">
        <f>IF(OR(ISNA(VLOOKUP($B43,'TICH LUY'!$B$11:$BY$85,58,0)),$B43=""),"",VLOOKUP($B43,'TICH LUY'!$B$11:$BY$85,58,0))</f>
        <v>6.4</v>
      </c>
      <c r="CV43" s="507">
        <f>IF(OR(ISNA(VLOOKUP($B43,'TICH LUY'!$B$11:$BY$85,59,0)),$B43=""),"",VLOOKUP($B43,'TICH LUY'!$B$11:$BY$85,59,0))</f>
        <v>8.1</v>
      </c>
      <c r="CW43" s="507">
        <f>IF(OR(ISNA(VLOOKUP($B43,'TICH LUY'!$B$11:$BY$85,60,0)),$B43=""),"",VLOOKUP($B43,'TICH LUY'!$B$11:$BY$85,60,0))</f>
        <v>6.5</v>
      </c>
      <c r="CX43" s="507" t="str">
        <f>IF(OR(ISNA(VLOOKUP($B43,'TICH LUY'!$B$11:$BY$85,61,0)),$B43=""),"",VLOOKUP($B43,'TICH LUY'!$B$11:$BY$85,61,0))</f>
        <v/>
      </c>
      <c r="CY43" s="507" t="str">
        <f>IF(OR(ISNA(VLOOKUP($B43,'TICH LUY'!$B$11:$BY$85,62,0)),$B43=""),"",VLOOKUP($B43,'TICH LUY'!$B$11:$BY$85,62,0))</f>
        <v/>
      </c>
      <c r="CZ43" s="507">
        <f>IF(OR(ISNA(VLOOKUP($B43,'TICH LUY'!$B$11:$BY$85,63,0)),$B43=""),"",VLOOKUP($B43,'TICH LUY'!$B$11:$BY$85,63,0))</f>
        <v>5.2</v>
      </c>
      <c r="DA43" s="507">
        <f>IF(OR(ISNA(VLOOKUP($B43,'TICH LUY'!$B$11:$BY$85,64,0)),$B43=""),"",VLOOKUP($B43,'TICH LUY'!$B$11:$BY$85,64,0))</f>
        <v>5.3</v>
      </c>
      <c r="DB43" s="507">
        <f>IF(OR(ISNA(VLOOKUP($B43,'TICH LUY'!$B$11:$BY$85,65,0)),$B43=""),"",VLOOKUP($B43,'TICH LUY'!$B$11:$BY$85,65,0))</f>
        <v>6.7</v>
      </c>
      <c r="DC43" s="507">
        <f>IF(OR(ISNA(VLOOKUP($B43,'TICH LUY'!$B$11:$BY$85,66,0)),$B43=""),"",VLOOKUP($B43,'TICH LUY'!$B$11:$BY$85,66,0))</f>
        <v>7.7</v>
      </c>
      <c r="DD43" s="507" t="str">
        <f>IF(OR(ISNA(VLOOKUP($B43,'TICH LUY'!$B$11:$BY$85,67,0)),$B43=""),"",VLOOKUP($B43,'TICH LUY'!$B$11:$BY$85,67,0))</f>
        <v/>
      </c>
      <c r="DE43" s="507">
        <f>IF(OR(ISNA(VLOOKUP($B43,'TICH LUY'!$B$11:$BY$85,68,0)),$B43=""),"",VLOOKUP($B43,'TICH LUY'!$B$11:$BY$85,68,0))</f>
        <v>6.4</v>
      </c>
      <c r="DF43" s="507">
        <f>IF(OR(ISNA(VLOOKUP($B43,'TICH LUY'!$B$11:$BY$85,69,0)),$B43=""),"",VLOOKUP($B43,'TICH LUY'!$B$11:$BY$85,69,0))</f>
        <v>7</v>
      </c>
      <c r="DG43" s="507">
        <f>IF(OR(ISNA(VLOOKUP($B43,'TICH LUY'!$B$11:$BY$85,70,0)),$B43=""),"",VLOOKUP($B43,'TICH LUY'!$B$11:$BY$85,70,0))</f>
        <v>6.2</v>
      </c>
      <c r="DH43" s="507">
        <f>IF(OR(ISNA(VLOOKUP($B43,'TICH LUY'!$B$11:$BY$85,71,0)),$B43=""),"",VLOOKUP($B43,'TICH LUY'!$B$11:$BY$85,71,0))</f>
        <v>7.3</v>
      </c>
      <c r="DI43" s="507" t="str">
        <f>IF(OR(ISNA(VLOOKUP($B43,'TICH LUY'!$B$11:$BY$85,72,0)),$B43=""),"",VLOOKUP($B43,'TICH LUY'!$B$11:$BY$85,72,0))</f>
        <v/>
      </c>
      <c r="DJ43" s="507" t="str">
        <f>IF(OR(ISNA(VLOOKUP($B43,'TICH LUY'!$B$11:$BY$85,73,0)),$B43=""),"",VLOOKUP($B43,'TICH LUY'!$B$11:$BY$85,73,0))</f>
        <v/>
      </c>
      <c r="DK43" s="507" t="str">
        <f>IF(OR(ISNA(VLOOKUP($B43,'TICH LUY'!$B$11:$BY$85,74,0)),$B43=""),"",VLOOKUP($B43,'TICH LUY'!$B$11:$BY$85,74,0))</f>
        <v/>
      </c>
      <c r="DL43" s="507">
        <f>IF(OR(ISNA(VLOOKUP($B43,'TICH LUY'!$B$11:$BY$85,75,0)),$B43=""),"",VLOOKUP($B43,'TICH LUY'!$B$11:$BY$85,75,0))</f>
        <v>7.1</v>
      </c>
      <c r="DM43" s="529" t="str">
        <f>IF(OR(ISNA(VLOOKUP($B43,'TICH LUY'!$B$11:$BY$85,76,0)),$B43=""),"",VLOOKUP($B43,'TICH LUY'!$B$11:$BY$85,76,0))</f>
        <v/>
      </c>
      <c r="DN43" s="455">
        <f t="shared" si="37"/>
        <v>4.3</v>
      </c>
      <c r="DO43" s="456">
        <f t="shared" si="38"/>
        <v>7</v>
      </c>
      <c r="DP43" s="456">
        <f t="shared" si="39"/>
        <v>6.3</v>
      </c>
      <c r="DQ43" s="456">
        <f t="shared" si="40"/>
        <v>6.7</v>
      </c>
      <c r="DR43" s="456">
        <f t="shared" si="41"/>
        <v>6.1</v>
      </c>
      <c r="DS43" s="456">
        <f t="shared" si="42"/>
        <v>4.5999999999999996</v>
      </c>
      <c r="DT43" s="456" t="str">
        <f t="shared" si="43"/>
        <v/>
      </c>
      <c r="DU43" s="456" t="str">
        <f t="shared" si="44"/>
        <v/>
      </c>
      <c r="DV43" s="456" t="str">
        <f t="shared" si="45"/>
        <v/>
      </c>
      <c r="DW43" s="456">
        <f t="shared" si="46"/>
        <v>6.8</v>
      </c>
      <c r="DX43" s="456">
        <f t="shared" si="47"/>
        <v>7.5</v>
      </c>
      <c r="DY43" s="457">
        <f t="shared" si="48"/>
        <v>6.47</v>
      </c>
      <c r="DZ43" s="453" t="str">
        <f t="shared" si="49"/>
        <v/>
      </c>
      <c r="EA43" s="452" t="str">
        <f t="shared" si="50"/>
        <v/>
      </c>
      <c r="EB43" s="452" t="str">
        <f t="shared" si="51"/>
        <v/>
      </c>
      <c r="EC43" s="452" t="str">
        <f t="shared" si="52"/>
        <v/>
      </c>
      <c r="ED43" s="452" t="str">
        <f t="shared" si="53"/>
        <v/>
      </c>
      <c r="EE43" s="452" t="str">
        <f t="shared" si="54"/>
        <v/>
      </c>
      <c r="EF43" s="452" t="str">
        <f t="shared" si="55"/>
        <v/>
      </c>
      <c r="EG43" s="452" t="str">
        <f t="shared" si="56"/>
        <v/>
      </c>
      <c r="EH43" s="452" t="str">
        <f t="shared" si="57"/>
        <v/>
      </c>
      <c r="EI43" s="453">
        <f t="shared" si="58"/>
        <v>4.3</v>
      </c>
      <c r="EJ43" s="452">
        <f t="shared" si="59"/>
        <v>7</v>
      </c>
      <c r="EK43" s="452">
        <f t="shared" si="60"/>
        <v>6.3</v>
      </c>
      <c r="EL43" s="452">
        <f t="shared" si="61"/>
        <v>6.7</v>
      </c>
      <c r="EM43" s="452">
        <f t="shared" si="62"/>
        <v>6.1</v>
      </c>
      <c r="EN43" s="452">
        <f t="shared" si="63"/>
        <v>4.5999999999999996</v>
      </c>
      <c r="EO43" s="452" t="str">
        <f t="shared" si="64"/>
        <v/>
      </c>
      <c r="EP43" s="452" t="str">
        <f t="shared" si="65"/>
        <v/>
      </c>
      <c r="EQ43" s="452" t="str">
        <f t="shared" si="66"/>
        <v/>
      </c>
      <c r="ER43" s="452">
        <f t="shared" si="67"/>
        <v>6.8</v>
      </c>
      <c r="ES43" s="452">
        <f t="shared" ref="ES43:ES75" si="106">AW43</f>
        <v>7.5</v>
      </c>
      <c r="ET43" s="458" t="str">
        <f t="shared" si="68"/>
        <v/>
      </c>
      <c r="EU43" s="527">
        <f>IF(OR(ISNA(VLOOKUP($B43,'TICH LUY'!$B$11:$BY$85,54,0)),$B43=""),"",VLOOKUP($B43,'TICH LUY'!$B$11:$BY$85,54,0))</f>
        <v>5</v>
      </c>
      <c r="EV43" s="507">
        <f>IF(OR(ISNA(VLOOKUP($B43,'TICH LUY'!$B$11:$BY$85,55,0)),$B43=""),"",VLOOKUP($B43,'TICH LUY'!$B$11:$BY$85,55,0))</f>
        <v>6.7</v>
      </c>
      <c r="EW43" s="507">
        <f>IF(OR(ISNA(VLOOKUP($B43,'TICH LUY'!$B$11:$BY$85,56,0)),$B43=""),"",VLOOKUP($B43,'TICH LUY'!$B$11:$BY$85,56,0))</f>
        <v>6.6</v>
      </c>
      <c r="EX43" s="507">
        <f>IF(OR(ISNA(VLOOKUP($B43,'TICH LUY'!$B$11:$BY$85,57,0)),$B43=""),"",VLOOKUP($B43,'TICH LUY'!$B$11:$BY$85,57,0))</f>
        <v>6.5</v>
      </c>
      <c r="EY43" s="507">
        <f>IF(OR(ISNA(VLOOKUP($B43,'TICH LUY'!$B$11:$BY$85,58,0)),$B43=""),"",VLOOKUP($B43,'TICH LUY'!$B$11:$BY$85,58,0))</f>
        <v>6.4</v>
      </c>
      <c r="EZ43" s="507">
        <f>IF(OR(ISNA(VLOOKUP($B43,'TICH LUY'!$B$11:$BY$85,59,0)),$B43=""),"",VLOOKUP($B43,'TICH LUY'!$B$11:$BY$85,59,0))</f>
        <v>8.1</v>
      </c>
      <c r="FA43" s="507">
        <f>IF(OR(ISNA(VLOOKUP($B43,'TICH LUY'!$B$11:$BY$85,60,0)),$B43=""),"",VLOOKUP($B43,'TICH LUY'!$B$11:$BY$85,60,0))</f>
        <v>6.5</v>
      </c>
      <c r="FB43" s="507" t="str">
        <f>IF(OR(ISNA(VLOOKUP($B43,'TICH LUY'!$B$11:$BY$85,61,0)),$B43=""),"",VLOOKUP($B43,'TICH LUY'!$B$11:$BY$85,61,0))</f>
        <v/>
      </c>
      <c r="FC43" s="507" t="str">
        <f>IF(OR(ISNA(VLOOKUP($B43,'TICH LUY'!$B$11:$BY$85,62,0)),$B43=""),"",VLOOKUP($B43,'TICH LUY'!$B$11:$BY$85,62,0))</f>
        <v/>
      </c>
      <c r="FD43" s="507">
        <f>IF(OR(ISNA(VLOOKUP($B43,'TICH LUY'!$B$11:$BY$85,63,0)),$B43=""),"",VLOOKUP($B43,'TICH LUY'!$B$11:$BY$85,63,0))</f>
        <v>5.2</v>
      </c>
      <c r="FE43" s="507">
        <f>IF(OR(ISNA(VLOOKUP($B43,'TICH LUY'!$B$11:$BY$85,64,0)),$B43=""),"",VLOOKUP($B43,'TICH LUY'!$B$11:$BY$85,64,0))</f>
        <v>5.3</v>
      </c>
      <c r="FF43" s="507">
        <f>IF(OR(ISNA(VLOOKUP($B43,'TICH LUY'!$B$11:$BY$85,65,0)),$B43=""),"",VLOOKUP($B43,'TICH LUY'!$B$11:$BY$85,65,0))</f>
        <v>6.7</v>
      </c>
      <c r="FG43" s="507">
        <f>IF(OR(ISNA(VLOOKUP($B43,'TICH LUY'!$B$11:$BY$85,66,0)),$B43=""),"",VLOOKUP($B43,'TICH LUY'!$B$11:$BY$85,66,0))</f>
        <v>7.7</v>
      </c>
      <c r="FH43" s="507" t="str">
        <f>IF(OR(ISNA(VLOOKUP($B43,'TICH LUY'!$B$11:$BY$85,67,0)),$B43=""),"",VLOOKUP($B43,'TICH LUY'!$B$11:$BY$85,67,0))</f>
        <v/>
      </c>
      <c r="FI43" s="507">
        <f>IF(OR(ISNA(VLOOKUP($B43,'TICH LUY'!$B$11:$BY$85,68,0)),$B43=""),"",VLOOKUP($B43,'TICH LUY'!$B$11:$BY$85,68,0))</f>
        <v>6.4</v>
      </c>
      <c r="FJ43" s="507">
        <f>IF(OR(ISNA(VLOOKUP($B43,'TICH LUY'!$B$11:$BY$85,69,0)),$B43=""),"",VLOOKUP($B43,'TICH LUY'!$B$11:$BY$85,69,0))</f>
        <v>7</v>
      </c>
      <c r="FK43" s="507">
        <f>IF(OR(ISNA(VLOOKUP($B43,'TICH LUY'!$B$11:$BY$85,70,0)),$B43=""),"",VLOOKUP($B43,'TICH LUY'!$B$11:$BY$85,70,0))</f>
        <v>6.2</v>
      </c>
      <c r="FL43" s="507">
        <f>IF(OR(ISNA(VLOOKUP($B43,'TICH LUY'!$B$11:$BY$85,71,0)),$B43=""),"",VLOOKUP($B43,'TICH LUY'!$B$11:$BY$85,71,0))</f>
        <v>7.3</v>
      </c>
      <c r="FM43" s="507" t="str">
        <f>IF(OR(ISNA(VLOOKUP($B43,'TICH LUY'!$B$11:$BY$85,72,0)),$B43=""),"",VLOOKUP($B43,'TICH LUY'!$B$11:$BY$85,72,0))</f>
        <v/>
      </c>
      <c r="FN43" s="507" t="str">
        <f>IF(OR(ISNA(VLOOKUP($B43,'TICH LUY'!$B$11:$BY$85,73,0)),$B43=""),"",VLOOKUP($B43,'TICH LUY'!$B$11:$BY$85,73,0))</f>
        <v/>
      </c>
      <c r="FO43" s="507" t="str">
        <f>IF(OR(ISNA(VLOOKUP($B43,'TICH LUY'!$B$11:$BY$85,74,0)),$B43=""),"",VLOOKUP($B43,'TICH LUY'!$B$11:$BY$85,74,0))</f>
        <v/>
      </c>
      <c r="FP43" s="507">
        <f>IF(OR(ISNA(VLOOKUP($B43,'TICH LUY'!$B$11:$BY$85,75,0)),$B43=""),"",VLOOKUP($B43,'TICH LUY'!$B$11:$BY$85,75,0))</f>
        <v>7.1</v>
      </c>
      <c r="FQ43" s="529" t="str">
        <f>IF(OR(ISNA(VLOOKUP($B43,'TICH LUY'!$B$11:$BY$85,76,0)),$B43=""),"",VLOOKUP($B43,'TICH LUY'!$B$11:$BY$85,76,0))</f>
        <v/>
      </c>
      <c r="FR43" s="455">
        <f t="shared" si="69"/>
        <v>4.3</v>
      </c>
      <c r="FS43" s="456">
        <f t="shared" si="70"/>
        <v>7</v>
      </c>
      <c r="FT43" s="456">
        <f t="shared" si="71"/>
        <v>6.3</v>
      </c>
      <c r="FU43" s="456">
        <f t="shared" si="72"/>
        <v>6.7</v>
      </c>
      <c r="FV43" s="456">
        <f t="shared" si="73"/>
        <v>6.1</v>
      </c>
      <c r="FW43" s="456">
        <f t="shared" si="74"/>
        <v>4.5999999999999996</v>
      </c>
      <c r="FX43" s="456" t="str">
        <f t="shared" si="75"/>
        <v/>
      </c>
      <c r="FY43" s="456" t="str">
        <f t="shared" si="76"/>
        <v/>
      </c>
      <c r="FZ43" s="456" t="str">
        <f t="shared" si="77"/>
        <v/>
      </c>
      <c r="GA43" s="456">
        <f t="shared" si="78"/>
        <v>6.8</v>
      </c>
      <c r="GB43" s="459">
        <f t="shared" si="79"/>
        <v>7.5</v>
      </c>
      <c r="GC43" s="457">
        <f t="shared" ref="GC43:GC74" si="107">IF(OR(COUNT(CQ43:DX43)=0,B43=""),"",ROUND(SUMPRODUCT(EU43:GB43,$EU$7:$GB$7)/SUMIF(EU43:GB43,"&gt;=4",$EU$7:$GB$7),2))</f>
        <v>6.47</v>
      </c>
    </row>
    <row r="44" spans="1:185" s="221" customFormat="1" ht="15.75">
      <c r="A44" s="449">
        <f>IF(B44="","",SUBTOTAL(3,$B$11:B44))</f>
        <v>34</v>
      </c>
      <c r="B44" s="198" t="s">
        <v>2124</v>
      </c>
      <c r="C44" s="450" t="str">
        <f>IF($B44="","",VLOOKUP($B44,'DS LOP HKI'!$B$2:$F$2642,2,0))</f>
        <v>Nguyễn Văn</v>
      </c>
      <c r="D44" s="451" t="str">
        <f>IF($B44="","",VLOOKUP($B44,'DS LOP HKI'!$B$2:$F$2642,3,0))</f>
        <v>Tư</v>
      </c>
      <c r="E44" s="154"/>
      <c r="F44" s="152"/>
      <c r="G44" s="156">
        <v>6</v>
      </c>
      <c r="H44" s="181">
        <f>IF(OR($H$6="",$H$7=""),"",IF($B44="","",IF(ISNA(VLOOKUP($B44,'LT01'!$B$11:$R$75,13,FALSE)),"",IF(VLOOKUP($B44,'LT01'!$B$11:$R$75,13,FALSE)="","",VLOOKUP($B44,'LT01'!$B$11:$R$75,13,FALSE)))))</f>
        <v>2.5</v>
      </c>
      <c r="I44" s="182">
        <f>IF(OR($H$6="",$H$7=""),"",IF($B44="","",IF(ISNA(VLOOKUP($B44,'LT01'!$B$11:$R$75,14,FALSE)),"",VLOOKUP($B44,'LT01'!$B$11:$R$75,14,FALSE))))</f>
        <v>4.7</v>
      </c>
      <c r="J44" s="183"/>
      <c r="K44" s="182" t="str">
        <f>IF(OR($H$6="",$H$7=""),"",IF($B44="","",IF(ISNA(VLOOKUP($B44,'LT01'!$B$11:$R$75,17,FALSE)),"",VLOOKUP($B44,'LT01'!$B$11:$R$75,17,FALSE))))</f>
        <v/>
      </c>
      <c r="L44" s="185">
        <f>IF(OR($H$6="",$H$7=""),"",IF($B44="","",IF(ISNA(VLOOKUP($B44,'LT02'!$B$11:$R$75,13,FALSE)),"",IF(VLOOKUP($B44,'LT02'!$B$11:$R$75,13,FALSE)="","",VLOOKUP($B44,'LT02'!$B$11:$R$75,13,FALSE)))))</f>
        <v>5.3</v>
      </c>
      <c r="M44" s="182">
        <f>IF(OR($H$6="",$H$7=""),"",IF($B44="","",IF(ISNA(VLOOKUP($B44,'LT02'!$B$11:$R$75,14,FALSE)),"",VLOOKUP($B44,'LT02'!$B$11:$R$75,14,FALSE))))</f>
        <v>5.5</v>
      </c>
      <c r="N44" s="183"/>
      <c r="O44" s="182" t="str">
        <f>IF(OR($H$6="",$H$7=""),"",IF($B44="","",IF(ISNA(VLOOKUP($B44,'LT02'!$B$11:$R$75,17,FALSE)),"",VLOOKUP($B44,'LT02'!$B$11:$R$75,17,FALSE))))</f>
        <v/>
      </c>
      <c r="P44" s="185">
        <f>IF(OR($H$6="",$H$7=""),"",IF($B44="","",IF(ISNA(VLOOKUP($B44,'LT03'!$B$11:$R$75,13,FALSE)),"",IF(VLOOKUP($B44,'LT03'!$B$11:$R$75,13,FALSE)="","",VLOOKUP($B44,'LT03'!$B$11:$R$75,13,FALSE)))))</f>
        <v>6.1</v>
      </c>
      <c r="Q44" s="182">
        <f>IF(OR($H$6="",$H$7=""),"",IF($B44="","",IF(ISNA(VLOOKUP($B44,'LT03'!$B$11:$R$75,14,FALSE)),"",VLOOKUP($B44,'LT03'!$B$11:$R$75,14,FALSE))))</f>
        <v>6.2</v>
      </c>
      <c r="R44" s="183"/>
      <c r="S44" s="182" t="str">
        <f>IF(OR($H$6="",$H$7=""),"",IF($B44="","",IF(ISNA(VLOOKUP($B44,'LT03'!$B$11:$R$75,17,FALSE)),"",VLOOKUP($B44,'LT03'!$B$11:$R$75,17,FALSE))))</f>
        <v/>
      </c>
      <c r="T44" s="185">
        <f>IF(OR($H$6="",$H$7=""),"",IF($B44="","",IF(ISNA(VLOOKUP($B44,'LT04'!$B$11:$R$75,13,FALSE)),"",IF(VLOOKUP($B44,'LT04'!$B$11:$R$75,13,FALSE)="","",VLOOKUP($B44,'LT04'!$B$11:$R$75,13,FALSE)))))</f>
        <v>3.5</v>
      </c>
      <c r="U44" s="182">
        <f>IF(OR($H$6="",$H$7=""),"",IF($B44="","",IF(ISNA(VLOOKUP($B44,'LT04'!$B$11:$R$75,14,FALSE)),"",VLOOKUP($B44,'LT04'!$B$11:$R$75,14,FALSE))))</f>
        <v>5</v>
      </c>
      <c r="V44" s="183"/>
      <c r="W44" s="184" t="str">
        <f>IF(OR($H$6="",$H$7=""),"",IF($B44="","",IF(ISNA(VLOOKUP($B44,'LT04'!$B$11:$R$75,17,FALSE)),"",VLOOKUP($B44,'LT04'!$B$11:$R$75,17,FALSE))))</f>
        <v/>
      </c>
      <c r="X44" s="185">
        <f>IF(OR($H$6="",$H$7=""),"",IF($B44="","",IF(ISNA(VLOOKUP($B44,'LT05'!$B$11:$R$75,13,FALSE)),"",IF(VLOOKUP($B44,'LT05'!$B$11:$R$75,13,FALSE)="","",VLOOKUP($B44,'LT05'!$B$11:$R$75,13,FALSE)))))</f>
        <v>7.5</v>
      </c>
      <c r="Y44" s="182">
        <f>IF(OR($H$6="",$H$7=""),"",IF($B44="","",IF(ISNA(VLOOKUP($B44,'LT05'!$B$11:$R$75,14,FALSE)),"",VLOOKUP($B44,'LT05'!$B$11:$R$75,14,FALSE))))</f>
        <v>6.6</v>
      </c>
      <c r="Z44" s="183"/>
      <c r="AA44" s="182" t="str">
        <f>IF(OR($H$6="",$H$7=""),"",IF($B44="","",IF(ISNA(VLOOKUP($B44,'LT05'!$B$11:$R$75,17,FALSE)),"",VLOOKUP($B44,'LT05'!$B$11:$R$75,17,FALSE))))</f>
        <v/>
      </c>
      <c r="AB44" s="185">
        <f>IF(OR($H$6="",$H$7=""),"",IF($B44="","",IF(ISNA(VLOOKUP($B44,'LT06'!$B$11:$R$75,13,FALSE)),"",IF(VLOOKUP($B44,'LT06'!$B$11:$R$75,13,FALSE)="","",VLOOKUP($B44,'LT06'!$B$11:$R$75,13,FALSE)))))</f>
        <v>5.8</v>
      </c>
      <c r="AC44" s="182">
        <f>IF(OR($H$6="",$H$7=""),"",IF($B44="","",IF(ISNA(VLOOKUP($B44,'LT06'!$B$11:$R$75,14,FALSE)),"",VLOOKUP($B44,'LT06'!$B$11:$R$75,14,FALSE))))</f>
        <v>6.5</v>
      </c>
      <c r="AD44" s="183"/>
      <c r="AE44" s="182" t="str">
        <f>IF(OR($H$6="",$H$7=""),"",IF($B44="","",IF(ISNA(VLOOKUP($B44,'LT06'!$B$11:$R$75,17,FALSE)),"",VLOOKUP($B44,'LT06'!$B$11:$R$75,17,FALSE))))</f>
        <v/>
      </c>
      <c r="AF44" s="185" t="str">
        <f>IF(OR($H$6="",$H$7=""),"",IF($B44="","",IF(ISNA(VLOOKUP($B44,'LT07'!$B$11:$R$75,13,FALSE)),"",IF(VLOOKUP($B44,'LT07'!$B$11:$R$75,13,FALSE)="","",VLOOKUP($B44,'LT07'!$B$11:$R$75,13,FALSE)))))</f>
        <v/>
      </c>
      <c r="AG44" s="182" t="str">
        <f>IF(OR($H$6="",$H$7=""),"",IF($B44="","",IF(ISNA(VLOOKUP($B44,'LT07'!$B$11:$R$75,14,FALSE)),"",VLOOKUP($B44,'LT07'!$B$11:$R$75,14,FALSE))))</f>
        <v/>
      </c>
      <c r="AH44" s="183"/>
      <c r="AI44" s="182" t="str">
        <f>IF(OR($H$6="",$H$7=""),"",IF($B44="","",IF(ISNA(VLOOKUP($B44,'LT07'!$B$11:$R$75,17,FALSE)),"",VLOOKUP($B44,'LT07'!$B$11:$R$75,17,FALSE))))</f>
        <v/>
      </c>
      <c r="AJ44" s="185" t="str">
        <f>IF(OR($H$6="",$H$7=""),"",IF($B44="","",IF(ISNA(VLOOKUP($B44,'LT08'!$B$11:$R$75,13,FALSE)),"",IF(VLOOKUP($B44,'LT08'!$B$11:$R$75,13,FALSE)="","",VLOOKUP($B44,'LT08'!$B$11:$R$75,13,FALSE)))))</f>
        <v/>
      </c>
      <c r="AK44" s="182" t="str">
        <f>IF(OR($H$6="",$H$7=""),"",IF($B44="","",IF(ISNA(VLOOKUP($B44,'LT08'!$B$11:$R$75,14,FALSE)),"",VLOOKUP($B44,'LT08'!$B$11:$R$75,14,FALSE))))</f>
        <v/>
      </c>
      <c r="AL44" s="183"/>
      <c r="AM44" s="182" t="str">
        <f>IF(OR($H$6="",$H$7=""),"",IF($B44="","",IF(ISNA(VLOOKUP($B44,'LT08'!$B$11:$R$75,17,FALSE)),"",VLOOKUP($B44,'LT08'!$B$11:$R$75,17,FALSE))))</f>
        <v/>
      </c>
      <c r="AN44" s="185" t="str">
        <f>IF(OR($H$6="",$H$7=""),"",IF($B44="","",IF(ISNA(VLOOKUP($B44,'LT09'!$B$11:$R$75,13,FALSE)),"",IF(VLOOKUP($B44,'LT09'!$B$11:$R$75,13,FALSE)="","",VLOOKUP($B44,'LT09'!$B$11:$R$75,13,FALSE)))))</f>
        <v/>
      </c>
      <c r="AO44" s="182" t="str">
        <f>IF(OR($H$6="",$H$7=""),"",IF($B44="","",IF(ISNA(VLOOKUP($B44,'LT09'!$B$11:$R$75,14,FALSE)),"",VLOOKUP($B44,'LT09'!$B$11:$R$75,14,FALSE))))</f>
        <v/>
      </c>
      <c r="AP44" s="183"/>
      <c r="AQ44" s="182" t="str">
        <f>IF(OR($H$6="",$H$7=""),"",IF($B44="","",IF(ISNA(VLOOKUP($B44,'LT09'!$B$11:$R$75,17,FALSE)),"",VLOOKUP($B44,'LT09'!$B$11:$R$75,17,FALSE))))</f>
        <v/>
      </c>
      <c r="AR44" s="186"/>
      <c r="AS44" s="182">
        <f>IF(OR($H$6="",$H$7=""),"",IF($B44="","",IF(ISNA(VLOOKUP($B44,'TH01'!$B$11:$R$75,14,FALSE)),"",VLOOKUP($B44,'TH01'!$B$11:$R$75,14,FALSE))))</f>
        <v>6.3</v>
      </c>
      <c r="AT44" s="183"/>
      <c r="AU44" s="187"/>
      <c r="AV44" s="186"/>
      <c r="AW44" s="182">
        <f>IF(OR($H$6="",$H$7=""),"",IF($B44="","",IF(ISNA(VLOOKUP($B44,'TH02'!$B$11:$R$75,14,FALSE)),"",VLOOKUP($B44,'TH02'!$B$11:$R$75,14,FALSE))))</f>
        <v>7.5</v>
      </c>
      <c r="AX44" s="183"/>
      <c r="AY44" s="187"/>
      <c r="AZ44" s="54">
        <f t="shared" si="24"/>
        <v>6.02</v>
      </c>
      <c r="BA44" s="54" t="str">
        <f t="shared" si="0"/>
        <v/>
      </c>
      <c r="BB44" s="70">
        <v>51</v>
      </c>
      <c r="BC44" s="52" t="str">
        <f t="shared" si="25"/>
        <v>TB</v>
      </c>
      <c r="BD44" s="52" t="str">
        <f t="shared" si="26"/>
        <v/>
      </c>
      <c r="BE44" s="52" t="str">
        <f t="shared" si="86"/>
        <v/>
      </c>
      <c r="BF44" s="149" t="str">
        <f t="shared" si="87"/>
        <v/>
      </c>
      <c r="BG44" s="52">
        <f t="shared" si="88"/>
        <v>18</v>
      </c>
      <c r="BH44" s="52">
        <f t="shared" si="89"/>
        <v>0</v>
      </c>
      <c r="BI44" s="52">
        <f t="shared" si="90"/>
        <v>18</v>
      </c>
      <c r="BJ44" s="52">
        <f t="shared" si="91"/>
        <v>0</v>
      </c>
      <c r="BK44" s="54">
        <f t="shared" si="92"/>
        <v>6.2</v>
      </c>
      <c r="BL44" s="54" t="str">
        <f t="shared" si="93"/>
        <v>BT</v>
      </c>
      <c r="BM44" s="54">
        <f t="shared" si="94"/>
        <v>6.2</v>
      </c>
      <c r="BN44" s="54" t="str">
        <f t="shared" si="95"/>
        <v>BT</v>
      </c>
      <c r="BO44" s="70"/>
      <c r="BP44" s="52">
        <f>IF(ISNA(VLOOKUP(B44,'TICH LUY'!B:D,2,0)),"",VLOOKUP(B44,'TICH LUY'!B:D,2,0)+BI44)</f>
        <v>49</v>
      </c>
      <c r="BQ44" s="52">
        <f>IF(ISNA(VLOOKUP(B44,'TICH LUY'!B:D,3,0)),"",VLOOKUP(B44,'TICH LUY'!B:D,3,0)+BJ44)</f>
        <v>8</v>
      </c>
      <c r="BR44" s="40">
        <f t="shared" si="96"/>
        <v>2</v>
      </c>
      <c r="BS44" s="452">
        <f t="shared" si="97"/>
        <v>2.5</v>
      </c>
      <c r="BT44" s="452">
        <f t="shared" si="98"/>
        <v>5.3</v>
      </c>
      <c r="BU44" s="452">
        <f t="shared" si="99"/>
        <v>6.1</v>
      </c>
      <c r="BV44" s="452">
        <f t="shared" si="100"/>
        <v>3.5</v>
      </c>
      <c r="BW44" s="452">
        <f t="shared" si="101"/>
        <v>7.5</v>
      </c>
      <c r="BX44" s="452">
        <f t="shared" si="102"/>
        <v>5.8</v>
      </c>
      <c r="BY44" s="452" t="str">
        <f t="shared" si="103"/>
        <v/>
      </c>
      <c r="BZ44" s="452" t="str">
        <f t="shared" si="28"/>
        <v/>
      </c>
      <c r="CA44" s="452" t="str">
        <f t="shared" si="29"/>
        <v/>
      </c>
      <c r="CB44" s="452">
        <f t="shared" si="30"/>
        <v>6.3</v>
      </c>
      <c r="CC44" s="452">
        <f t="shared" si="104"/>
        <v>7.5</v>
      </c>
      <c r="CD44" s="40">
        <f t="shared" si="31"/>
        <v>0</v>
      </c>
      <c r="CE44" s="453">
        <f t="shared" si="80"/>
        <v>4.7</v>
      </c>
      <c r="CF44" s="452">
        <f t="shared" si="32"/>
        <v>5.5</v>
      </c>
      <c r="CG44" s="452">
        <f t="shared" si="81"/>
        <v>6.2</v>
      </c>
      <c r="CH44" s="452">
        <f t="shared" si="82"/>
        <v>5</v>
      </c>
      <c r="CI44" s="452">
        <f t="shared" si="83"/>
        <v>6.6</v>
      </c>
      <c r="CJ44" s="452">
        <f t="shared" si="84"/>
        <v>6.5</v>
      </c>
      <c r="CK44" s="452" t="str">
        <f t="shared" si="85"/>
        <v/>
      </c>
      <c r="CL44" s="452" t="str">
        <f t="shared" si="33"/>
        <v/>
      </c>
      <c r="CM44" s="452" t="str">
        <f t="shared" si="34"/>
        <v/>
      </c>
      <c r="CN44" s="452">
        <f t="shared" si="35"/>
        <v>6.3</v>
      </c>
      <c r="CO44" s="452">
        <f t="shared" si="105"/>
        <v>7.5</v>
      </c>
      <c r="CP44" s="454">
        <f t="shared" si="36"/>
        <v>6.02</v>
      </c>
      <c r="CQ44" s="527">
        <f>IF(OR(ISNA(VLOOKUP($B44,'TICH LUY'!$B$11:$BY$85,54,0)),$B44=""),"",VLOOKUP($B44,'TICH LUY'!$B$11:$BY$85,54,0))</f>
        <v>5.2</v>
      </c>
      <c r="CR44" s="507">
        <f>IF(OR(ISNA(VLOOKUP($B44,'TICH LUY'!$B$11:$BY$85,55,0)),$B44=""),"",VLOOKUP($B44,'TICH LUY'!$B$11:$BY$85,55,0))</f>
        <v>5.5</v>
      </c>
      <c r="CS44" s="507">
        <f>IF(OR(ISNA(VLOOKUP($B44,'TICH LUY'!$B$11:$BY$85,56,0)),$B44=""),"",VLOOKUP($B44,'TICH LUY'!$B$11:$BY$85,56,0))</f>
        <v>5.8</v>
      </c>
      <c r="CT44" s="507" t="str">
        <f>IF(OR(ISNA(VLOOKUP($B44,'TICH LUY'!$B$11:$BY$85,57,0)),$B44=""),"",VLOOKUP($B44,'TICH LUY'!$B$11:$BY$85,57,0))</f>
        <v/>
      </c>
      <c r="CU44" s="507" t="str">
        <f>IF(OR(ISNA(VLOOKUP($B44,'TICH LUY'!$B$11:$BY$85,58,0)),$B44=""),"",VLOOKUP($B44,'TICH LUY'!$B$11:$BY$85,58,0))</f>
        <v/>
      </c>
      <c r="CV44" s="507">
        <f>IF(OR(ISNA(VLOOKUP($B44,'TICH LUY'!$B$11:$BY$85,59,0)),$B44=""),"",VLOOKUP($B44,'TICH LUY'!$B$11:$BY$85,59,0))</f>
        <v>7.5</v>
      </c>
      <c r="CW44" s="507">
        <f>IF(OR(ISNA(VLOOKUP($B44,'TICH LUY'!$B$11:$BY$85,60,0)),$B44=""),"",VLOOKUP($B44,'TICH LUY'!$B$11:$BY$85,60,0))</f>
        <v>6.2</v>
      </c>
      <c r="CX44" s="507" t="str">
        <f>IF(OR(ISNA(VLOOKUP($B44,'TICH LUY'!$B$11:$BY$85,61,0)),$B44=""),"",VLOOKUP($B44,'TICH LUY'!$B$11:$BY$85,61,0))</f>
        <v/>
      </c>
      <c r="CY44" s="507" t="str">
        <f>IF(OR(ISNA(VLOOKUP($B44,'TICH LUY'!$B$11:$BY$85,62,0)),$B44=""),"",VLOOKUP($B44,'TICH LUY'!$B$11:$BY$85,62,0))</f>
        <v/>
      </c>
      <c r="CZ44" s="507">
        <f>IF(OR(ISNA(VLOOKUP($B44,'TICH LUY'!$B$11:$BY$85,63,0)),$B44=""),"",VLOOKUP($B44,'TICH LUY'!$B$11:$BY$85,63,0))</f>
        <v>5.9</v>
      </c>
      <c r="DA44" s="507" t="str">
        <f>IF(OR(ISNA(VLOOKUP($B44,'TICH LUY'!$B$11:$BY$85,64,0)),$B44=""),"",VLOOKUP($B44,'TICH LUY'!$B$11:$BY$85,64,0))</f>
        <v/>
      </c>
      <c r="DB44" s="507">
        <f>IF(OR(ISNA(VLOOKUP($B44,'TICH LUY'!$B$11:$BY$85,65,0)),$B44=""),"",VLOOKUP($B44,'TICH LUY'!$B$11:$BY$85,65,0))</f>
        <v>5.8</v>
      </c>
      <c r="DC44" s="507">
        <f>IF(OR(ISNA(VLOOKUP($B44,'TICH LUY'!$B$11:$BY$85,66,0)),$B44=""),"",VLOOKUP($B44,'TICH LUY'!$B$11:$BY$85,66,0))</f>
        <v>7.7</v>
      </c>
      <c r="DD44" s="507" t="str">
        <f>IF(OR(ISNA(VLOOKUP($B44,'TICH LUY'!$B$11:$BY$85,67,0)),$B44=""),"",VLOOKUP($B44,'TICH LUY'!$B$11:$BY$85,67,0))</f>
        <v/>
      </c>
      <c r="DE44" s="507">
        <f>IF(OR(ISNA(VLOOKUP($B44,'TICH LUY'!$B$11:$BY$85,68,0)),$B44=""),"",VLOOKUP($B44,'TICH LUY'!$B$11:$BY$85,68,0))</f>
        <v>6.1</v>
      </c>
      <c r="DF44" s="507">
        <f>IF(OR(ISNA(VLOOKUP($B44,'TICH LUY'!$B$11:$BY$85,69,0)),$B44=""),"",VLOOKUP($B44,'TICH LUY'!$B$11:$BY$85,69,0))</f>
        <v>5.8</v>
      </c>
      <c r="DG44" s="507">
        <f>IF(OR(ISNA(VLOOKUP($B44,'TICH LUY'!$B$11:$BY$85,70,0)),$B44=""),"",VLOOKUP($B44,'TICH LUY'!$B$11:$BY$85,70,0))</f>
        <v>5</v>
      </c>
      <c r="DH44" s="507">
        <f>IF(OR(ISNA(VLOOKUP($B44,'TICH LUY'!$B$11:$BY$85,71,0)),$B44=""),"",VLOOKUP($B44,'TICH LUY'!$B$11:$BY$85,71,0))</f>
        <v>7.5</v>
      </c>
      <c r="DI44" s="507" t="str">
        <f>IF(OR(ISNA(VLOOKUP($B44,'TICH LUY'!$B$11:$BY$85,72,0)),$B44=""),"",VLOOKUP($B44,'TICH LUY'!$B$11:$BY$85,72,0))</f>
        <v/>
      </c>
      <c r="DJ44" s="507" t="str">
        <f>IF(OR(ISNA(VLOOKUP($B44,'TICH LUY'!$B$11:$BY$85,73,0)),$B44=""),"",VLOOKUP($B44,'TICH LUY'!$B$11:$BY$85,73,0))</f>
        <v/>
      </c>
      <c r="DK44" s="507" t="str">
        <f>IF(OR(ISNA(VLOOKUP($B44,'TICH LUY'!$B$11:$BY$85,74,0)),$B44=""),"",VLOOKUP($B44,'TICH LUY'!$B$11:$BY$85,74,0))</f>
        <v/>
      </c>
      <c r="DL44" s="507">
        <f>IF(OR(ISNA(VLOOKUP($B44,'TICH LUY'!$B$11:$BY$85,75,0)),$B44=""),"",VLOOKUP($B44,'TICH LUY'!$B$11:$BY$85,75,0))</f>
        <v>7.1</v>
      </c>
      <c r="DM44" s="529" t="str">
        <f>IF(OR(ISNA(VLOOKUP($B44,'TICH LUY'!$B$11:$BY$85,76,0)),$B44=""),"",VLOOKUP($B44,'TICH LUY'!$B$11:$BY$85,76,0))</f>
        <v/>
      </c>
      <c r="DN44" s="455">
        <f t="shared" si="37"/>
        <v>4.7</v>
      </c>
      <c r="DO44" s="456">
        <f t="shared" si="38"/>
        <v>5.5</v>
      </c>
      <c r="DP44" s="456">
        <f t="shared" si="39"/>
        <v>6.2</v>
      </c>
      <c r="DQ44" s="456">
        <f t="shared" si="40"/>
        <v>5</v>
      </c>
      <c r="DR44" s="456">
        <f t="shared" si="41"/>
        <v>6.6</v>
      </c>
      <c r="DS44" s="456">
        <f t="shared" si="42"/>
        <v>6.5</v>
      </c>
      <c r="DT44" s="456" t="str">
        <f t="shared" si="43"/>
        <v/>
      </c>
      <c r="DU44" s="456" t="str">
        <f t="shared" si="44"/>
        <v/>
      </c>
      <c r="DV44" s="456" t="str">
        <f t="shared" si="45"/>
        <v/>
      </c>
      <c r="DW44" s="456">
        <f t="shared" si="46"/>
        <v>6.3</v>
      </c>
      <c r="DX44" s="456">
        <f t="shared" si="47"/>
        <v>7.5</v>
      </c>
      <c r="DY44" s="457">
        <f t="shared" si="48"/>
        <v>6.2</v>
      </c>
      <c r="DZ44" s="453" t="str">
        <f t="shared" si="49"/>
        <v/>
      </c>
      <c r="EA44" s="452" t="str">
        <f t="shared" si="50"/>
        <v/>
      </c>
      <c r="EB44" s="452" t="str">
        <f t="shared" si="51"/>
        <v/>
      </c>
      <c r="EC44" s="452" t="str">
        <f t="shared" si="52"/>
        <v/>
      </c>
      <c r="ED44" s="452" t="str">
        <f t="shared" si="53"/>
        <v/>
      </c>
      <c r="EE44" s="452" t="str">
        <f t="shared" si="54"/>
        <v/>
      </c>
      <c r="EF44" s="452" t="str">
        <f t="shared" si="55"/>
        <v/>
      </c>
      <c r="EG44" s="452" t="str">
        <f t="shared" si="56"/>
        <v/>
      </c>
      <c r="EH44" s="452" t="str">
        <f t="shared" si="57"/>
        <v/>
      </c>
      <c r="EI44" s="453">
        <f t="shared" si="58"/>
        <v>4.7</v>
      </c>
      <c r="EJ44" s="452">
        <f t="shared" si="59"/>
        <v>5.5</v>
      </c>
      <c r="EK44" s="452">
        <f t="shared" si="60"/>
        <v>6.2</v>
      </c>
      <c r="EL44" s="452">
        <f t="shared" si="61"/>
        <v>5</v>
      </c>
      <c r="EM44" s="452">
        <f t="shared" si="62"/>
        <v>6.6</v>
      </c>
      <c r="EN44" s="452">
        <f t="shared" si="63"/>
        <v>6.5</v>
      </c>
      <c r="EO44" s="452" t="str">
        <f t="shared" si="64"/>
        <v/>
      </c>
      <c r="EP44" s="452" t="str">
        <f t="shared" si="65"/>
        <v/>
      </c>
      <c r="EQ44" s="452" t="str">
        <f t="shared" si="66"/>
        <v/>
      </c>
      <c r="ER44" s="452">
        <f t="shared" si="67"/>
        <v>6.3</v>
      </c>
      <c r="ES44" s="452">
        <f t="shared" si="106"/>
        <v>7.5</v>
      </c>
      <c r="ET44" s="458" t="str">
        <f t="shared" si="68"/>
        <v/>
      </c>
      <c r="EU44" s="527">
        <f>IF(OR(ISNA(VLOOKUP($B44,'TICH LUY'!$B$11:$BY$85,54,0)),$B44=""),"",VLOOKUP($B44,'TICH LUY'!$B$11:$BY$85,54,0))</f>
        <v>5.2</v>
      </c>
      <c r="EV44" s="507">
        <f>IF(OR(ISNA(VLOOKUP($B44,'TICH LUY'!$B$11:$BY$85,55,0)),$B44=""),"",VLOOKUP($B44,'TICH LUY'!$B$11:$BY$85,55,0))</f>
        <v>5.5</v>
      </c>
      <c r="EW44" s="507">
        <f>IF(OR(ISNA(VLOOKUP($B44,'TICH LUY'!$B$11:$BY$85,56,0)),$B44=""),"",VLOOKUP($B44,'TICH LUY'!$B$11:$BY$85,56,0))</f>
        <v>5.8</v>
      </c>
      <c r="EX44" s="507" t="str">
        <f>IF(OR(ISNA(VLOOKUP($B44,'TICH LUY'!$B$11:$BY$85,57,0)),$B44=""),"",VLOOKUP($B44,'TICH LUY'!$B$11:$BY$85,57,0))</f>
        <v/>
      </c>
      <c r="EY44" s="507" t="str">
        <f>IF(OR(ISNA(VLOOKUP($B44,'TICH LUY'!$B$11:$BY$85,58,0)),$B44=""),"",VLOOKUP($B44,'TICH LUY'!$B$11:$BY$85,58,0))</f>
        <v/>
      </c>
      <c r="EZ44" s="507">
        <f>IF(OR(ISNA(VLOOKUP($B44,'TICH LUY'!$B$11:$BY$85,59,0)),$B44=""),"",VLOOKUP($B44,'TICH LUY'!$B$11:$BY$85,59,0))</f>
        <v>7.5</v>
      </c>
      <c r="FA44" s="507">
        <f>IF(OR(ISNA(VLOOKUP($B44,'TICH LUY'!$B$11:$BY$85,60,0)),$B44=""),"",VLOOKUP($B44,'TICH LUY'!$B$11:$BY$85,60,0))</f>
        <v>6.2</v>
      </c>
      <c r="FB44" s="507" t="str">
        <f>IF(OR(ISNA(VLOOKUP($B44,'TICH LUY'!$B$11:$BY$85,61,0)),$B44=""),"",VLOOKUP($B44,'TICH LUY'!$B$11:$BY$85,61,0))</f>
        <v/>
      </c>
      <c r="FC44" s="507" t="str">
        <f>IF(OR(ISNA(VLOOKUP($B44,'TICH LUY'!$B$11:$BY$85,62,0)),$B44=""),"",VLOOKUP($B44,'TICH LUY'!$B$11:$BY$85,62,0))</f>
        <v/>
      </c>
      <c r="FD44" s="507">
        <f>IF(OR(ISNA(VLOOKUP($B44,'TICH LUY'!$B$11:$BY$85,63,0)),$B44=""),"",VLOOKUP($B44,'TICH LUY'!$B$11:$BY$85,63,0))</f>
        <v>5.9</v>
      </c>
      <c r="FE44" s="507" t="str">
        <f>IF(OR(ISNA(VLOOKUP($B44,'TICH LUY'!$B$11:$BY$85,64,0)),$B44=""),"",VLOOKUP($B44,'TICH LUY'!$B$11:$BY$85,64,0))</f>
        <v/>
      </c>
      <c r="FF44" s="507">
        <f>IF(OR(ISNA(VLOOKUP($B44,'TICH LUY'!$B$11:$BY$85,65,0)),$B44=""),"",VLOOKUP($B44,'TICH LUY'!$B$11:$BY$85,65,0))</f>
        <v>5.8</v>
      </c>
      <c r="FG44" s="507">
        <f>IF(OR(ISNA(VLOOKUP($B44,'TICH LUY'!$B$11:$BY$85,66,0)),$B44=""),"",VLOOKUP($B44,'TICH LUY'!$B$11:$BY$85,66,0))</f>
        <v>7.7</v>
      </c>
      <c r="FH44" s="507" t="str">
        <f>IF(OR(ISNA(VLOOKUP($B44,'TICH LUY'!$B$11:$BY$85,67,0)),$B44=""),"",VLOOKUP($B44,'TICH LUY'!$B$11:$BY$85,67,0))</f>
        <v/>
      </c>
      <c r="FI44" s="507">
        <f>IF(OR(ISNA(VLOOKUP($B44,'TICH LUY'!$B$11:$BY$85,68,0)),$B44=""),"",VLOOKUP($B44,'TICH LUY'!$B$11:$BY$85,68,0))</f>
        <v>6.1</v>
      </c>
      <c r="FJ44" s="507">
        <f>IF(OR(ISNA(VLOOKUP($B44,'TICH LUY'!$B$11:$BY$85,69,0)),$B44=""),"",VLOOKUP($B44,'TICH LUY'!$B$11:$BY$85,69,0))</f>
        <v>5.8</v>
      </c>
      <c r="FK44" s="507">
        <f>IF(OR(ISNA(VLOOKUP($B44,'TICH LUY'!$B$11:$BY$85,70,0)),$B44=""),"",VLOOKUP($B44,'TICH LUY'!$B$11:$BY$85,70,0))</f>
        <v>5</v>
      </c>
      <c r="FL44" s="507">
        <f>IF(OR(ISNA(VLOOKUP($B44,'TICH LUY'!$B$11:$BY$85,71,0)),$B44=""),"",VLOOKUP($B44,'TICH LUY'!$B$11:$BY$85,71,0))</f>
        <v>7.5</v>
      </c>
      <c r="FM44" s="507" t="str">
        <f>IF(OR(ISNA(VLOOKUP($B44,'TICH LUY'!$B$11:$BY$85,72,0)),$B44=""),"",VLOOKUP($B44,'TICH LUY'!$B$11:$BY$85,72,0))</f>
        <v/>
      </c>
      <c r="FN44" s="507" t="str">
        <f>IF(OR(ISNA(VLOOKUP($B44,'TICH LUY'!$B$11:$BY$85,73,0)),$B44=""),"",VLOOKUP($B44,'TICH LUY'!$B$11:$BY$85,73,0))</f>
        <v/>
      </c>
      <c r="FO44" s="507" t="str">
        <f>IF(OR(ISNA(VLOOKUP($B44,'TICH LUY'!$B$11:$BY$85,74,0)),$B44=""),"",VLOOKUP($B44,'TICH LUY'!$B$11:$BY$85,74,0))</f>
        <v/>
      </c>
      <c r="FP44" s="507">
        <f>IF(OR(ISNA(VLOOKUP($B44,'TICH LUY'!$B$11:$BY$85,75,0)),$B44=""),"",VLOOKUP($B44,'TICH LUY'!$B$11:$BY$85,75,0))</f>
        <v>7.1</v>
      </c>
      <c r="FQ44" s="529" t="str">
        <f>IF(OR(ISNA(VLOOKUP($B44,'TICH LUY'!$B$11:$BY$85,76,0)),$B44=""),"",VLOOKUP($B44,'TICH LUY'!$B$11:$BY$85,76,0))</f>
        <v/>
      </c>
      <c r="FR44" s="455">
        <f t="shared" si="69"/>
        <v>4.7</v>
      </c>
      <c r="FS44" s="456">
        <f t="shared" si="70"/>
        <v>5.5</v>
      </c>
      <c r="FT44" s="456">
        <f t="shared" si="71"/>
        <v>6.2</v>
      </c>
      <c r="FU44" s="456">
        <f t="shared" si="72"/>
        <v>5</v>
      </c>
      <c r="FV44" s="456">
        <f t="shared" si="73"/>
        <v>6.6</v>
      </c>
      <c r="FW44" s="456">
        <f t="shared" si="74"/>
        <v>6.5</v>
      </c>
      <c r="FX44" s="456" t="str">
        <f t="shared" si="75"/>
        <v/>
      </c>
      <c r="FY44" s="456" t="str">
        <f t="shared" si="76"/>
        <v/>
      </c>
      <c r="FZ44" s="456" t="str">
        <f t="shared" si="77"/>
        <v/>
      </c>
      <c r="GA44" s="456">
        <f t="shared" si="78"/>
        <v>6.3</v>
      </c>
      <c r="GB44" s="459">
        <f t="shared" si="79"/>
        <v>7.5</v>
      </c>
      <c r="GC44" s="457">
        <f t="shared" si="107"/>
        <v>6.2</v>
      </c>
    </row>
    <row r="45" spans="1:185" s="221" customFormat="1" ht="15.75">
      <c r="A45" s="449">
        <f>IF(B45="","",SUBTOTAL(3,$B$11:B45))</f>
        <v>35</v>
      </c>
      <c r="B45" s="198" t="s">
        <v>2128</v>
      </c>
      <c r="C45" s="450" t="str">
        <f>IF($B45="","",VLOOKUP($B45,'DS LOP HKI'!$B$2:$F$2642,2,0))</f>
        <v>Lê Văn</v>
      </c>
      <c r="D45" s="451" t="str">
        <f>IF($B45="","",VLOOKUP($B45,'DS LOP HKI'!$B$2:$F$2642,3,0))</f>
        <v>Vũ</v>
      </c>
      <c r="E45" s="154"/>
      <c r="F45" s="152"/>
      <c r="G45" s="156">
        <v>7</v>
      </c>
      <c r="H45" s="181">
        <f>IF(OR($H$6="",$H$7=""),"",IF($B45="","",IF(ISNA(VLOOKUP($B45,'LT01'!$B$11:$R$75,13,FALSE)),"",IF(VLOOKUP($B45,'LT01'!$B$11:$R$75,13,FALSE)="","",VLOOKUP($B45,'LT01'!$B$11:$R$75,13,FALSE)))))</f>
        <v>3.3</v>
      </c>
      <c r="I45" s="182">
        <f>IF(OR($H$6="",$H$7=""),"",IF($B45="","",IF(ISNA(VLOOKUP($B45,'LT01'!$B$11:$R$75,14,FALSE)),"",VLOOKUP($B45,'LT01'!$B$11:$R$75,14,FALSE))))</f>
        <v>4.5</v>
      </c>
      <c r="J45" s="183"/>
      <c r="K45" s="182" t="str">
        <f>IF(OR($H$6="",$H$7=""),"",IF($B45="","",IF(ISNA(VLOOKUP($B45,'LT01'!$B$11:$R$75,17,FALSE)),"",VLOOKUP($B45,'LT01'!$B$11:$R$75,17,FALSE))))</f>
        <v/>
      </c>
      <c r="L45" s="185">
        <f>IF(OR($H$6="",$H$7=""),"",IF($B45="","",IF(ISNA(VLOOKUP($B45,'LT02'!$B$11:$R$75,13,FALSE)),"",IF(VLOOKUP($B45,'LT02'!$B$11:$R$75,13,FALSE)="","",VLOOKUP($B45,'LT02'!$B$11:$R$75,13,FALSE)))))</f>
        <v>7.3</v>
      </c>
      <c r="M45" s="182">
        <f>IF(OR($H$6="",$H$7=""),"",IF($B45="","",IF(ISNA(VLOOKUP($B45,'LT02'!$B$11:$R$75,14,FALSE)),"",VLOOKUP($B45,'LT02'!$B$11:$R$75,14,FALSE))))</f>
        <v>7.7</v>
      </c>
      <c r="N45" s="183"/>
      <c r="O45" s="182" t="str">
        <f>IF(OR($H$6="",$H$7=""),"",IF($B45="","",IF(ISNA(VLOOKUP($B45,'LT02'!$B$11:$R$75,17,FALSE)),"",VLOOKUP($B45,'LT02'!$B$11:$R$75,17,FALSE))))</f>
        <v/>
      </c>
      <c r="P45" s="185">
        <f>IF(OR($H$6="",$H$7=""),"",IF($B45="","",IF(ISNA(VLOOKUP($B45,'LT03'!$B$11:$R$75,13,FALSE)),"",IF(VLOOKUP($B45,'LT03'!$B$11:$R$75,13,FALSE)="","",VLOOKUP($B45,'LT03'!$B$11:$R$75,13,FALSE)))))</f>
        <v>5.6</v>
      </c>
      <c r="Q45" s="182">
        <f>IF(OR($H$6="",$H$7=""),"",IF($B45="","",IF(ISNA(VLOOKUP($B45,'LT03'!$B$11:$R$75,14,FALSE)),"",VLOOKUP($B45,'LT03'!$B$11:$R$75,14,FALSE))))</f>
        <v>6.1</v>
      </c>
      <c r="R45" s="183"/>
      <c r="S45" s="182" t="str">
        <f>IF(OR($H$6="",$H$7=""),"",IF($B45="","",IF(ISNA(VLOOKUP($B45,'LT03'!$B$11:$R$75,17,FALSE)),"",VLOOKUP($B45,'LT03'!$B$11:$R$75,17,FALSE))))</f>
        <v/>
      </c>
      <c r="T45" s="185">
        <f>IF(OR($H$6="",$H$7=""),"",IF($B45="","",IF(ISNA(VLOOKUP($B45,'LT04'!$B$11:$R$75,13,FALSE)),"",IF(VLOOKUP($B45,'LT04'!$B$11:$R$75,13,FALSE)="","",VLOOKUP($B45,'LT04'!$B$11:$R$75,13,FALSE)))))</f>
        <v>3.3</v>
      </c>
      <c r="U45" s="182">
        <f>IF(OR($H$6="",$H$7=""),"",IF($B45="","",IF(ISNA(VLOOKUP($B45,'LT04'!$B$11:$R$75,14,FALSE)),"",VLOOKUP($B45,'LT04'!$B$11:$R$75,14,FALSE))))</f>
        <v>4.4000000000000004</v>
      </c>
      <c r="V45" s="183"/>
      <c r="W45" s="184" t="str">
        <f>IF(OR($H$6="",$H$7=""),"",IF($B45="","",IF(ISNA(VLOOKUP($B45,'LT04'!$B$11:$R$75,17,FALSE)),"",VLOOKUP($B45,'LT04'!$B$11:$R$75,17,FALSE))))</f>
        <v/>
      </c>
      <c r="X45" s="185">
        <f>IF(OR($H$6="",$H$7=""),"",IF($B45="","",IF(ISNA(VLOOKUP($B45,'LT05'!$B$11:$R$75,13,FALSE)),"",IF(VLOOKUP($B45,'LT05'!$B$11:$R$75,13,FALSE)="","",VLOOKUP($B45,'LT05'!$B$11:$R$75,13,FALSE)))))</f>
        <v>7.5</v>
      </c>
      <c r="Y45" s="182">
        <f>IF(OR($H$6="",$H$7=""),"",IF($B45="","",IF(ISNA(VLOOKUP($B45,'LT05'!$B$11:$R$75,14,FALSE)),"",VLOOKUP($B45,'LT05'!$B$11:$R$75,14,FALSE))))</f>
        <v>6.2</v>
      </c>
      <c r="Z45" s="183"/>
      <c r="AA45" s="182" t="str">
        <f>IF(OR($H$6="",$H$7=""),"",IF($B45="","",IF(ISNA(VLOOKUP($B45,'LT05'!$B$11:$R$75,17,FALSE)),"",VLOOKUP($B45,'LT05'!$B$11:$R$75,17,FALSE))))</f>
        <v/>
      </c>
      <c r="AB45" s="185">
        <f>IF(OR($H$6="",$H$7=""),"",IF($B45="","",IF(ISNA(VLOOKUP($B45,'LT06'!$B$11:$R$75,13,FALSE)),"",IF(VLOOKUP($B45,'LT06'!$B$11:$R$75,13,FALSE)="","",VLOOKUP($B45,'LT06'!$B$11:$R$75,13,FALSE)))))</f>
        <v>1.5</v>
      </c>
      <c r="AC45" s="182">
        <f>IF(OR($H$6="",$H$7=""),"",IF($B45="","",IF(ISNA(VLOOKUP($B45,'LT06'!$B$11:$R$75,14,FALSE)),"",VLOOKUP($B45,'LT06'!$B$11:$R$75,14,FALSE))))</f>
        <v>3.9</v>
      </c>
      <c r="AD45" s="183"/>
      <c r="AE45" s="182" t="str">
        <f>IF(OR($H$6="",$H$7=""),"",IF($B45="","",IF(ISNA(VLOOKUP($B45,'LT06'!$B$11:$R$75,17,FALSE)),"",VLOOKUP($B45,'LT06'!$B$11:$R$75,17,FALSE))))</f>
        <v/>
      </c>
      <c r="AF45" s="185" t="str">
        <f>IF(OR($H$6="",$H$7=""),"",IF($B45="","",IF(ISNA(VLOOKUP($B45,'LT07'!$B$11:$R$75,13,FALSE)),"",IF(VLOOKUP($B45,'LT07'!$B$11:$R$75,13,FALSE)="","",VLOOKUP($B45,'LT07'!$B$11:$R$75,13,FALSE)))))</f>
        <v/>
      </c>
      <c r="AG45" s="182" t="str">
        <f>IF(OR($H$6="",$H$7=""),"",IF($B45="","",IF(ISNA(VLOOKUP($B45,'LT07'!$B$11:$R$75,14,FALSE)),"",VLOOKUP($B45,'LT07'!$B$11:$R$75,14,FALSE))))</f>
        <v/>
      </c>
      <c r="AH45" s="183"/>
      <c r="AI45" s="182" t="str">
        <f>IF(OR($H$6="",$H$7=""),"",IF($B45="","",IF(ISNA(VLOOKUP($B45,'LT07'!$B$11:$R$75,17,FALSE)),"",VLOOKUP($B45,'LT07'!$B$11:$R$75,17,FALSE))))</f>
        <v/>
      </c>
      <c r="AJ45" s="185" t="str">
        <f>IF(OR($H$6="",$H$7=""),"",IF($B45="","",IF(ISNA(VLOOKUP($B45,'LT08'!$B$11:$R$75,13,FALSE)),"",IF(VLOOKUP($B45,'LT08'!$B$11:$R$75,13,FALSE)="","",VLOOKUP($B45,'LT08'!$B$11:$R$75,13,FALSE)))))</f>
        <v/>
      </c>
      <c r="AK45" s="182" t="str">
        <f>IF(OR($H$6="",$H$7=""),"",IF($B45="","",IF(ISNA(VLOOKUP($B45,'LT08'!$B$11:$R$75,14,FALSE)),"",VLOOKUP($B45,'LT08'!$B$11:$R$75,14,FALSE))))</f>
        <v/>
      </c>
      <c r="AL45" s="183"/>
      <c r="AM45" s="182" t="str">
        <f>IF(OR($H$6="",$H$7=""),"",IF($B45="","",IF(ISNA(VLOOKUP($B45,'LT08'!$B$11:$R$75,17,FALSE)),"",VLOOKUP($B45,'LT08'!$B$11:$R$75,17,FALSE))))</f>
        <v/>
      </c>
      <c r="AN45" s="185" t="str">
        <f>IF(OR($H$6="",$H$7=""),"",IF($B45="","",IF(ISNA(VLOOKUP($B45,'LT09'!$B$11:$R$75,13,FALSE)),"",IF(VLOOKUP($B45,'LT09'!$B$11:$R$75,13,FALSE)="","",VLOOKUP($B45,'LT09'!$B$11:$R$75,13,FALSE)))))</f>
        <v/>
      </c>
      <c r="AO45" s="182" t="str">
        <f>IF(OR($H$6="",$H$7=""),"",IF($B45="","",IF(ISNA(VLOOKUP($B45,'LT09'!$B$11:$R$75,14,FALSE)),"",VLOOKUP($B45,'LT09'!$B$11:$R$75,14,FALSE))))</f>
        <v/>
      </c>
      <c r="AP45" s="183"/>
      <c r="AQ45" s="182" t="str">
        <f>IF(OR($H$6="",$H$7=""),"",IF($B45="","",IF(ISNA(VLOOKUP($B45,'LT09'!$B$11:$R$75,17,FALSE)),"",VLOOKUP($B45,'LT09'!$B$11:$R$75,17,FALSE))))</f>
        <v/>
      </c>
      <c r="AR45" s="186"/>
      <c r="AS45" s="182">
        <f>IF(OR($H$6="",$H$7=""),"",IF($B45="","",IF(ISNA(VLOOKUP($B45,'TH01'!$B$11:$R$75,14,FALSE)),"",VLOOKUP($B45,'TH01'!$B$11:$R$75,14,FALSE))))</f>
        <v>6</v>
      </c>
      <c r="AT45" s="183"/>
      <c r="AU45" s="187"/>
      <c r="AV45" s="186"/>
      <c r="AW45" s="182">
        <f>IF(OR($H$6="",$H$7=""),"",IF($B45="","",IF(ISNA(VLOOKUP($B45,'TH02'!$B$11:$R$75,14,FALSE)),"",VLOOKUP($B45,'TH02'!$B$11:$R$75,14,FALSE))))</f>
        <v>7.8</v>
      </c>
      <c r="AX45" s="183"/>
      <c r="AY45" s="187"/>
      <c r="AZ45" s="54">
        <f t="shared" si="24"/>
        <v>5.94</v>
      </c>
      <c r="BA45" s="54" t="str">
        <f t="shared" si="0"/>
        <v/>
      </c>
      <c r="BB45" s="70">
        <v>52</v>
      </c>
      <c r="BC45" s="52" t="str">
        <f t="shared" si="25"/>
        <v>TB</v>
      </c>
      <c r="BD45" s="52" t="str">
        <f t="shared" si="26"/>
        <v/>
      </c>
      <c r="BE45" s="52" t="str">
        <f t="shared" si="86"/>
        <v/>
      </c>
      <c r="BF45" s="149" t="str">
        <f t="shared" si="87"/>
        <v/>
      </c>
      <c r="BG45" s="52">
        <f t="shared" si="88"/>
        <v>16</v>
      </c>
      <c r="BH45" s="52">
        <f t="shared" si="89"/>
        <v>2</v>
      </c>
      <c r="BI45" s="52">
        <f t="shared" si="90"/>
        <v>16</v>
      </c>
      <c r="BJ45" s="52">
        <f t="shared" si="91"/>
        <v>2</v>
      </c>
      <c r="BK45" s="54">
        <f t="shared" si="92"/>
        <v>6.09</v>
      </c>
      <c r="BL45" s="54" t="str">
        <f t="shared" si="93"/>
        <v>BT</v>
      </c>
      <c r="BM45" s="54">
        <f t="shared" si="94"/>
        <v>6.09</v>
      </c>
      <c r="BN45" s="54" t="str">
        <f t="shared" si="95"/>
        <v>BT</v>
      </c>
      <c r="BO45" s="70"/>
      <c r="BP45" s="52">
        <f>IF(ISNA(VLOOKUP(B45,'TICH LUY'!B:D,2,0)),"",VLOOKUP(B45,'TICH LUY'!B:D,2,0)+BI45)</f>
        <v>55</v>
      </c>
      <c r="BQ45" s="52">
        <f>IF(ISNA(VLOOKUP(B45,'TICH LUY'!B:D,3,0)),"",VLOOKUP(B45,'TICH LUY'!B:D,3,0)+BJ45)</f>
        <v>2</v>
      </c>
      <c r="BR45" s="40">
        <f t="shared" si="96"/>
        <v>3</v>
      </c>
      <c r="BS45" s="452">
        <f t="shared" si="97"/>
        <v>3.3</v>
      </c>
      <c r="BT45" s="452">
        <f t="shared" si="98"/>
        <v>7.3</v>
      </c>
      <c r="BU45" s="452">
        <f t="shared" si="99"/>
        <v>5.6</v>
      </c>
      <c r="BV45" s="452">
        <f t="shared" si="100"/>
        <v>3.3</v>
      </c>
      <c r="BW45" s="452">
        <f t="shared" si="101"/>
        <v>7.5</v>
      </c>
      <c r="BX45" s="452">
        <f t="shared" si="102"/>
        <v>1.5</v>
      </c>
      <c r="BY45" s="452" t="str">
        <f t="shared" si="103"/>
        <v/>
      </c>
      <c r="BZ45" s="452" t="str">
        <f t="shared" si="28"/>
        <v/>
      </c>
      <c r="CA45" s="452" t="str">
        <f t="shared" si="29"/>
        <v/>
      </c>
      <c r="CB45" s="452">
        <f t="shared" si="30"/>
        <v>6</v>
      </c>
      <c r="CC45" s="452">
        <f t="shared" si="104"/>
        <v>7.8</v>
      </c>
      <c r="CD45" s="40">
        <f t="shared" si="31"/>
        <v>1</v>
      </c>
      <c r="CE45" s="453">
        <f t="shared" si="80"/>
        <v>4.5</v>
      </c>
      <c r="CF45" s="452">
        <f t="shared" si="32"/>
        <v>7.7</v>
      </c>
      <c r="CG45" s="452">
        <f t="shared" si="81"/>
        <v>6.1</v>
      </c>
      <c r="CH45" s="452">
        <f t="shared" si="82"/>
        <v>4.4000000000000004</v>
      </c>
      <c r="CI45" s="452">
        <f t="shared" si="83"/>
        <v>6.2</v>
      </c>
      <c r="CJ45" s="452">
        <f t="shared" si="84"/>
        <v>3.9</v>
      </c>
      <c r="CK45" s="452" t="str">
        <f t="shared" si="85"/>
        <v/>
      </c>
      <c r="CL45" s="452" t="str">
        <f t="shared" si="33"/>
        <v/>
      </c>
      <c r="CM45" s="452" t="str">
        <f t="shared" si="34"/>
        <v/>
      </c>
      <c r="CN45" s="452">
        <f t="shared" si="35"/>
        <v>6</v>
      </c>
      <c r="CO45" s="452">
        <f t="shared" si="105"/>
        <v>7.8</v>
      </c>
      <c r="CP45" s="454">
        <f t="shared" si="36"/>
        <v>5.94</v>
      </c>
      <c r="CQ45" s="527">
        <f>IF(OR(ISNA(VLOOKUP($B45,'TICH LUY'!$B$11:$BY$85,54,0)),$B45=""),"",VLOOKUP($B45,'TICH LUY'!$B$11:$BY$85,54,0))</f>
        <v>6.2</v>
      </c>
      <c r="CR45" s="507">
        <f>IF(OR(ISNA(VLOOKUP($B45,'TICH LUY'!$B$11:$BY$85,55,0)),$B45=""),"",VLOOKUP($B45,'TICH LUY'!$B$11:$BY$85,55,0))</f>
        <v>5.9</v>
      </c>
      <c r="CS45" s="507">
        <f>IF(OR(ISNA(VLOOKUP($B45,'TICH LUY'!$B$11:$BY$85,56,0)),$B45=""),"",VLOOKUP($B45,'TICH LUY'!$B$11:$BY$85,56,0))</f>
        <v>5.0999999999999996</v>
      </c>
      <c r="CT45" s="507">
        <f>IF(OR(ISNA(VLOOKUP($B45,'TICH LUY'!$B$11:$BY$85,57,0)),$B45=""),"",VLOOKUP($B45,'TICH LUY'!$B$11:$BY$85,57,0))</f>
        <v>4.8</v>
      </c>
      <c r="CU45" s="507">
        <f>IF(OR(ISNA(VLOOKUP($B45,'TICH LUY'!$B$11:$BY$85,58,0)),$B45=""),"",VLOOKUP($B45,'TICH LUY'!$B$11:$BY$85,58,0))</f>
        <v>5.5</v>
      </c>
      <c r="CV45" s="507">
        <f>IF(OR(ISNA(VLOOKUP($B45,'TICH LUY'!$B$11:$BY$85,59,0)),$B45=""),"",VLOOKUP($B45,'TICH LUY'!$B$11:$BY$85,59,0))</f>
        <v>5.7</v>
      </c>
      <c r="CW45" s="507">
        <f>IF(OR(ISNA(VLOOKUP($B45,'TICH LUY'!$B$11:$BY$85,60,0)),$B45=""),"",VLOOKUP($B45,'TICH LUY'!$B$11:$BY$85,60,0))</f>
        <v>6.2</v>
      </c>
      <c r="CX45" s="507" t="str">
        <f>IF(OR(ISNA(VLOOKUP($B45,'TICH LUY'!$B$11:$BY$85,61,0)),$B45=""),"",VLOOKUP($B45,'TICH LUY'!$B$11:$BY$85,61,0))</f>
        <v/>
      </c>
      <c r="CY45" s="507" t="str">
        <f>IF(OR(ISNA(VLOOKUP($B45,'TICH LUY'!$B$11:$BY$85,62,0)),$B45=""),"",VLOOKUP($B45,'TICH LUY'!$B$11:$BY$85,62,0))</f>
        <v/>
      </c>
      <c r="CZ45" s="507">
        <f>IF(OR(ISNA(VLOOKUP($B45,'TICH LUY'!$B$11:$BY$85,63,0)),$B45=""),"",VLOOKUP($B45,'TICH LUY'!$B$11:$BY$85,63,0))</f>
        <v>7</v>
      </c>
      <c r="DA45" s="507">
        <f>IF(OR(ISNA(VLOOKUP($B45,'TICH LUY'!$B$11:$BY$85,64,0)),$B45=""),"",VLOOKUP($B45,'TICH LUY'!$B$11:$BY$85,64,0))</f>
        <v>5.5</v>
      </c>
      <c r="DB45" s="507">
        <f>IF(OR(ISNA(VLOOKUP($B45,'TICH LUY'!$B$11:$BY$85,65,0)),$B45=""),"",VLOOKUP($B45,'TICH LUY'!$B$11:$BY$85,65,0))</f>
        <v>6.9</v>
      </c>
      <c r="DC45" s="507">
        <f>IF(OR(ISNA(VLOOKUP($B45,'TICH LUY'!$B$11:$BY$85,66,0)),$B45=""),"",VLOOKUP($B45,'TICH LUY'!$B$11:$BY$85,66,0))</f>
        <v>7.6</v>
      </c>
      <c r="DD45" s="507" t="str">
        <f>IF(OR(ISNA(VLOOKUP($B45,'TICH LUY'!$B$11:$BY$85,67,0)),$B45=""),"",VLOOKUP($B45,'TICH LUY'!$B$11:$BY$85,67,0))</f>
        <v/>
      </c>
      <c r="DE45" s="507">
        <f>IF(OR(ISNA(VLOOKUP($B45,'TICH LUY'!$B$11:$BY$85,68,0)),$B45=""),"",VLOOKUP($B45,'TICH LUY'!$B$11:$BY$85,68,0))</f>
        <v>6.7</v>
      </c>
      <c r="DF45" s="507">
        <f>IF(OR(ISNA(VLOOKUP($B45,'TICH LUY'!$B$11:$BY$85,69,0)),$B45=""),"",VLOOKUP($B45,'TICH LUY'!$B$11:$BY$85,69,0))</f>
        <v>7</v>
      </c>
      <c r="DG45" s="507">
        <f>IF(OR(ISNA(VLOOKUP($B45,'TICH LUY'!$B$11:$BY$85,70,0)),$B45=""),"",VLOOKUP($B45,'TICH LUY'!$B$11:$BY$85,70,0))</f>
        <v>5</v>
      </c>
      <c r="DH45" s="507">
        <f>IF(OR(ISNA(VLOOKUP($B45,'TICH LUY'!$B$11:$BY$85,71,0)),$B45=""),"",VLOOKUP($B45,'TICH LUY'!$B$11:$BY$85,71,0))</f>
        <v>7</v>
      </c>
      <c r="DI45" s="507" t="str">
        <f>IF(OR(ISNA(VLOOKUP($B45,'TICH LUY'!$B$11:$BY$85,72,0)),$B45=""),"",VLOOKUP($B45,'TICH LUY'!$B$11:$BY$85,72,0))</f>
        <v/>
      </c>
      <c r="DJ45" s="507" t="str">
        <f>IF(OR(ISNA(VLOOKUP($B45,'TICH LUY'!$B$11:$BY$85,73,0)),$B45=""),"",VLOOKUP($B45,'TICH LUY'!$B$11:$BY$85,73,0))</f>
        <v/>
      </c>
      <c r="DK45" s="507" t="str">
        <f>IF(OR(ISNA(VLOOKUP($B45,'TICH LUY'!$B$11:$BY$85,74,0)),$B45=""),"",VLOOKUP($B45,'TICH LUY'!$B$11:$BY$85,74,0))</f>
        <v/>
      </c>
      <c r="DL45" s="507">
        <f>IF(OR(ISNA(VLOOKUP($B45,'TICH LUY'!$B$11:$BY$85,75,0)),$B45=""),"",VLOOKUP($B45,'TICH LUY'!$B$11:$BY$85,75,0))</f>
        <v>5.7</v>
      </c>
      <c r="DM45" s="529" t="str">
        <f>IF(OR(ISNA(VLOOKUP($B45,'TICH LUY'!$B$11:$BY$85,76,0)),$B45=""),"",VLOOKUP($B45,'TICH LUY'!$B$11:$BY$85,76,0))</f>
        <v/>
      </c>
      <c r="DN45" s="455">
        <f t="shared" si="37"/>
        <v>4.5</v>
      </c>
      <c r="DO45" s="456">
        <f t="shared" si="38"/>
        <v>7.7</v>
      </c>
      <c r="DP45" s="456">
        <f t="shared" si="39"/>
        <v>6.1</v>
      </c>
      <c r="DQ45" s="456">
        <f t="shared" si="40"/>
        <v>4.4000000000000004</v>
      </c>
      <c r="DR45" s="456">
        <f t="shared" si="41"/>
        <v>6.2</v>
      </c>
      <c r="DS45" s="456" t="str">
        <f t="shared" si="42"/>
        <v/>
      </c>
      <c r="DT45" s="456" t="str">
        <f t="shared" si="43"/>
        <v/>
      </c>
      <c r="DU45" s="456" t="str">
        <f t="shared" si="44"/>
        <v/>
      </c>
      <c r="DV45" s="456" t="str">
        <f t="shared" si="45"/>
        <v/>
      </c>
      <c r="DW45" s="456">
        <f t="shared" si="46"/>
        <v>6</v>
      </c>
      <c r="DX45" s="456">
        <f t="shared" si="47"/>
        <v>7.8</v>
      </c>
      <c r="DY45" s="457">
        <f t="shared" si="48"/>
        <v>6.09</v>
      </c>
      <c r="DZ45" s="453" t="str">
        <f t="shared" si="49"/>
        <v/>
      </c>
      <c r="EA45" s="452" t="str">
        <f t="shared" si="50"/>
        <v/>
      </c>
      <c r="EB45" s="452" t="str">
        <f t="shared" si="51"/>
        <v/>
      </c>
      <c r="EC45" s="452" t="str">
        <f t="shared" si="52"/>
        <v/>
      </c>
      <c r="ED45" s="452" t="str">
        <f t="shared" si="53"/>
        <v/>
      </c>
      <c r="EE45" s="452" t="str">
        <f t="shared" si="54"/>
        <v/>
      </c>
      <c r="EF45" s="452" t="str">
        <f t="shared" si="55"/>
        <v/>
      </c>
      <c r="EG45" s="452" t="str">
        <f t="shared" si="56"/>
        <v/>
      </c>
      <c r="EH45" s="452" t="str">
        <f t="shared" si="57"/>
        <v/>
      </c>
      <c r="EI45" s="453">
        <f t="shared" si="58"/>
        <v>4.5</v>
      </c>
      <c r="EJ45" s="452">
        <f t="shared" si="59"/>
        <v>7.7</v>
      </c>
      <c r="EK45" s="452">
        <f t="shared" si="60"/>
        <v>6.1</v>
      </c>
      <c r="EL45" s="452">
        <f t="shared" si="61"/>
        <v>4.4000000000000004</v>
      </c>
      <c r="EM45" s="452">
        <f t="shared" si="62"/>
        <v>6.2</v>
      </c>
      <c r="EN45" s="452">
        <f t="shared" si="63"/>
        <v>3.9</v>
      </c>
      <c r="EO45" s="452" t="str">
        <f t="shared" si="64"/>
        <v/>
      </c>
      <c r="EP45" s="452" t="str">
        <f t="shared" si="65"/>
        <v/>
      </c>
      <c r="EQ45" s="452" t="str">
        <f t="shared" si="66"/>
        <v/>
      </c>
      <c r="ER45" s="452">
        <f t="shared" si="67"/>
        <v>6</v>
      </c>
      <c r="ES45" s="452">
        <f t="shared" si="106"/>
        <v>7.8</v>
      </c>
      <c r="ET45" s="458" t="str">
        <f t="shared" si="68"/>
        <v/>
      </c>
      <c r="EU45" s="527">
        <f>IF(OR(ISNA(VLOOKUP($B45,'TICH LUY'!$B$11:$BY$85,54,0)),$B45=""),"",VLOOKUP($B45,'TICH LUY'!$B$11:$BY$85,54,0))</f>
        <v>6.2</v>
      </c>
      <c r="EV45" s="507">
        <f>IF(OR(ISNA(VLOOKUP($B45,'TICH LUY'!$B$11:$BY$85,55,0)),$B45=""),"",VLOOKUP($B45,'TICH LUY'!$B$11:$BY$85,55,0))</f>
        <v>5.9</v>
      </c>
      <c r="EW45" s="507">
        <f>IF(OR(ISNA(VLOOKUP($B45,'TICH LUY'!$B$11:$BY$85,56,0)),$B45=""),"",VLOOKUP($B45,'TICH LUY'!$B$11:$BY$85,56,0))</f>
        <v>5.0999999999999996</v>
      </c>
      <c r="EX45" s="507">
        <f>IF(OR(ISNA(VLOOKUP($B45,'TICH LUY'!$B$11:$BY$85,57,0)),$B45=""),"",VLOOKUP($B45,'TICH LUY'!$B$11:$BY$85,57,0))</f>
        <v>4.8</v>
      </c>
      <c r="EY45" s="507">
        <f>IF(OR(ISNA(VLOOKUP($B45,'TICH LUY'!$B$11:$BY$85,58,0)),$B45=""),"",VLOOKUP($B45,'TICH LUY'!$B$11:$BY$85,58,0))</f>
        <v>5.5</v>
      </c>
      <c r="EZ45" s="507">
        <f>IF(OR(ISNA(VLOOKUP($B45,'TICH LUY'!$B$11:$BY$85,59,0)),$B45=""),"",VLOOKUP($B45,'TICH LUY'!$B$11:$BY$85,59,0))</f>
        <v>5.7</v>
      </c>
      <c r="FA45" s="507">
        <f>IF(OR(ISNA(VLOOKUP($B45,'TICH LUY'!$B$11:$BY$85,60,0)),$B45=""),"",VLOOKUP($B45,'TICH LUY'!$B$11:$BY$85,60,0))</f>
        <v>6.2</v>
      </c>
      <c r="FB45" s="507" t="str">
        <f>IF(OR(ISNA(VLOOKUP($B45,'TICH LUY'!$B$11:$BY$85,61,0)),$B45=""),"",VLOOKUP($B45,'TICH LUY'!$B$11:$BY$85,61,0))</f>
        <v/>
      </c>
      <c r="FC45" s="507" t="str">
        <f>IF(OR(ISNA(VLOOKUP($B45,'TICH LUY'!$B$11:$BY$85,62,0)),$B45=""),"",VLOOKUP($B45,'TICH LUY'!$B$11:$BY$85,62,0))</f>
        <v/>
      </c>
      <c r="FD45" s="507">
        <f>IF(OR(ISNA(VLOOKUP($B45,'TICH LUY'!$B$11:$BY$85,63,0)),$B45=""),"",VLOOKUP($B45,'TICH LUY'!$B$11:$BY$85,63,0))</f>
        <v>7</v>
      </c>
      <c r="FE45" s="507">
        <f>IF(OR(ISNA(VLOOKUP($B45,'TICH LUY'!$B$11:$BY$85,64,0)),$B45=""),"",VLOOKUP($B45,'TICH LUY'!$B$11:$BY$85,64,0))</f>
        <v>5.5</v>
      </c>
      <c r="FF45" s="507">
        <f>IF(OR(ISNA(VLOOKUP($B45,'TICH LUY'!$B$11:$BY$85,65,0)),$B45=""),"",VLOOKUP($B45,'TICH LUY'!$B$11:$BY$85,65,0))</f>
        <v>6.9</v>
      </c>
      <c r="FG45" s="507">
        <f>IF(OR(ISNA(VLOOKUP($B45,'TICH LUY'!$B$11:$BY$85,66,0)),$B45=""),"",VLOOKUP($B45,'TICH LUY'!$B$11:$BY$85,66,0))</f>
        <v>7.6</v>
      </c>
      <c r="FH45" s="507" t="str">
        <f>IF(OR(ISNA(VLOOKUP($B45,'TICH LUY'!$B$11:$BY$85,67,0)),$B45=""),"",VLOOKUP($B45,'TICH LUY'!$B$11:$BY$85,67,0))</f>
        <v/>
      </c>
      <c r="FI45" s="507">
        <f>IF(OR(ISNA(VLOOKUP($B45,'TICH LUY'!$B$11:$BY$85,68,0)),$B45=""),"",VLOOKUP($B45,'TICH LUY'!$B$11:$BY$85,68,0))</f>
        <v>6.7</v>
      </c>
      <c r="FJ45" s="507">
        <f>IF(OR(ISNA(VLOOKUP($B45,'TICH LUY'!$B$11:$BY$85,69,0)),$B45=""),"",VLOOKUP($B45,'TICH LUY'!$B$11:$BY$85,69,0))</f>
        <v>7</v>
      </c>
      <c r="FK45" s="507">
        <f>IF(OR(ISNA(VLOOKUP($B45,'TICH LUY'!$B$11:$BY$85,70,0)),$B45=""),"",VLOOKUP($B45,'TICH LUY'!$B$11:$BY$85,70,0))</f>
        <v>5</v>
      </c>
      <c r="FL45" s="507">
        <f>IF(OR(ISNA(VLOOKUP($B45,'TICH LUY'!$B$11:$BY$85,71,0)),$B45=""),"",VLOOKUP($B45,'TICH LUY'!$B$11:$BY$85,71,0))</f>
        <v>7</v>
      </c>
      <c r="FM45" s="507" t="str">
        <f>IF(OR(ISNA(VLOOKUP($B45,'TICH LUY'!$B$11:$BY$85,72,0)),$B45=""),"",VLOOKUP($B45,'TICH LUY'!$B$11:$BY$85,72,0))</f>
        <v/>
      </c>
      <c r="FN45" s="507" t="str">
        <f>IF(OR(ISNA(VLOOKUP($B45,'TICH LUY'!$B$11:$BY$85,73,0)),$B45=""),"",VLOOKUP($B45,'TICH LUY'!$B$11:$BY$85,73,0))</f>
        <v/>
      </c>
      <c r="FO45" s="507" t="str">
        <f>IF(OR(ISNA(VLOOKUP($B45,'TICH LUY'!$B$11:$BY$85,74,0)),$B45=""),"",VLOOKUP($B45,'TICH LUY'!$B$11:$BY$85,74,0))</f>
        <v/>
      </c>
      <c r="FP45" s="507">
        <f>IF(OR(ISNA(VLOOKUP($B45,'TICH LUY'!$B$11:$BY$85,75,0)),$B45=""),"",VLOOKUP($B45,'TICH LUY'!$B$11:$BY$85,75,0))</f>
        <v>5.7</v>
      </c>
      <c r="FQ45" s="529" t="str">
        <f>IF(OR(ISNA(VLOOKUP($B45,'TICH LUY'!$B$11:$BY$85,76,0)),$B45=""),"",VLOOKUP($B45,'TICH LUY'!$B$11:$BY$85,76,0))</f>
        <v/>
      </c>
      <c r="FR45" s="455">
        <f t="shared" si="69"/>
        <v>4.5</v>
      </c>
      <c r="FS45" s="456">
        <f t="shared" si="70"/>
        <v>7.7</v>
      </c>
      <c r="FT45" s="456">
        <f t="shared" si="71"/>
        <v>6.1</v>
      </c>
      <c r="FU45" s="456">
        <f t="shared" si="72"/>
        <v>4.4000000000000004</v>
      </c>
      <c r="FV45" s="456">
        <f t="shared" si="73"/>
        <v>6.2</v>
      </c>
      <c r="FW45" s="456" t="str">
        <f t="shared" si="74"/>
        <v/>
      </c>
      <c r="FX45" s="456" t="str">
        <f t="shared" si="75"/>
        <v/>
      </c>
      <c r="FY45" s="456" t="str">
        <f t="shared" si="76"/>
        <v/>
      </c>
      <c r="FZ45" s="456" t="str">
        <f t="shared" si="77"/>
        <v/>
      </c>
      <c r="GA45" s="456">
        <f t="shared" si="78"/>
        <v>6</v>
      </c>
      <c r="GB45" s="459">
        <f t="shared" si="79"/>
        <v>7.8</v>
      </c>
      <c r="GC45" s="457">
        <f t="shared" si="107"/>
        <v>6.09</v>
      </c>
    </row>
    <row r="46" spans="1:185" s="221" customFormat="1" ht="15.75">
      <c r="A46" s="449" t="str">
        <f>IF(B46="","",SUBTOTAL(3,$B$11:B46))</f>
        <v/>
      </c>
      <c r="B46" s="198"/>
      <c r="C46" s="450" t="str">
        <f>IF($B46="","",VLOOKUP($B46,'DS LOP HKI'!$B$2:$F$2642,2,0))</f>
        <v/>
      </c>
      <c r="D46" s="451" t="str">
        <f>IF($B46="","",VLOOKUP($B46,'DS LOP HKI'!$B$2:$F$2642,3,0))</f>
        <v/>
      </c>
      <c r="E46" s="154"/>
      <c r="F46" s="152"/>
      <c r="G46" s="156"/>
      <c r="H46" s="181" t="str">
        <f>IF(OR($H$6="",$H$7=""),"",IF($B46="","",IF(ISNA(VLOOKUP($B46,'LT01'!$B$11:$R$75,13,FALSE)),"",IF(VLOOKUP($B46,'LT01'!$B$11:$R$75,13,FALSE)="","",VLOOKUP($B46,'LT01'!$B$11:$R$75,13,FALSE)))))</f>
        <v/>
      </c>
      <c r="I46" s="182" t="str">
        <f>IF(OR($H$6="",$H$7=""),"",IF($B46="","",IF(ISNA(VLOOKUP($B46,'LT01'!$B$11:$R$75,14,FALSE)),"",VLOOKUP($B46,'LT01'!$B$11:$R$75,14,FALSE))))</f>
        <v/>
      </c>
      <c r="J46" s="183"/>
      <c r="K46" s="182" t="str">
        <f>IF(OR($H$6="",$H$7=""),"",IF($B46="","",IF(ISNA(VLOOKUP($B46,'LT01'!$B$11:$R$75,17,FALSE)),"",VLOOKUP($B46,'LT01'!$B$11:$R$75,17,FALSE))))</f>
        <v/>
      </c>
      <c r="L46" s="185" t="str">
        <f>IF(OR($H$6="",$H$7=""),"",IF($B46="","",IF(ISNA(VLOOKUP($B46,'LT02'!$B$11:$R$75,13,FALSE)),"",IF(VLOOKUP($B46,'LT02'!$B$11:$R$75,13,FALSE)="","",VLOOKUP($B46,'LT02'!$B$11:$R$75,13,FALSE)))))</f>
        <v/>
      </c>
      <c r="M46" s="182" t="str">
        <f>IF(OR($H$6="",$H$7=""),"",IF($B46="","",IF(ISNA(VLOOKUP($B46,'LT02'!$B$11:$R$75,14,FALSE)),"",VLOOKUP($B46,'LT02'!$B$11:$R$75,14,FALSE))))</f>
        <v/>
      </c>
      <c r="N46" s="183"/>
      <c r="O46" s="182" t="str">
        <f>IF(OR($H$6="",$H$7=""),"",IF($B46="","",IF(ISNA(VLOOKUP($B46,'LT02'!$B$11:$R$75,17,FALSE)),"",VLOOKUP($B46,'LT02'!$B$11:$R$75,17,FALSE))))</f>
        <v/>
      </c>
      <c r="P46" s="185" t="str">
        <f>IF(OR($H$6="",$H$7=""),"",IF($B46="","",IF(ISNA(VLOOKUP($B46,'LT03'!$B$11:$R$75,13,FALSE)),"",IF(VLOOKUP($B46,'LT03'!$B$11:$R$75,13,FALSE)="","",VLOOKUP($B46,'LT03'!$B$11:$R$75,13,FALSE)))))</f>
        <v/>
      </c>
      <c r="Q46" s="182" t="str">
        <f>IF(OR($H$6="",$H$7=""),"",IF($B46="","",IF(ISNA(VLOOKUP($B46,'LT03'!$B$11:$R$75,14,FALSE)),"",VLOOKUP($B46,'LT03'!$B$11:$R$75,14,FALSE))))</f>
        <v/>
      </c>
      <c r="R46" s="183"/>
      <c r="S46" s="182" t="str">
        <f>IF(OR($H$6="",$H$7=""),"",IF($B46="","",IF(ISNA(VLOOKUP($B46,'LT03'!$B$11:$R$75,17,FALSE)),"",VLOOKUP($B46,'LT03'!$B$11:$R$75,17,FALSE))))</f>
        <v/>
      </c>
      <c r="T46" s="185" t="str">
        <f>IF(OR($H$6="",$H$7=""),"",IF($B46="","",IF(ISNA(VLOOKUP($B46,'LT04'!$B$11:$R$75,13,FALSE)),"",IF(VLOOKUP($B46,'LT04'!$B$11:$R$75,13,FALSE)="","",VLOOKUP($B46,'LT04'!$B$11:$R$75,13,FALSE)))))</f>
        <v/>
      </c>
      <c r="U46" s="182" t="str">
        <f>IF(OR($H$6="",$H$7=""),"",IF($B46="","",IF(ISNA(VLOOKUP($B46,'LT04'!$B$11:$R$75,14,FALSE)),"",VLOOKUP($B46,'LT04'!$B$11:$R$75,14,FALSE))))</f>
        <v/>
      </c>
      <c r="V46" s="183"/>
      <c r="W46" s="184" t="str">
        <f>IF(OR($H$6="",$H$7=""),"",IF($B46="","",IF(ISNA(VLOOKUP($B46,'LT04'!$B$11:$R$75,17,FALSE)),"",VLOOKUP($B46,'LT04'!$B$11:$R$75,17,FALSE))))</f>
        <v/>
      </c>
      <c r="X46" s="185" t="str">
        <f>IF(OR($H$6="",$H$7=""),"",IF($B46="","",IF(ISNA(VLOOKUP($B46,'LT05'!$B$11:$R$75,13,FALSE)),"",IF(VLOOKUP($B46,'LT05'!$B$11:$R$75,13,FALSE)="","",VLOOKUP($B46,'LT05'!$B$11:$R$75,13,FALSE)))))</f>
        <v/>
      </c>
      <c r="Y46" s="182" t="str">
        <f>IF(OR($H$6="",$H$7=""),"",IF($B46="","",IF(ISNA(VLOOKUP($B46,'LT05'!$B$11:$R$75,14,FALSE)),"",VLOOKUP($B46,'LT05'!$B$11:$R$75,14,FALSE))))</f>
        <v/>
      </c>
      <c r="Z46" s="183"/>
      <c r="AA46" s="182" t="str">
        <f>IF(OR($H$6="",$H$7=""),"",IF($B46="","",IF(ISNA(VLOOKUP($B46,'LT05'!$B$11:$R$75,17,FALSE)),"",VLOOKUP($B46,'LT05'!$B$11:$R$75,17,FALSE))))</f>
        <v/>
      </c>
      <c r="AB46" s="185" t="str">
        <f>IF(OR($H$6="",$H$7=""),"",IF($B46="","",IF(ISNA(VLOOKUP($B46,'LT06'!$B$11:$R$75,13,FALSE)),"",IF(VLOOKUP($B46,'LT06'!$B$11:$R$75,13,FALSE)="","",VLOOKUP($B46,'LT06'!$B$11:$R$75,13,FALSE)))))</f>
        <v/>
      </c>
      <c r="AC46" s="182" t="str">
        <f>IF(OR($H$6="",$H$7=""),"",IF($B46="","",IF(ISNA(VLOOKUP($B46,'LT06'!$B$11:$R$75,14,FALSE)),"",VLOOKUP($B46,'LT06'!$B$11:$R$75,14,FALSE))))</f>
        <v/>
      </c>
      <c r="AD46" s="183"/>
      <c r="AE46" s="182" t="str">
        <f>IF(OR($H$6="",$H$7=""),"",IF($B46="","",IF(ISNA(VLOOKUP($B46,'LT06'!$B$11:$R$75,17,FALSE)),"",VLOOKUP($B46,'LT06'!$B$11:$R$75,17,FALSE))))</f>
        <v/>
      </c>
      <c r="AF46" s="185" t="str">
        <f>IF(OR($H$6="",$H$7=""),"",IF($B46="","",IF(ISNA(VLOOKUP($B46,'LT07'!$B$11:$R$75,13,FALSE)),"",IF(VLOOKUP($B46,'LT07'!$B$11:$R$75,13,FALSE)="","",VLOOKUP($B46,'LT07'!$B$11:$R$75,13,FALSE)))))</f>
        <v/>
      </c>
      <c r="AG46" s="182" t="str">
        <f>IF(OR($H$6="",$H$7=""),"",IF($B46="","",IF(ISNA(VLOOKUP($B46,'LT07'!$B$11:$R$75,14,FALSE)),"",VLOOKUP($B46,'LT07'!$B$11:$R$75,14,FALSE))))</f>
        <v/>
      </c>
      <c r="AH46" s="183"/>
      <c r="AI46" s="182" t="str">
        <f>IF(OR($H$6="",$H$7=""),"",IF($B46="","",IF(ISNA(VLOOKUP($B46,'LT07'!$B$11:$R$75,17,FALSE)),"",VLOOKUP($B46,'LT07'!$B$11:$R$75,17,FALSE))))</f>
        <v/>
      </c>
      <c r="AJ46" s="185" t="str">
        <f>IF(OR($H$6="",$H$7=""),"",IF($B46="","",IF(ISNA(VLOOKUP($B46,'LT08'!$B$11:$R$75,13,FALSE)),"",IF(VLOOKUP($B46,'LT08'!$B$11:$R$75,13,FALSE)="","",VLOOKUP($B46,'LT08'!$B$11:$R$75,13,FALSE)))))</f>
        <v/>
      </c>
      <c r="AK46" s="182" t="str">
        <f>IF(OR($H$6="",$H$7=""),"",IF($B46="","",IF(ISNA(VLOOKUP($B46,'LT08'!$B$11:$R$75,14,FALSE)),"",VLOOKUP($B46,'LT08'!$B$11:$R$75,14,FALSE))))</f>
        <v/>
      </c>
      <c r="AL46" s="183"/>
      <c r="AM46" s="182" t="str">
        <f>IF(OR($H$6="",$H$7=""),"",IF($B46="","",IF(ISNA(VLOOKUP($B46,'LT08'!$B$11:$R$75,17,FALSE)),"",VLOOKUP($B46,'LT08'!$B$11:$R$75,17,FALSE))))</f>
        <v/>
      </c>
      <c r="AN46" s="185" t="str">
        <f>IF(OR($H$6="",$H$7=""),"",IF($B46="","",IF(ISNA(VLOOKUP($B46,'LT09'!$B$11:$R$75,13,FALSE)),"",IF(VLOOKUP($B46,'LT09'!$B$11:$R$75,13,FALSE)="","",VLOOKUP($B46,'LT09'!$B$11:$R$75,13,FALSE)))))</f>
        <v/>
      </c>
      <c r="AO46" s="182" t="str">
        <f>IF(OR($H$6="",$H$7=""),"",IF($B46="","",IF(ISNA(VLOOKUP($B46,'LT09'!$B$11:$R$75,14,FALSE)),"",VLOOKUP($B46,'LT09'!$B$11:$R$75,14,FALSE))))</f>
        <v/>
      </c>
      <c r="AP46" s="183"/>
      <c r="AQ46" s="182" t="str">
        <f>IF(OR($H$6="",$H$7=""),"",IF($B46="","",IF(ISNA(VLOOKUP($B46,'LT09'!$B$11:$R$75,17,FALSE)),"",VLOOKUP($B46,'LT09'!$B$11:$R$75,17,FALSE))))</f>
        <v/>
      </c>
      <c r="AR46" s="186"/>
      <c r="AS46" s="182" t="str">
        <f>IF(OR($H$6="",$H$7=""),"",IF($B46="","",IF(ISNA(VLOOKUP($B46,'TH01'!$B$11:$R$75,14,FALSE)),"",VLOOKUP($B46,'TH01'!$B$11:$R$75,14,FALSE))))</f>
        <v/>
      </c>
      <c r="AT46" s="183"/>
      <c r="AU46" s="187"/>
      <c r="AV46" s="186"/>
      <c r="AW46" s="182" t="str">
        <f>IF(OR($H$6="",$H$7=""),"",IF($B46="","",IF(ISNA(VLOOKUP($B46,'TH02'!$B$11:$R$75,14,FALSE)),"",VLOOKUP($B46,'TH02'!$B$11:$R$75,14,FALSE))))</f>
        <v/>
      </c>
      <c r="AX46" s="183"/>
      <c r="AY46" s="187"/>
      <c r="AZ46" s="54" t="str">
        <f t="shared" si="24"/>
        <v/>
      </c>
      <c r="BA46" s="54" t="str">
        <f t="shared" si="0"/>
        <v/>
      </c>
      <c r="BB46" s="70"/>
      <c r="BC46" s="52" t="str">
        <f t="shared" si="25"/>
        <v/>
      </c>
      <c r="BD46" s="52" t="str">
        <f t="shared" si="26"/>
        <v/>
      </c>
      <c r="BE46" s="52" t="str">
        <f t="shared" si="86"/>
        <v/>
      </c>
      <c r="BF46" s="149" t="str">
        <f t="shared" si="87"/>
        <v/>
      </c>
      <c r="BG46" s="52" t="str">
        <f t="shared" si="88"/>
        <v/>
      </c>
      <c r="BH46" s="52" t="str">
        <f t="shared" si="89"/>
        <v/>
      </c>
      <c r="BI46" s="52" t="str">
        <f t="shared" si="90"/>
        <v/>
      </c>
      <c r="BJ46" s="52" t="str">
        <f t="shared" si="91"/>
        <v/>
      </c>
      <c r="BK46" s="54" t="str">
        <f t="shared" si="92"/>
        <v/>
      </c>
      <c r="BL46" s="54" t="str">
        <f t="shared" si="93"/>
        <v/>
      </c>
      <c r="BM46" s="54" t="str">
        <f t="shared" si="94"/>
        <v/>
      </c>
      <c r="BN46" s="54" t="str">
        <f t="shared" si="95"/>
        <v/>
      </c>
      <c r="BO46" s="70"/>
      <c r="BP46" s="52" t="str">
        <f>IF(ISNA(VLOOKUP(B46,'TICH LUY'!B:D,2,0)),"",VLOOKUP(B46,'TICH LUY'!B:D,2,0)+BI46)</f>
        <v/>
      </c>
      <c r="BQ46" s="52" t="str">
        <f>IF(ISNA(VLOOKUP(B46,'TICH LUY'!B:D,3,0)),"",VLOOKUP(B46,'TICH LUY'!B:D,3,0)+BJ46)</f>
        <v/>
      </c>
      <c r="BR46" s="40" t="str">
        <f t="shared" si="96"/>
        <v/>
      </c>
      <c r="BS46" s="452" t="str">
        <f t="shared" si="97"/>
        <v/>
      </c>
      <c r="BT46" s="452" t="str">
        <f t="shared" si="98"/>
        <v/>
      </c>
      <c r="BU46" s="452" t="str">
        <f t="shared" si="99"/>
        <v/>
      </c>
      <c r="BV46" s="452" t="str">
        <f t="shared" si="100"/>
        <v/>
      </c>
      <c r="BW46" s="452" t="str">
        <f t="shared" si="101"/>
        <v/>
      </c>
      <c r="BX46" s="452" t="str">
        <f t="shared" si="102"/>
        <v/>
      </c>
      <c r="BY46" s="452" t="str">
        <f t="shared" si="103"/>
        <v/>
      </c>
      <c r="BZ46" s="452" t="str">
        <f t="shared" si="28"/>
        <v/>
      </c>
      <c r="CA46" s="452" t="str">
        <f t="shared" si="29"/>
        <v/>
      </c>
      <c r="CB46" s="452" t="str">
        <f t="shared" si="30"/>
        <v/>
      </c>
      <c r="CC46" s="452" t="str">
        <f t="shared" si="104"/>
        <v/>
      </c>
      <c r="CD46" s="40" t="str">
        <f t="shared" si="31"/>
        <v/>
      </c>
      <c r="CE46" s="453" t="str">
        <f t="shared" si="80"/>
        <v/>
      </c>
      <c r="CF46" s="452" t="str">
        <f t="shared" si="32"/>
        <v/>
      </c>
      <c r="CG46" s="452" t="str">
        <f t="shared" si="81"/>
        <v/>
      </c>
      <c r="CH46" s="452" t="str">
        <f t="shared" si="82"/>
        <v/>
      </c>
      <c r="CI46" s="452" t="str">
        <f t="shared" si="83"/>
        <v/>
      </c>
      <c r="CJ46" s="452" t="str">
        <f t="shared" si="84"/>
        <v/>
      </c>
      <c r="CK46" s="452" t="str">
        <f t="shared" si="85"/>
        <v/>
      </c>
      <c r="CL46" s="452" t="str">
        <f t="shared" si="33"/>
        <v/>
      </c>
      <c r="CM46" s="452" t="str">
        <f t="shared" si="34"/>
        <v/>
      </c>
      <c r="CN46" s="452" t="str">
        <f t="shared" si="35"/>
        <v/>
      </c>
      <c r="CO46" s="452" t="str">
        <f t="shared" si="105"/>
        <v/>
      </c>
      <c r="CP46" s="454" t="str">
        <f t="shared" si="36"/>
        <v/>
      </c>
      <c r="CQ46" s="527" t="str">
        <f>IF(OR(ISNA(VLOOKUP($B46,'TICH LUY'!$B$11:$BY$85,54,0)),$B46=""),"",VLOOKUP($B46,'TICH LUY'!$B$11:$BY$85,54,0))</f>
        <v/>
      </c>
      <c r="CR46" s="507" t="str">
        <f>IF(OR(ISNA(VLOOKUP($B46,'TICH LUY'!$B$11:$BY$85,55,0)),$B46=""),"",VLOOKUP($B46,'TICH LUY'!$B$11:$BY$85,55,0))</f>
        <v/>
      </c>
      <c r="CS46" s="507" t="str">
        <f>IF(OR(ISNA(VLOOKUP($B46,'TICH LUY'!$B$11:$BY$85,56,0)),$B46=""),"",VLOOKUP($B46,'TICH LUY'!$B$11:$BY$85,56,0))</f>
        <v/>
      </c>
      <c r="CT46" s="507" t="str">
        <f>IF(OR(ISNA(VLOOKUP($B46,'TICH LUY'!$B$11:$BY$85,57,0)),$B46=""),"",VLOOKUP($B46,'TICH LUY'!$B$11:$BY$85,57,0))</f>
        <v/>
      </c>
      <c r="CU46" s="507" t="str">
        <f>IF(OR(ISNA(VLOOKUP($B46,'TICH LUY'!$B$11:$BY$85,58,0)),$B46=""),"",VLOOKUP($B46,'TICH LUY'!$B$11:$BY$85,58,0))</f>
        <v/>
      </c>
      <c r="CV46" s="507" t="str">
        <f>IF(OR(ISNA(VLOOKUP($B46,'TICH LUY'!$B$11:$BY$85,59,0)),$B46=""),"",VLOOKUP($B46,'TICH LUY'!$B$11:$BY$85,59,0))</f>
        <v/>
      </c>
      <c r="CW46" s="507" t="str">
        <f>IF(OR(ISNA(VLOOKUP($B46,'TICH LUY'!$B$11:$BY$85,60,0)),$B46=""),"",VLOOKUP($B46,'TICH LUY'!$B$11:$BY$85,60,0))</f>
        <v/>
      </c>
      <c r="CX46" s="507" t="str">
        <f>IF(OR(ISNA(VLOOKUP($B46,'TICH LUY'!$B$11:$BY$85,61,0)),$B46=""),"",VLOOKUP($B46,'TICH LUY'!$B$11:$BY$85,61,0))</f>
        <v/>
      </c>
      <c r="CY46" s="507" t="str">
        <f>IF(OR(ISNA(VLOOKUP($B46,'TICH LUY'!$B$11:$BY$85,62,0)),$B46=""),"",VLOOKUP($B46,'TICH LUY'!$B$11:$BY$85,62,0))</f>
        <v/>
      </c>
      <c r="CZ46" s="507" t="str">
        <f>IF(OR(ISNA(VLOOKUP($B46,'TICH LUY'!$B$11:$BY$85,63,0)),$B46=""),"",VLOOKUP($B46,'TICH LUY'!$B$11:$BY$85,63,0))</f>
        <v/>
      </c>
      <c r="DA46" s="507" t="str">
        <f>IF(OR(ISNA(VLOOKUP($B46,'TICH LUY'!$B$11:$BY$85,64,0)),$B46=""),"",VLOOKUP($B46,'TICH LUY'!$B$11:$BY$85,64,0))</f>
        <v/>
      </c>
      <c r="DB46" s="507" t="str">
        <f>IF(OR(ISNA(VLOOKUP($B46,'TICH LUY'!$B$11:$BY$85,65,0)),$B46=""),"",VLOOKUP($B46,'TICH LUY'!$B$11:$BY$85,65,0))</f>
        <v/>
      </c>
      <c r="DC46" s="507" t="str">
        <f>IF(OR(ISNA(VLOOKUP($B46,'TICH LUY'!$B$11:$BY$85,66,0)),$B46=""),"",VLOOKUP($B46,'TICH LUY'!$B$11:$BY$85,66,0))</f>
        <v/>
      </c>
      <c r="DD46" s="507" t="str">
        <f>IF(OR(ISNA(VLOOKUP($B46,'TICH LUY'!$B$11:$BY$85,67,0)),$B46=""),"",VLOOKUP($B46,'TICH LUY'!$B$11:$BY$85,67,0))</f>
        <v/>
      </c>
      <c r="DE46" s="507" t="str">
        <f>IF(OR(ISNA(VLOOKUP($B46,'TICH LUY'!$B$11:$BY$85,68,0)),$B46=""),"",VLOOKUP($B46,'TICH LUY'!$B$11:$BY$85,68,0))</f>
        <v/>
      </c>
      <c r="DF46" s="507" t="str">
        <f>IF(OR(ISNA(VLOOKUP($B46,'TICH LUY'!$B$11:$BY$85,69,0)),$B46=""),"",VLOOKUP($B46,'TICH LUY'!$B$11:$BY$85,69,0))</f>
        <v/>
      </c>
      <c r="DG46" s="507" t="str">
        <f>IF(OR(ISNA(VLOOKUP($B46,'TICH LUY'!$B$11:$BY$85,70,0)),$B46=""),"",VLOOKUP($B46,'TICH LUY'!$B$11:$BY$85,70,0))</f>
        <v/>
      </c>
      <c r="DH46" s="507" t="str">
        <f>IF(OR(ISNA(VLOOKUP($B46,'TICH LUY'!$B$11:$BY$85,71,0)),$B46=""),"",VLOOKUP($B46,'TICH LUY'!$B$11:$BY$85,71,0))</f>
        <v/>
      </c>
      <c r="DI46" s="507" t="str">
        <f>IF(OR(ISNA(VLOOKUP($B46,'TICH LUY'!$B$11:$BY$85,72,0)),$B46=""),"",VLOOKUP($B46,'TICH LUY'!$B$11:$BY$85,72,0))</f>
        <v/>
      </c>
      <c r="DJ46" s="507" t="str">
        <f>IF(OR(ISNA(VLOOKUP($B46,'TICH LUY'!$B$11:$BY$85,73,0)),$B46=""),"",VLOOKUP($B46,'TICH LUY'!$B$11:$BY$85,73,0))</f>
        <v/>
      </c>
      <c r="DK46" s="507" t="str">
        <f>IF(OR(ISNA(VLOOKUP($B46,'TICH LUY'!$B$11:$BY$85,74,0)),$B46=""),"",VLOOKUP($B46,'TICH LUY'!$B$11:$BY$85,74,0))</f>
        <v/>
      </c>
      <c r="DL46" s="507" t="str">
        <f>IF(OR(ISNA(VLOOKUP($B46,'TICH LUY'!$B$11:$BY$85,75,0)),$B46=""),"",VLOOKUP($B46,'TICH LUY'!$B$11:$BY$85,75,0))</f>
        <v/>
      </c>
      <c r="DM46" s="529" t="str">
        <f>IF(OR(ISNA(VLOOKUP($B46,'TICH LUY'!$B$11:$BY$85,76,0)),$B46=""),"",VLOOKUP($B46,'TICH LUY'!$B$11:$BY$85,76,0))</f>
        <v/>
      </c>
      <c r="DN46" s="455" t="str">
        <f t="shared" si="37"/>
        <v/>
      </c>
      <c r="DO46" s="456" t="str">
        <f t="shared" si="38"/>
        <v/>
      </c>
      <c r="DP46" s="456" t="str">
        <f t="shared" si="39"/>
        <v/>
      </c>
      <c r="DQ46" s="456" t="str">
        <f t="shared" si="40"/>
        <v/>
      </c>
      <c r="DR46" s="456" t="str">
        <f t="shared" si="41"/>
        <v/>
      </c>
      <c r="DS46" s="456" t="str">
        <f t="shared" si="42"/>
        <v/>
      </c>
      <c r="DT46" s="456" t="str">
        <f t="shared" si="43"/>
        <v/>
      </c>
      <c r="DU46" s="456" t="str">
        <f t="shared" si="44"/>
        <v/>
      </c>
      <c r="DV46" s="456" t="str">
        <f t="shared" si="45"/>
        <v/>
      </c>
      <c r="DW46" s="456" t="str">
        <f t="shared" si="46"/>
        <v/>
      </c>
      <c r="DX46" s="456" t="str">
        <f t="shared" si="47"/>
        <v/>
      </c>
      <c r="DY46" s="457" t="str">
        <f t="shared" si="48"/>
        <v/>
      </c>
      <c r="DZ46" s="453" t="str">
        <f t="shared" si="49"/>
        <v/>
      </c>
      <c r="EA46" s="452" t="str">
        <f t="shared" si="50"/>
        <v/>
      </c>
      <c r="EB46" s="452" t="str">
        <f t="shared" si="51"/>
        <v/>
      </c>
      <c r="EC46" s="452" t="str">
        <f t="shared" si="52"/>
        <v/>
      </c>
      <c r="ED46" s="452" t="str">
        <f t="shared" si="53"/>
        <v/>
      </c>
      <c r="EE46" s="452" t="str">
        <f t="shared" si="54"/>
        <v/>
      </c>
      <c r="EF46" s="452" t="str">
        <f t="shared" si="55"/>
        <v/>
      </c>
      <c r="EG46" s="452" t="str">
        <f t="shared" si="56"/>
        <v/>
      </c>
      <c r="EH46" s="452" t="str">
        <f t="shared" si="57"/>
        <v/>
      </c>
      <c r="EI46" s="453" t="str">
        <f t="shared" si="58"/>
        <v/>
      </c>
      <c r="EJ46" s="452" t="str">
        <f t="shared" si="59"/>
        <v/>
      </c>
      <c r="EK46" s="452" t="str">
        <f t="shared" si="60"/>
        <v/>
      </c>
      <c r="EL46" s="452" t="str">
        <f t="shared" si="61"/>
        <v/>
      </c>
      <c r="EM46" s="452" t="str">
        <f t="shared" si="62"/>
        <v/>
      </c>
      <c r="EN46" s="452" t="str">
        <f t="shared" si="63"/>
        <v/>
      </c>
      <c r="EO46" s="452" t="str">
        <f t="shared" si="64"/>
        <v/>
      </c>
      <c r="EP46" s="452" t="str">
        <f t="shared" si="65"/>
        <v/>
      </c>
      <c r="EQ46" s="452" t="str">
        <f t="shared" si="66"/>
        <v/>
      </c>
      <c r="ER46" s="452" t="str">
        <f t="shared" si="67"/>
        <v/>
      </c>
      <c r="ES46" s="452" t="str">
        <f t="shared" si="106"/>
        <v/>
      </c>
      <c r="ET46" s="458" t="str">
        <f t="shared" si="68"/>
        <v/>
      </c>
      <c r="EU46" s="527" t="str">
        <f>IF(OR(ISNA(VLOOKUP($B46,'TICH LUY'!$B$11:$BY$85,54,0)),$B46=""),"",VLOOKUP($B46,'TICH LUY'!$B$11:$BY$85,54,0))</f>
        <v/>
      </c>
      <c r="EV46" s="507" t="str">
        <f>IF(OR(ISNA(VLOOKUP($B46,'TICH LUY'!$B$11:$BY$85,55,0)),$B46=""),"",VLOOKUP($B46,'TICH LUY'!$B$11:$BY$85,55,0))</f>
        <v/>
      </c>
      <c r="EW46" s="507" t="str">
        <f>IF(OR(ISNA(VLOOKUP($B46,'TICH LUY'!$B$11:$BY$85,56,0)),$B46=""),"",VLOOKUP($B46,'TICH LUY'!$B$11:$BY$85,56,0))</f>
        <v/>
      </c>
      <c r="EX46" s="507" t="str">
        <f>IF(OR(ISNA(VLOOKUP($B46,'TICH LUY'!$B$11:$BY$85,57,0)),$B46=""),"",VLOOKUP($B46,'TICH LUY'!$B$11:$BY$85,57,0))</f>
        <v/>
      </c>
      <c r="EY46" s="507" t="str">
        <f>IF(OR(ISNA(VLOOKUP($B46,'TICH LUY'!$B$11:$BY$85,58,0)),$B46=""),"",VLOOKUP($B46,'TICH LUY'!$B$11:$BY$85,58,0))</f>
        <v/>
      </c>
      <c r="EZ46" s="507" t="str">
        <f>IF(OR(ISNA(VLOOKUP($B46,'TICH LUY'!$B$11:$BY$85,59,0)),$B46=""),"",VLOOKUP($B46,'TICH LUY'!$B$11:$BY$85,59,0))</f>
        <v/>
      </c>
      <c r="FA46" s="507" t="str">
        <f>IF(OR(ISNA(VLOOKUP($B46,'TICH LUY'!$B$11:$BY$85,60,0)),$B46=""),"",VLOOKUP($B46,'TICH LUY'!$B$11:$BY$85,60,0))</f>
        <v/>
      </c>
      <c r="FB46" s="507" t="str">
        <f>IF(OR(ISNA(VLOOKUP($B46,'TICH LUY'!$B$11:$BY$85,61,0)),$B46=""),"",VLOOKUP($B46,'TICH LUY'!$B$11:$BY$85,61,0))</f>
        <v/>
      </c>
      <c r="FC46" s="507" t="str">
        <f>IF(OR(ISNA(VLOOKUP($B46,'TICH LUY'!$B$11:$BY$85,62,0)),$B46=""),"",VLOOKUP($B46,'TICH LUY'!$B$11:$BY$85,62,0))</f>
        <v/>
      </c>
      <c r="FD46" s="507" t="str">
        <f>IF(OR(ISNA(VLOOKUP($B46,'TICH LUY'!$B$11:$BY$85,63,0)),$B46=""),"",VLOOKUP($B46,'TICH LUY'!$B$11:$BY$85,63,0))</f>
        <v/>
      </c>
      <c r="FE46" s="507" t="str">
        <f>IF(OR(ISNA(VLOOKUP($B46,'TICH LUY'!$B$11:$BY$85,64,0)),$B46=""),"",VLOOKUP($B46,'TICH LUY'!$B$11:$BY$85,64,0))</f>
        <v/>
      </c>
      <c r="FF46" s="507" t="str">
        <f>IF(OR(ISNA(VLOOKUP($B46,'TICH LUY'!$B$11:$BY$85,65,0)),$B46=""),"",VLOOKUP($B46,'TICH LUY'!$B$11:$BY$85,65,0))</f>
        <v/>
      </c>
      <c r="FG46" s="507" t="str">
        <f>IF(OR(ISNA(VLOOKUP($B46,'TICH LUY'!$B$11:$BY$85,66,0)),$B46=""),"",VLOOKUP($B46,'TICH LUY'!$B$11:$BY$85,66,0))</f>
        <v/>
      </c>
      <c r="FH46" s="507" t="str">
        <f>IF(OR(ISNA(VLOOKUP($B46,'TICH LUY'!$B$11:$BY$85,67,0)),$B46=""),"",VLOOKUP($B46,'TICH LUY'!$B$11:$BY$85,67,0))</f>
        <v/>
      </c>
      <c r="FI46" s="507" t="str">
        <f>IF(OR(ISNA(VLOOKUP($B46,'TICH LUY'!$B$11:$BY$85,68,0)),$B46=""),"",VLOOKUP($B46,'TICH LUY'!$B$11:$BY$85,68,0))</f>
        <v/>
      </c>
      <c r="FJ46" s="507" t="str">
        <f>IF(OR(ISNA(VLOOKUP($B46,'TICH LUY'!$B$11:$BY$85,69,0)),$B46=""),"",VLOOKUP($B46,'TICH LUY'!$B$11:$BY$85,69,0))</f>
        <v/>
      </c>
      <c r="FK46" s="507" t="str">
        <f>IF(OR(ISNA(VLOOKUP($B46,'TICH LUY'!$B$11:$BY$85,70,0)),$B46=""),"",VLOOKUP($B46,'TICH LUY'!$B$11:$BY$85,70,0))</f>
        <v/>
      </c>
      <c r="FL46" s="507" t="str">
        <f>IF(OR(ISNA(VLOOKUP($B46,'TICH LUY'!$B$11:$BY$85,71,0)),$B46=""),"",VLOOKUP($B46,'TICH LUY'!$B$11:$BY$85,71,0))</f>
        <v/>
      </c>
      <c r="FM46" s="507" t="str">
        <f>IF(OR(ISNA(VLOOKUP($B46,'TICH LUY'!$B$11:$BY$85,72,0)),$B46=""),"",VLOOKUP($B46,'TICH LUY'!$B$11:$BY$85,72,0))</f>
        <v/>
      </c>
      <c r="FN46" s="507" t="str">
        <f>IF(OR(ISNA(VLOOKUP($B46,'TICH LUY'!$B$11:$BY$85,73,0)),$B46=""),"",VLOOKUP($B46,'TICH LUY'!$B$11:$BY$85,73,0))</f>
        <v/>
      </c>
      <c r="FO46" s="507" t="str">
        <f>IF(OR(ISNA(VLOOKUP($B46,'TICH LUY'!$B$11:$BY$85,74,0)),$B46=""),"",VLOOKUP($B46,'TICH LUY'!$B$11:$BY$85,74,0))</f>
        <v/>
      </c>
      <c r="FP46" s="507" t="str">
        <f>IF(OR(ISNA(VLOOKUP($B46,'TICH LUY'!$B$11:$BY$85,75,0)),$B46=""),"",VLOOKUP($B46,'TICH LUY'!$B$11:$BY$85,75,0))</f>
        <v/>
      </c>
      <c r="FQ46" s="529" t="str">
        <f>IF(OR(ISNA(VLOOKUP($B46,'TICH LUY'!$B$11:$BY$85,76,0)),$B46=""),"",VLOOKUP($B46,'TICH LUY'!$B$11:$BY$85,76,0))</f>
        <v/>
      </c>
      <c r="FR46" s="455" t="str">
        <f t="shared" si="69"/>
        <v/>
      </c>
      <c r="FS46" s="456" t="str">
        <f t="shared" si="70"/>
        <v/>
      </c>
      <c r="FT46" s="456" t="str">
        <f t="shared" si="71"/>
        <v/>
      </c>
      <c r="FU46" s="456" t="str">
        <f t="shared" si="72"/>
        <v/>
      </c>
      <c r="FV46" s="456" t="str">
        <f t="shared" si="73"/>
        <v/>
      </c>
      <c r="FW46" s="456" t="str">
        <f t="shared" si="74"/>
        <v/>
      </c>
      <c r="FX46" s="456" t="str">
        <f t="shared" si="75"/>
        <v/>
      </c>
      <c r="FY46" s="456" t="str">
        <f t="shared" si="76"/>
        <v/>
      </c>
      <c r="FZ46" s="456" t="str">
        <f t="shared" si="77"/>
        <v/>
      </c>
      <c r="GA46" s="456" t="str">
        <f t="shared" si="78"/>
        <v/>
      </c>
      <c r="GB46" s="459" t="str">
        <f t="shared" si="79"/>
        <v/>
      </c>
      <c r="GC46" s="457" t="str">
        <f t="shared" si="107"/>
        <v/>
      </c>
    </row>
    <row r="47" spans="1:185" s="221" customFormat="1" ht="15.75">
      <c r="A47" s="449" t="str">
        <f>IF(B47="","",SUBTOTAL(3,$B$11:B47))</f>
        <v/>
      </c>
      <c r="B47" s="198"/>
      <c r="C47" s="450" t="str">
        <f>IF($B47="","",VLOOKUP($B47,'DS LOP HKI'!$B$2:$F$2642,2,0))</f>
        <v/>
      </c>
      <c r="D47" s="451" t="str">
        <f>IF($B47="","",VLOOKUP($B47,'DS LOP HKI'!$B$2:$F$2642,3,0))</f>
        <v/>
      </c>
      <c r="E47" s="154"/>
      <c r="F47" s="152"/>
      <c r="G47" s="156"/>
      <c r="H47" s="181" t="str">
        <f>IF(OR($H$6="",$H$7=""),"",IF($B47="","",IF(ISNA(VLOOKUP($B47,'LT01'!$B$11:$R$75,13,FALSE)),"",IF(VLOOKUP($B47,'LT01'!$B$11:$R$75,13,FALSE)="","",VLOOKUP($B47,'LT01'!$B$11:$R$75,13,FALSE)))))</f>
        <v/>
      </c>
      <c r="I47" s="182" t="str">
        <f>IF(OR($H$6="",$H$7=""),"",IF($B47="","",IF(ISNA(VLOOKUP($B47,'LT01'!$B$11:$R$75,14,FALSE)),"",VLOOKUP($B47,'LT01'!$B$11:$R$75,14,FALSE))))</f>
        <v/>
      </c>
      <c r="J47" s="183"/>
      <c r="K47" s="182" t="str">
        <f>IF(OR($H$6="",$H$7=""),"",IF($B47="","",IF(ISNA(VLOOKUP($B47,'LT01'!$B$11:$R$75,17,FALSE)),"",VLOOKUP($B47,'LT01'!$B$11:$R$75,17,FALSE))))</f>
        <v/>
      </c>
      <c r="L47" s="185" t="str">
        <f>IF(OR($H$6="",$H$7=""),"",IF($B47="","",IF(ISNA(VLOOKUP($B47,'LT02'!$B$11:$R$75,13,FALSE)),"",IF(VLOOKUP($B47,'LT02'!$B$11:$R$75,13,FALSE)="","",VLOOKUP($B47,'LT02'!$B$11:$R$75,13,FALSE)))))</f>
        <v/>
      </c>
      <c r="M47" s="182" t="str">
        <f>IF(OR($H$6="",$H$7=""),"",IF($B47="","",IF(ISNA(VLOOKUP($B47,'LT02'!$B$11:$R$75,14,FALSE)),"",VLOOKUP($B47,'LT02'!$B$11:$R$75,14,FALSE))))</f>
        <v/>
      </c>
      <c r="N47" s="183"/>
      <c r="O47" s="182" t="str">
        <f>IF(OR($H$6="",$H$7=""),"",IF($B47="","",IF(ISNA(VLOOKUP($B47,'LT02'!$B$11:$R$75,17,FALSE)),"",VLOOKUP($B47,'LT02'!$B$11:$R$75,17,FALSE))))</f>
        <v/>
      </c>
      <c r="P47" s="185" t="str">
        <f>IF(OR($H$6="",$H$7=""),"",IF($B47="","",IF(ISNA(VLOOKUP($B47,'LT03'!$B$11:$R$75,13,FALSE)),"",IF(VLOOKUP($B47,'LT03'!$B$11:$R$75,13,FALSE)="","",VLOOKUP($B47,'LT03'!$B$11:$R$75,13,FALSE)))))</f>
        <v/>
      </c>
      <c r="Q47" s="182" t="str">
        <f>IF(OR($H$6="",$H$7=""),"",IF($B47="","",IF(ISNA(VLOOKUP($B47,'LT03'!$B$11:$R$75,14,FALSE)),"",VLOOKUP($B47,'LT03'!$B$11:$R$75,14,FALSE))))</f>
        <v/>
      </c>
      <c r="R47" s="183"/>
      <c r="S47" s="182" t="str">
        <f>IF(OR($H$6="",$H$7=""),"",IF($B47="","",IF(ISNA(VLOOKUP($B47,'LT03'!$B$11:$R$75,17,FALSE)),"",VLOOKUP($B47,'LT03'!$B$11:$R$75,17,FALSE))))</f>
        <v/>
      </c>
      <c r="T47" s="185" t="str">
        <f>IF(OR($H$6="",$H$7=""),"",IF($B47="","",IF(ISNA(VLOOKUP($B47,'LT04'!$B$11:$R$75,13,FALSE)),"",IF(VLOOKUP($B47,'LT04'!$B$11:$R$75,13,FALSE)="","",VLOOKUP($B47,'LT04'!$B$11:$R$75,13,FALSE)))))</f>
        <v/>
      </c>
      <c r="U47" s="182" t="str">
        <f>IF(OR($H$6="",$H$7=""),"",IF($B47="","",IF(ISNA(VLOOKUP($B47,'LT04'!$B$11:$R$75,14,FALSE)),"",VLOOKUP($B47,'LT04'!$B$11:$R$75,14,FALSE))))</f>
        <v/>
      </c>
      <c r="V47" s="183"/>
      <c r="W47" s="184" t="str">
        <f>IF(OR($H$6="",$H$7=""),"",IF($B47="","",IF(ISNA(VLOOKUP($B47,'LT04'!$B$11:$R$75,17,FALSE)),"",VLOOKUP($B47,'LT04'!$B$11:$R$75,17,FALSE))))</f>
        <v/>
      </c>
      <c r="X47" s="185" t="str">
        <f>IF(OR($H$6="",$H$7=""),"",IF($B47="","",IF(ISNA(VLOOKUP($B47,'LT05'!$B$11:$R$75,13,FALSE)),"",IF(VLOOKUP($B47,'LT05'!$B$11:$R$75,13,FALSE)="","",VLOOKUP($B47,'LT05'!$B$11:$R$75,13,FALSE)))))</f>
        <v/>
      </c>
      <c r="Y47" s="182" t="str">
        <f>IF(OR($H$6="",$H$7=""),"",IF($B47="","",IF(ISNA(VLOOKUP($B47,'LT05'!$B$11:$R$75,14,FALSE)),"",VLOOKUP($B47,'LT05'!$B$11:$R$75,14,FALSE))))</f>
        <v/>
      </c>
      <c r="Z47" s="183"/>
      <c r="AA47" s="182" t="str">
        <f>IF(OR($H$6="",$H$7=""),"",IF($B47="","",IF(ISNA(VLOOKUP($B47,'LT05'!$B$11:$R$75,17,FALSE)),"",VLOOKUP($B47,'LT05'!$B$11:$R$75,17,FALSE))))</f>
        <v/>
      </c>
      <c r="AB47" s="185" t="str">
        <f>IF(OR($H$6="",$H$7=""),"",IF($B47="","",IF(ISNA(VLOOKUP($B47,'LT06'!$B$11:$R$75,13,FALSE)),"",IF(VLOOKUP($B47,'LT06'!$B$11:$R$75,13,FALSE)="","",VLOOKUP($B47,'LT06'!$B$11:$R$75,13,FALSE)))))</f>
        <v/>
      </c>
      <c r="AC47" s="182" t="str">
        <f>IF(OR($H$6="",$H$7=""),"",IF($B47="","",IF(ISNA(VLOOKUP($B47,'LT06'!$B$11:$R$75,14,FALSE)),"",VLOOKUP($B47,'LT06'!$B$11:$R$75,14,FALSE))))</f>
        <v/>
      </c>
      <c r="AD47" s="183"/>
      <c r="AE47" s="182" t="str">
        <f>IF(OR($H$6="",$H$7=""),"",IF($B47="","",IF(ISNA(VLOOKUP($B47,'LT06'!$B$11:$R$75,17,FALSE)),"",VLOOKUP($B47,'LT06'!$B$11:$R$75,17,FALSE))))</f>
        <v/>
      </c>
      <c r="AF47" s="185" t="str">
        <f>IF(OR($H$6="",$H$7=""),"",IF($B47="","",IF(ISNA(VLOOKUP($B47,'LT07'!$B$11:$R$75,13,FALSE)),"",IF(VLOOKUP($B47,'LT07'!$B$11:$R$75,13,FALSE)="","",VLOOKUP($B47,'LT07'!$B$11:$R$75,13,FALSE)))))</f>
        <v/>
      </c>
      <c r="AG47" s="182" t="str">
        <f>IF(OR($H$6="",$H$7=""),"",IF($B47="","",IF(ISNA(VLOOKUP($B47,'LT07'!$B$11:$R$75,14,FALSE)),"",VLOOKUP($B47,'LT07'!$B$11:$R$75,14,FALSE))))</f>
        <v/>
      </c>
      <c r="AH47" s="183"/>
      <c r="AI47" s="182" t="str">
        <f>IF(OR($H$6="",$H$7=""),"",IF($B47="","",IF(ISNA(VLOOKUP($B47,'LT07'!$B$11:$R$75,17,FALSE)),"",VLOOKUP($B47,'LT07'!$B$11:$R$75,17,FALSE))))</f>
        <v/>
      </c>
      <c r="AJ47" s="185" t="str">
        <f>IF(OR($H$6="",$H$7=""),"",IF($B47="","",IF(ISNA(VLOOKUP($B47,'LT08'!$B$11:$R$75,13,FALSE)),"",IF(VLOOKUP($B47,'LT08'!$B$11:$R$75,13,FALSE)="","",VLOOKUP($B47,'LT08'!$B$11:$R$75,13,FALSE)))))</f>
        <v/>
      </c>
      <c r="AK47" s="182" t="str">
        <f>IF(OR($H$6="",$H$7=""),"",IF($B47="","",IF(ISNA(VLOOKUP($B47,'LT08'!$B$11:$R$75,14,FALSE)),"",VLOOKUP($B47,'LT08'!$B$11:$R$75,14,FALSE))))</f>
        <v/>
      </c>
      <c r="AL47" s="183"/>
      <c r="AM47" s="182" t="str">
        <f>IF(OR($H$6="",$H$7=""),"",IF($B47="","",IF(ISNA(VLOOKUP($B47,'LT08'!$B$11:$R$75,17,FALSE)),"",VLOOKUP($B47,'LT08'!$B$11:$R$75,17,FALSE))))</f>
        <v/>
      </c>
      <c r="AN47" s="185" t="str">
        <f>IF(OR($H$6="",$H$7=""),"",IF($B47="","",IF(ISNA(VLOOKUP($B47,'LT09'!$B$11:$R$75,13,FALSE)),"",IF(VLOOKUP($B47,'LT09'!$B$11:$R$75,13,FALSE)="","",VLOOKUP($B47,'LT09'!$B$11:$R$75,13,FALSE)))))</f>
        <v/>
      </c>
      <c r="AO47" s="182" t="str">
        <f>IF(OR($H$6="",$H$7=""),"",IF($B47="","",IF(ISNA(VLOOKUP($B47,'LT09'!$B$11:$R$75,14,FALSE)),"",VLOOKUP($B47,'LT09'!$B$11:$R$75,14,FALSE))))</f>
        <v/>
      </c>
      <c r="AP47" s="183"/>
      <c r="AQ47" s="182" t="str">
        <f>IF(OR($H$6="",$H$7=""),"",IF($B47="","",IF(ISNA(VLOOKUP($B47,'LT09'!$B$11:$R$75,17,FALSE)),"",VLOOKUP($B47,'LT09'!$B$11:$R$75,17,FALSE))))</f>
        <v/>
      </c>
      <c r="AR47" s="186"/>
      <c r="AS47" s="182" t="str">
        <f>IF(OR($H$6="",$H$7=""),"",IF($B47="","",IF(ISNA(VLOOKUP($B47,'TH01'!$B$11:$R$75,14,FALSE)),"",VLOOKUP($B47,'TH01'!$B$11:$R$75,14,FALSE))))</f>
        <v/>
      </c>
      <c r="AT47" s="183"/>
      <c r="AU47" s="187"/>
      <c r="AV47" s="186"/>
      <c r="AW47" s="182" t="str">
        <f>IF(OR($H$6="",$H$7=""),"",IF($B47="","",IF(ISNA(VLOOKUP($B47,'TH02'!$B$11:$R$75,14,FALSE)),"",VLOOKUP($B47,'TH02'!$B$11:$R$75,14,FALSE))))</f>
        <v/>
      </c>
      <c r="AX47" s="183"/>
      <c r="AY47" s="187"/>
      <c r="AZ47" s="54" t="str">
        <f t="shared" si="24"/>
        <v/>
      </c>
      <c r="BA47" s="54" t="str">
        <f t="shared" si="0"/>
        <v/>
      </c>
      <c r="BB47" s="70"/>
      <c r="BC47" s="52" t="str">
        <f t="shared" si="25"/>
        <v/>
      </c>
      <c r="BD47" s="52" t="str">
        <f t="shared" si="26"/>
        <v/>
      </c>
      <c r="BE47" s="52" t="str">
        <f t="shared" si="86"/>
        <v/>
      </c>
      <c r="BF47" s="149" t="str">
        <f t="shared" si="87"/>
        <v/>
      </c>
      <c r="BG47" s="52" t="str">
        <f t="shared" si="88"/>
        <v/>
      </c>
      <c r="BH47" s="52" t="str">
        <f t="shared" si="89"/>
        <v/>
      </c>
      <c r="BI47" s="52" t="str">
        <f t="shared" si="90"/>
        <v/>
      </c>
      <c r="BJ47" s="52" t="str">
        <f t="shared" si="91"/>
        <v/>
      </c>
      <c r="BK47" s="54" t="str">
        <f t="shared" si="92"/>
        <v/>
      </c>
      <c r="BL47" s="54" t="str">
        <f t="shared" si="93"/>
        <v/>
      </c>
      <c r="BM47" s="54" t="str">
        <f t="shared" si="94"/>
        <v/>
      </c>
      <c r="BN47" s="54" t="str">
        <f t="shared" si="95"/>
        <v/>
      </c>
      <c r="BO47" s="70"/>
      <c r="BP47" s="52" t="str">
        <f>IF(ISNA(VLOOKUP(B47,'TICH LUY'!B:D,2,0)),"",VLOOKUP(B47,'TICH LUY'!B:D,2,0)+BI47)</f>
        <v/>
      </c>
      <c r="BQ47" s="52" t="str">
        <f>IF(ISNA(VLOOKUP(B47,'TICH LUY'!B:D,3,0)),"",VLOOKUP(B47,'TICH LUY'!B:D,3,0)+BJ47)</f>
        <v/>
      </c>
      <c r="BR47" s="40" t="str">
        <f t="shared" si="96"/>
        <v/>
      </c>
      <c r="BS47" s="452" t="str">
        <f t="shared" si="97"/>
        <v/>
      </c>
      <c r="BT47" s="452" t="str">
        <f t="shared" si="98"/>
        <v/>
      </c>
      <c r="BU47" s="452" t="str">
        <f t="shared" si="99"/>
        <v/>
      </c>
      <c r="BV47" s="452" t="str">
        <f t="shared" si="100"/>
        <v/>
      </c>
      <c r="BW47" s="452" t="str">
        <f t="shared" si="101"/>
        <v/>
      </c>
      <c r="BX47" s="452" t="str">
        <f t="shared" si="102"/>
        <v/>
      </c>
      <c r="BY47" s="452" t="str">
        <f t="shared" si="103"/>
        <v/>
      </c>
      <c r="BZ47" s="452" t="str">
        <f t="shared" si="28"/>
        <v/>
      </c>
      <c r="CA47" s="452" t="str">
        <f t="shared" si="29"/>
        <v/>
      </c>
      <c r="CB47" s="452" t="str">
        <f t="shared" si="30"/>
        <v/>
      </c>
      <c r="CC47" s="452" t="str">
        <f t="shared" si="104"/>
        <v/>
      </c>
      <c r="CD47" s="40" t="str">
        <f t="shared" si="31"/>
        <v/>
      </c>
      <c r="CE47" s="453" t="str">
        <f t="shared" si="80"/>
        <v/>
      </c>
      <c r="CF47" s="452" t="str">
        <f t="shared" si="32"/>
        <v/>
      </c>
      <c r="CG47" s="452" t="str">
        <f t="shared" si="81"/>
        <v/>
      </c>
      <c r="CH47" s="452" t="str">
        <f t="shared" si="82"/>
        <v/>
      </c>
      <c r="CI47" s="452" t="str">
        <f t="shared" si="83"/>
        <v/>
      </c>
      <c r="CJ47" s="452" t="str">
        <f t="shared" si="84"/>
        <v/>
      </c>
      <c r="CK47" s="452" t="str">
        <f t="shared" si="85"/>
        <v/>
      </c>
      <c r="CL47" s="452" t="str">
        <f t="shared" si="33"/>
        <v/>
      </c>
      <c r="CM47" s="452" t="str">
        <f t="shared" si="34"/>
        <v/>
      </c>
      <c r="CN47" s="452" t="str">
        <f t="shared" si="35"/>
        <v/>
      </c>
      <c r="CO47" s="452" t="str">
        <f t="shared" si="105"/>
        <v/>
      </c>
      <c r="CP47" s="454" t="str">
        <f t="shared" si="36"/>
        <v/>
      </c>
      <c r="CQ47" s="527" t="str">
        <f>IF(OR(ISNA(VLOOKUP($B47,'TICH LUY'!$B$11:$BY$85,54,0)),$B47=""),"",VLOOKUP($B47,'TICH LUY'!$B$11:$BY$85,54,0))</f>
        <v/>
      </c>
      <c r="CR47" s="507" t="str">
        <f>IF(OR(ISNA(VLOOKUP($B47,'TICH LUY'!$B$11:$BY$85,55,0)),$B47=""),"",VLOOKUP($B47,'TICH LUY'!$B$11:$BY$85,55,0))</f>
        <v/>
      </c>
      <c r="CS47" s="507" t="str">
        <f>IF(OR(ISNA(VLOOKUP($B47,'TICH LUY'!$B$11:$BY$85,56,0)),$B47=""),"",VLOOKUP($B47,'TICH LUY'!$B$11:$BY$85,56,0))</f>
        <v/>
      </c>
      <c r="CT47" s="507" t="str">
        <f>IF(OR(ISNA(VLOOKUP($B47,'TICH LUY'!$B$11:$BY$85,57,0)),$B47=""),"",VLOOKUP($B47,'TICH LUY'!$B$11:$BY$85,57,0))</f>
        <v/>
      </c>
      <c r="CU47" s="507" t="str">
        <f>IF(OR(ISNA(VLOOKUP($B47,'TICH LUY'!$B$11:$BY$85,58,0)),$B47=""),"",VLOOKUP($B47,'TICH LUY'!$B$11:$BY$85,58,0))</f>
        <v/>
      </c>
      <c r="CV47" s="507" t="str">
        <f>IF(OR(ISNA(VLOOKUP($B47,'TICH LUY'!$B$11:$BY$85,59,0)),$B47=""),"",VLOOKUP($B47,'TICH LUY'!$B$11:$BY$85,59,0))</f>
        <v/>
      </c>
      <c r="CW47" s="507" t="str">
        <f>IF(OR(ISNA(VLOOKUP($B47,'TICH LUY'!$B$11:$BY$85,60,0)),$B47=""),"",VLOOKUP($B47,'TICH LUY'!$B$11:$BY$85,60,0))</f>
        <v/>
      </c>
      <c r="CX47" s="507" t="str">
        <f>IF(OR(ISNA(VLOOKUP($B47,'TICH LUY'!$B$11:$BY$85,61,0)),$B47=""),"",VLOOKUP($B47,'TICH LUY'!$B$11:$BY$85,61,0))</f>
        <v/>
      </c>
      <c r="CY47" s="507" t="str">
        <f>IF(OR(ISNA(VLOOKUP($B47,'TICH LUY'!$B$11:$BY$85,62,0)),$B47=""),"",VLOOKUP($B47,'TICH LUY'!$B$11:$BY$85,62,0))</f>
        <v/>
      </c>
      <c r="CZ47" s="507" t="str">
        <f>IF(OR(ISNA(VLOOKUP($B47,'TICH LUY'!$B$11:$BY$85,63,0)),$B47=""),"",VLOOKUP($B47,'TICH LUY'!$B$11:$BY$85,63,0))</f>
        <v/>
      </c>
      <c r="DA47" s="507" t="str">
        <f>IF(OR(ISNA(VLOOKUP($B47,'TICH LUY'!$B$11:$BY$85,64,0)),$B47=""),"",VLOOKUP($B47,'TICH LUY'!$B$11:$BY$85,64,0))</f>
        <v/>
      </c>
      <c r="DB47" s="507" t="str">
        <f>IF(OR(ISNA(VLOOKUP($B47,'TICH LUY'!$B$11:$BY$85,65,0)),$B47=""),"",VLOOKUP($B47,'TICH LUY'!$B$11:$BY$85,65,0))</f>
        <v/>
      </c>
      <c r="DC47" s="507" t="str">
        <f>IF(OR(ISNA(VLOOKUP($B47,'TICH LUY'!$B$11:$BY$85,66,0)),$B47=""),"",VLOOKUP($B47,'TICH LUY'!$B$11:$BY$85,66,0))</f>
        <v/>
      </c>
      <c r="DD47" s="507" t="str">
        <f>IF(OR(ISNA(VLOOKUP($B47,'TICH LUY'!$B$11:$BY$85,67,0)),$B47=""),"",VLOOKUP($B47,'TICH LUY'!$B$11:$BY$85,67,0))</f>
        <v/>
      </c>
      <c r="DE47" s="507" t="str">
        <f>IF(OR(ISNA(VLOOKUP($B47,'TICH LUY'!$B$11:$BY$85,68,0)),$B47=""),"",VLOOKUP($B47,'TICH LUY'!$B$11:$BY$85,68,0))</f>
        <v/>
      </c>
      <c r="DF47" s="507" t="str">
        <f>IF(OR(ISNA(VLOOKUP($B47,'TICH LUY'!$B$11:$BY$85,69,0)),$B47=""),"",VLOOKUP($B47,'TICH LUY'!$B$11:$BY$85,69,0))</f>
        <v/>
      </c>
      <c r="DG47" s="507" t="str">
        <f>IF(OR(ISNA(VLOOKUP($B47,'TICH LUY'!$B$11:$BY$85,70,0)),$B47=""),"",VLOOKUP($B47,'TICH LUY'!$B$11:$BY$85,70,0))</f>
        <v/>
      </c>
      <c r="DH47" s="507" t="str">
        <f>IF(OR(ISNA(VLOOKUP($B47,'TICH LUY'!$B$11:$BY$85,71,0)),$B47=""),"",VLOOKUP($B47,'TICH LUY'!$B$11:$BY$85,71,0))</f>
        <v/>
      </c>
      <c r="DI47" s="507" t="str">
        <f>IF(OR(ISNA(VLOOKUP($B47,'TICH LUY'!$B$11:$BY$85,72,0)),$B47=""),"",VLOOKUP($B47,'TICH LUY'!$B$11:$BY$85,72,0))</f>
        <v/>
      </c>
      <c r="DJ47" s="507" t="str">
        <f>IF(OR(ISNA(VLOOKUP($B47,'TICH LUY'!$B$11:$BY$85,73,0)),$B47=""),"",VLOOKUP($B47,'TICH LUY'!$B$11:$BY$85,73,0))</f>
        <v/>
      </c>
      <c r="DK47" s="507" t="str">
        <f>IF(OR(ISNA(VLOOKUP($B47,'TICH LUY'!$B$11:$BY$85,74,0)),$B47=""),"",VLOOKUP($B47,'TICH LUY'!$B$11:$BY$85,74,0))</f>
        <v/>
      </c>
      <c r="DL47" s="507" t="str">
        <f>IF(OR(ISNA(VLOOKUP($B47,'TICH LUY'!$B$11:$BY$85,75,0)),$B47=""),"",VLOOKUP($B47,'TICH LUY'!$B$11:$BY$85,75,0))</f>
        <v/>
      </c>
      <c r="DM47" s="529" t="str">
        <f>IF(OR(ISNA(VLOOKUP($B47,'TICH LUY'!$B$11:$BY$85,76,0)),$B47=""),"",VLOOKUP($B47,'TICH LUY'!$B$11:$BY$85,76,0))</f>
        <v/>
      </c>
      <c r="DN47" s="455" t="str">
        <f t="shared" si="37"/>
        <v/>
      </c>
      <c r="DO47" s="456" t="str">
        <f t="shared" si="38"/>
        <v/>
      </c>
      <c r="DP47" s="456" t="str">
        <f t="shared" si="39"/>
        <v/>
      </c>
      <c r="DQ47" s="456" t="str">
        <f t="shared" si="40"/>
        <v/>
      </c>
      <c r="DR47" s="456" t="str">
        <f t="shared" si="41"/>
        <v/>
      </c>
      <c r="DS47" s="456" t="str">
        <f t="shared" si="42"/>
        <v/>
      </c>
      <c r="DT47" s="456" t="str">
        <f t="shared" si="43"/>
        <v/>
      </c>
      <c r="DU47" s="456" t="str">
        <f t="shared" si="44"/>
        <v/>
      </c>
      <c r="DV47" s="456" t="str">
        <f t="shared" si="45"/>
        <v/>
      </c>
      <c r="DW47" s="456" t="str">
        <f t="shared" si="46"/>
        <v/>
      </c>
      <c r="DX47" s="456" t="str">
        <f t="shared" si="47"/>
        <v/>
      </c>
      <c r="DY47" s="457" t="str">
        <f t="shared" si="48"/>
        <v/>
      </c>
      <c r="DZ47" s="453" t="str">
        <f t="shared" si="49"/>
        <v/>
      </c>
      <c r="EA47" s="452" t="str">
        <f t="shared" si="50"/>
        <v/>
      </c>
      <c r="EB47" s="452" t="str">
        <f t="shared" si="51"/>
        <v/>
      </c>
      <c r="EC47" s="452" t="str">
        <f t="shared" si="52"/>
        <v/>
      </c>
      <c r="ED47" s="452" t="str">
        <f t="shared" si="53"/>
        <v/>
      </c>
      <c r="EE47" s="452" t="str">
        <f t="shared" si="54"/>
        <v/>
      </c>
      <c r="EF47" s="452" t="str">
        <f t="shared" si="55"/>
        <v/>
      </c>
      <c r="EG47" s="452" t="str">
        <f t="shared" si="56"/>
        <v/>
      </c>
      <c r="EH47" s="452" t="str">
        <f t="shared" si="57"/>
        <v/>
      </c>
      <c r="EI47" s="453" t="str">
        <f t="shared" si="58"/>
        <v/>
      </c>
      <c r="EJ47" s="452" t="str">
        <f t="shared" si="59"/>
        <v/>
      </c>
      <c r="EK47" s="452" t="str">
        <f t="shared" si="60"/>
        <v/>
      </c>
      <c r="EL47" s="452" t="str">
        <f t="shared" si="61"/>
        <v/>
      </c>
      <c r="EM47" s="452" t="str">
        <f t="shared" si="62"/>
        <v/>
      </c>
      <c r="EN47" s="452" t="str">
        <f t="shared" si="63"/>
        <v/>
      </c>
      <c r="EO47" s="452" t="str">
        <f t="shared" si="64"/>
        <v/>
      </c>
      <c r="EP47" s="452" t="str">
        <f t="shared" si="65"/>
        <v/>
      </c>
      <c r="EQ47" s="452" t="str">
        <f t="shared" si="66"/>
        <v/>
      </c>
      <c r="ER47" s="452" t="str">
        <f t="shared" si="67"/>
        <v/>
      </c>
      <c r="ES47" s="452" t="str">
        <f t="shared" si="106"/>
        <v/>
      </c>
      <c r="ET47" s="458" t="str">
        <f t="shared" si="68"/>
        <v/>
      </c>
      <c r="EU47" s="527" t="str">
        <f>IF(OR(ISNA(VLOOKUP($B47,'TICH LUY'!$B$11:$BY$85,54,0)),$B47=""),"",VLOOKUP($B47,'TICH LUY'!$B$11:$BY$85,54,0))</f>
        <v/>
      </c>
      <c r="EV47" s="507" t="str">
        <f>IF(OR(ISNA(VLOOKUP($B47,'TICH LUY'!$B$11:$BY$85,55,0)),$B47=""),"",VLOOKUP($B47,'TICH LUY'!$B$11:$BY$85,55,0))</f>
        <v/>
      </c>
      <c r="EW47" s="507" t="str">
        <f>IF(OR(ISNA(VLOOKUP($B47,'TICH LUY'!$B$11:$BY$85,56,0)),$B47=""),"",VLOOKUP($B47,'TICH LUY'!$B$11:$BY$85,56,0))</f>
        <v/>
      </c>
      <c r="EX47" s="507" t="str">
        <f>IF(OR(ISNA(VLOOKUP($B47,'TICH LUY'!$B$11:$BY$85,57,0)),$B47=""),"",VLOOKUP($B47,'TICH LUY'!$B$11:$BY$85,57,0))</f>
        <v/>
      </c>
      <c r="EY47" s="507" t="str">
        <f>IF(OR(ISNA(VLOOKUP($B47,'TICH LUY'!$B$11:$BY$85,58,0)),$B47=""),"",VLOOKUP($B47,'TICH LUY'!$B$11:$BY$85,58,0))</f>
        <v/>
      </c>
      <c r="EZ47" s="507" t="str">
        <f>IF(OR(ISNA(VLOOKUP($B47,'TICH LUY'!$B$11:$BY$85,59,0)),$B47=""),"",VLOOKUP($B47,'TICH LUY'!$B$11:$BY$85,59,0))</f>
        <v/>
      </c>
      <c r="FA47" s="507" t="str">
        <f>IF(OR(ISNA(VLOOKUP($B47,'TICH LUY'!$B$11:$BY$85,60,0)),$B47=""),"",VLOOKUP($B47,'TICH LUY'!$B$11:$BY$85,60,0))</f>
        <v/>
      </c>
      <c r="FB47" s="507" t="str">
        <f>IF(OR(ISNA(VLOOKUP($B47,'TICH LUY'!$B$11:$BY$85,61,0)),$B47=""),"",VLOOKUP($B47,'TICH LUY'!$B$11:$BY$85,61,0))</f>
        <v/>
      </c>
      <c r="FC47" s="507" t="str">
        <f>IF(OR(ISNA(VLOOKUP($B47,'TICH LUY'!$B$11:$BY$85,62,0)),$B47=""),"",VLOOKUP($B47,'TICH LUY'!$B$11:$BY$85,62,0))</f>
        <v/>
      </c>
      <c r="FD47" s="507" t="str">
        <f>IF(OR(ISNA(VLOOKUP($B47,'TICH LUY'!$B$11:$BY$85,63,0)),$B47=""),"",VLOOKUP($B47,'TICH LUY'!$B$11:$BY$85,63,0))</f>
        <v/>
      </c>
      <c r="FE47" s="507" t="str">
        <f>IF(OR(ISNA(VLOOKUP($B47,'TICH LUY'!$B$11:$BY$85,64,0)),$B47=""),"",VLOOKUP($B47,'TICH LUY'!$B$11:$BY$85,64,0))</f>
        <v/>
      </c>
      <c r="FF47" s="507" t="str">
        <f>IF(OR(ISNA(VLOOKUP($B47,'TICH LUY'!$B$11:$BY$85,65,0)),$B47=""),"",VLOOKUP($B47,'TICH LUY'!$B$11:$BY$85,65,0))</f>
        <v/>
      </c>
      <c r="FG47" s="507" t="str">
        <f>IF(OR(ISNA(VLOOKUP($B47,'TICH LUY'!$B$11:$BY$85,66,0)),$B47=""),"",VLOOKUP($B47,'TICH LUY'!$B$11:$BY$85,66,0))</f>
        <v/>
      </c>
      <c r="FH47" s="507" t="str">
        <f>IF(OR(ISNA(VLOOKUP($B47,'TICH LUY'!$B$11:$BY$85,67,0)),$B47=""),"",VLOOKUP($B47,'TICH LUY'!$B$11:$BY$85,67,0))</f>
        <v/>
      </c>
      <c r="FI47" s="507" t="str">
        <f>IF(OR(ISNA(VLOOKUP($B47,'TICH LUY'!$B$11:$BY$85,68,0)),$B47=""),"",VLOOKUP($B47,'TICH LUY'!$B$11:$BY$85,68,0))</f>
        <v/>
      </c>
      <c r="FJ47" s="507" t="str">
        <f>IF(OR(ISNA(VLOOKUP($B47,'TICH LUY'!$B$11:$BY$85,69,0)),$B47=""),"",VLOOKUP($B47,'TICH LUY'!$B$11:$BY$85,69,0))</f>
        <v/>
      </c>
      <c r="FK47" s="507" t="str">
        <f>IF(OR(ISNA(VLOOKUP($B47,'TICH LUY'!$B$11:$BY$85,70,0)),$B47=""),"",VLOOKUP($B47,'TICH LUY'!$B$11:$BY$85,70,0))</f>
        <v/>
      </c>
      <c r="FL47" s="507" t="str">
        <f>IF(OR(ISNA(VLOOKUP($B47,'TICH LUY'!$B$11:$BY$85,71,0)),$B47=""),"",VLOOKUP($B47,'TICH LUY'!$B$11:$BY$85,71,0))</f>
        <v/>
      </c>
      <c r="FM47" s="507" t="str">
        <f>IF(OR(ISNA(VLOOKUP($B47,'TICH LUY'!$B$11:$BY$85,72,0)),$B47=""),"",VLOOKUP($B47,'TICH LUY'!$B$11:$BY$85,72,0))</f>
        <v/>
      </c>
      <c r="FN47" s="507" t="str">
        <f>IF(OR(ISNA(VLOOKUP($B47,'TICH LUY'!$B$11:$BY$85,73,0)),$B47=""),"",VLOOKUP($B47,'TICH LUY'!$B$11:$BY$85,73,0))</f>
        <v/>
      </c>
      <c r="FO47" s="507" t="str">
        <f>IF(OR(ISNA(VLOOKUP($B47,'TICH LUY'!$B$11:$BY$85,74,0)),$B47=""),"",VLOOKUP($B47,'TICH LUY'!$B$11:$BY$85,74,0))</f>
        <v/>
      </c>
      <c r="FP47" s="507" t="str">
        <f>IF(OR(ISNA(VLOOKUP($B47,'TICH LUY'!$B$11:$BY$85,75,0)),$B47=""),"",VLOOKUP($B47,'TICH LUY'!$B$11:$BY$85,75,0))</f>
        <v/>
      </c>
      <c r="FQ47" s="529" t="str">
        <f>IF(OR(ISNA(VLOOKUP($B47,'TICH LUY'!$B$11:$BY$85,76,0)),$B47=""),"",VLOOKUP($B47,'TICH LUY'!$B$11:$BY$85,76,0))</f>
        <v/>
      </c>
      <c r="FR47" s="455" t="str">
        <f t="shared" si="69"/>
        <v/>
      </c>
      <c r="FS47" s="456" t="str">
        <f t="shared" si="70"/>
        <v/>
      </c>
      <c r="FT47" s="456" t="str">
        <f t="shared" si="71"/>
        <v/>
      </c>
      <c r="FU47" s="456" t="str">
        <f t="shared" si="72"/>
        <v/>
      </c>
      <c r="FV47" s="456" t="str">
        <f t="shared" si="73"/>
        <v/>
      </c>
      <c r="FW47" s="456" t="str">
        <f t="shared" si="74"/>
        <v/>
      </c>
      <c r="FX47" s="456" t="str">
        <f t="shared" si="75"/>
        <v/>
      </c>
      <c r="FY47" s="456" t="str">
        <f t="shared" si="76"/>
        <v/>
      </c>
      <c r="FZ47" s="456" t="str">
        <f t="shared" si="77"/>
        <v/>
      </c>
      <c r="GA47" s="456" t="str">
        <f t="shared" si="78"/>
        <v/>
      </c>
      <c r="GB47" s="459" t="str">
        <f t="shared" si="79"/>
        <v/>
      </c>
      <c r="GC47" s="457" t="str">
        <f t="shared" si="107"/>
        <v/>
      </c>
    </row>
    <row r="48" spans="1:185" s="221" customFormat="1" ht="15.75">
      <c r="A48" s="449" t="str">
        <f>IF(B48="","",SUBTOTAL(3,$B$11:B48))</f>
        <v/>
      </c>
      <c r="B48" s="198"/>
      <c r="C48" s="450" t="str">
        <f>IF($B48="","",VLOOKUP($B48,'DS LOP HKI'!$B$2:$F$2642,2,0))</f>
        <v/>
      </c>
      <c r="D48" s="451" t="str">
        <f>IF($B48="","",VLOOKUP($B48,'DS LOP HKI'!$B$2:$F$2642,3,0))</f>
        <v/>
      </c>
      <c r="E48" s="154"/>
      <c r="F48" s="152"/>
      <c r="G48" s="156"/>
      <c r="H48" s="181" t="str">
        <f>IF(OR($H$6="",$H$7=""),"",IF($B48="","",IF(ISNA(VLOOKUP($B48,'LT01'!$B$11:$R$75,13,FALSE)),"",IF(VLOOKUP($B48,'LT01'!$B$11:$R$75,13,FALSE)="","",VLOOKUP($B48,'LT01'!$B$11:$R$75,13,FALSE)))))</f>
        <v/>
      </c>
      <c r="I48" s="182" t="str">
        <f>IF(OR($H$6="",$H$7=""),"",IF($B48="","",IF(ISNA(VLOOKUP($B48,'LT01'!$B$11:$R$75,14,FALSE)),"",VLOOKUP($B48,'LT01'!$B$11:$R$75,14,FALSE))))</f>
        <v/>
      </c>
      <c r="J48" s="183"/>
      <c r="K48" s="182" t="str">
        <f>IF(OR($H$6="",$H$7=""),"",IF($B48="","",IF(ISNA(VLOOKUP($B48,'LT01'!$B$11:$R$75,17,FALSE)),"",VLOOKUP($B48,'LT01'!$B$11:$R$75,17,FALSE))))</f>
        <v/>
      </c>
      <c r="L48" s="185" t="str">
        <f>IF(OR($H$6="",$H$7=""),"",IF($B48="","",IF(ISNA(VLOOKUP($B48,'LT02'!$B$11:$R$75,13,FALSE)),"",IF(VLOOKUP($B48,'LT02'!$B$11:$R$75,13,FALSE)="","",VLOOKUP($B48,'LT02'!$B$11:$R$75,13,FALSE)))))</f>
        <v/>
      </c>
      <c r="M48" s="182" t="str">
        <f>IF(OR($H$6="",$H$7=""),"",IF($B48="","",IF(ISNA(VLOOKUP($B48,'LT02'!$B$11:$R$75,14,FALSE)),"",VLOOKUP($B48,'LT02'!$B$11:$R$75,14,FALSE))))</f>
        <v/>
      </c>
      <c r="N48" s="183"/>
      <c r="O48" s="182" t="str">
        <f>IF(OR($H$6="",$H$7=""),"",IF($B48="","",IF(ISNA(VLOOKUP($B48,'LT02'!$B$11:$R$75,17,FALSE)),"",VLOOKUP($B48,'LT02'!$B$11:$R$75,17,FALSE))))</f>
        <v/>
      </c>
      <c r="P48" s="185" t="str">
        <f>IF(OR($H$6="",$H$7=""),"",IF($B48="","",IF(ISNA(VLOOKUP($B48,'LT03'!$B$11:$R$75,13,FALSE)),"",IF(VLOOKUP($B48,'LT03'!$B$11:$R$75,13,FALSE)="","",VLOOKUP($B48,'LT03'!$B$11:$R$75,13,FALSE)))))</f>
        <v/>
      </c>
      <c r="Q48" s="182" t="str">
        <f>IF(OR($H$6="",$H$7=""),"",IF($B48="","",IF(ISNA(VLOOKUP($B48,'LT03'!$B$11:$R$75,14,FALSE)),"",VLOOKUP($B48,'LT03'!$B$11:$R$75,14,FALSE))))</f>
        <v/>
      </c>
      <c r="R48" s="183"/>
      <c r="S48" s="182" t="str">
        <f>IF(OR($H$6="",$H$7=""),"",IF($B48="","",IF(ISNA(VLOOKUP($B48,'LT03'!$B$11:$R$75,17,FALSE)),"",VLOOKUP($B48,'LT03'!$B$11:$R$75,17,FALSE))))</f>
        <v/>
      </c>
      <c r="T48" s="185" t="str">
        <f>IF(OR($H$6="",$H$7=""),"",IF($B48="","",IF(ISNA(VLOOKUP($B48,'LT04'!$B$11:$R$75,13,FALSE)),"",IF(VLOOKUP($B48,'LT04'!$B$11:$R$75,13,FALSE)="","",VLOOKUP($B48,'LT04'!$B$11:$R$75,13,FALSE)))))</f>
        <v/>
      </c>
      <c r="U48" s="182" t="str">
        <f>IF(OR($H$6="",$H$7=""),"",IF($B48="","",IF(ISNA(VLOOKUP($B48,'LT04'!$B$11:$R$75,14,FALSE)),"",VLOOKUP($B48,'LT04'!$B$11:$R$75,14,FALSE))))</f>
        <v/>
      </c>
      <c r="V48" s="183"/>
      <c r="W48" s="184" t="str">
        <f>IF(OR($H$6="",$H$7=""),"",IF($B48="","",IF(ISNA(VLOOKUP($B48,'LT04'!$B$11:$R$75,17,FALSE)),"",VLOOKUP($B48,'LT04'!$B$11:$R$75,17,FALSE))))</f>
        <v/>
      </c>
      <c r="X48" s="185" t="str">
        <f>IF(OR($H$6="",$H$7=""),"",IF($B48="","",IF(ISNA(VLOOKUP($B48,'LT05'!$B$11:$R$75,13,FALSE)),"",IF(VLOOKUP($B48,'LT05'!$B$11:$R$75,13,FALSE)="","",VLOOKUP($B48,'LT05'!$B$11:$R$75,13,FALSE)))))</f>
        <v/>
      </c>
      <c r="Y48" s="182" t="str">
        <f>IF(OR($H$6="",$H$7=""),"",IF($B48="","",IF(ISNA(VLOOKUP($B48,'LT05'!$B$11:$R$75,14,FALSE)),"",VLOOKUP($B48,'LT05'!$B$11:$R$75,14,FALSE))))</f>
        <v/>
      </c>
      <c r="Z48" s="183"/>
      <c r="AA48" s="182" t="str">
        <f>IF(OR($H$6="",$H$7=""),"",IF($B48="","",IF(ISNA(VLOOKUP($B48,'LT05'!$B$11:$R$75,17,FALSE)),"",VLOOKUP($B48,'LT05'!$B$11:$R$75,17,FALSE))))</f>
        <v/>
      </c>
      <c r="AB48" s="185" t="str">
        <f>IF(OR($H$6="",$H$7=""),"",IF($B48="","",IF(ISNA(VLOOKUP($B48,'LT06'!$B$11:$R$75,13,FALSE)),"",IF(VLOOKUP($B48,'LT06'!$B$11:$R$75,13,FALSE)="","",VLOOKUP($B48,'LT06'!$B$11:$R$75,13,FALSE)))))</f>
        <v/>
      </c>
      <c r="AC48" s="182" t="str">
        <f>IF(OR($H$6="",$H$7=""),"",IF($B48="","",IF(ISNA(VLOOKUP($B48,'LT06'!$B$11:$R$75,14,FALSE)),"",VLOOKUP($B48,'LT06'!$B$11:$R$75,14,FALSE))))</f>
        <v/>
      </c>
      <c r="AD48" s="183"/>
      <c r="AE48" s="182" t="str">
        <f>IF(OR($H$6="",$H$7=""),"",IF($B48="","",IF(ISNA(VLOOKUP($B48,'LT06'!$B$11:$R$75,17,FALSE)),"",VLOOKUP($B48,'LT06'!$B$11:$R$75,17,FALSE))))</f>
        <v/>
      </c>
      <c r="AF48" s="185" t="str">
        <f>IF(OR($H$6="",$H$7=""),"",IF($B48="","",IF(ISNA(VLOOKUP($B48,'LT07'!$B$11:$R$75,13,FALSE)),"",IF(VLOOKUP($B48,'LT07'!$B$11:$R$75,13,FALSE)="","",VLOOKUP($B48,'LT07'!$B$11:$R$75,13,FALSE)))))</f>
        <v/>
      </c>
      <c r="AG48" s="182" t="str">
        <f>IF(OR($H$6="",$H$7=""),"",IF($B48="","",IF(ISNA(VLOOKUP($B48,'LT07'!$B$11:$R$75,14,FALSE)),"",VLOOKUP($B48,'LT07'!$B$11:$R$75,14,FALSE))))</f>
        <v/>
      </c>
      <c r="AH48" s="183"/>
      <c r="AI48" s="182" t="str">
        <f>IF(OR($H$6="",$H$7=""),"",IF($B48="","",IF(ISNA(VLOOKUP($B48,'LT07'!$B$11:$R$75,17,FALSE)),"",VLOOKUP($B48,'LT07'!$B$11:$R$75,17,FALSE))))</f>
        <v/>
      </c>
      <c r="AJ48" s="185" t="str">
        <f>IF(OR($H$6="",$H$7=""),"",IF($B48="","",IF(ISNA(VLOOKUP($B48,'LT08'!$B$11:$R$75,13,FALSE)),"",IF(VLOOKUP($B48,'LT08'!$B$11:$R$75,13,FALSE)="","",VLOOKUP($B48,'LT08'!$B$11:$R$75,13,FALSE)))))</f>
        <v/>
      </c>
      <c r="AK48" s="182" t="str">
        <f>IF(OR($H$6="",$H$7=""),"",IF($B48="","",IF(ISNA(VLOOKUP($B48,'LT08'!$B$11:$R$75,14,FALSE)),"",VLOOKUP($B48,'LT08'!$B$11:$R$75,14,FALSE))))</f>
        <v/>
      </c>
      <c r="AL48" s="183"/>
      <c r="AM48" s="182" t="str">
        <f>IF(OR($H$6="",$H$7=""),"",IF($B48="","",IF(ISNA(VLOOKUP($B48,'LT08'!$B$11:$R$75,17,FALSE)),"",VLOOKUP($B48,'LT08'!$B$11:$R$75,17,FALSE))))</f>
        <v/>
      </c>
      <c r="AN48" s="185" t="str">
        <f>IF(OR($H$6="",$H$7=""),"",IF($B48="","",IF(ISNA(VLOOKUP($B48,'LT09'!$B$11:$R$75,13,FALSE)),"",IF(VLOOKUP($B48,'LT09'!$B$11:$R$75,13,FALSE)="","",VLOOKUP($B48,'LT09'!$B$11:$R$75,13,FALSE)))))</f>
        <v/>
      </c>
      <c r="AO48" s="182" t="str">
        <f>IF(OR($H$6="",$H$7=""),"",IF($B48="","",IF(ISNA(VLOOKUP($B48,'LT09'!$B$11:$R$75,14,FALSE)),"",VLOOKUP($B48,'LT09'!$B$11:$R$75,14,FALSE))))</f>
        <v/>
      </c>
      <c r="AP48" s="183"/>
      <c r="AQ48" s="182" t="str">
        <f>IF(OR($H$6="",$H$7=""),"",IF($B48="","",IF(ISNA(VLOOKUP($B48,'LT09'!$B$11:$R$75,17,FALSE)),"",VLOOKUP($B48,'LT09'!$B$11:$R$75,17,FALSE))))</f>
        <v/>
      </c>
      <c r="AR48" s="186"/>
      <c r="AS48" s="182" t="str">
        <f>IF(OR($H$6="",$H$7=""),"",IF($B48="","",IF(ISNA(VLOOKUP($B48,'TH01'!$B$11:$R$75,14,FALSE)),"",VLOOKUP($B48,'TH01'!$B$11:$R$75,14,FALSE))))</f>
        <v/>
      </c>
      <c r="AT48" s="183"/>
      <c r="AU48" s="187"/>
      <c r="AV48" s="186"/>
      <c r="AW48" s="182" t="str">
        <f>IF(OR($H$6="",$H$7=""),"",IF($B48="","",IF(ISNA(VLOOKUP($B48,'TH02'!$B$11:$R$75,14,FALSE)),"",VLOOKUP($B48,'TH02'!$B$11:$R$75,14,FALSE))))</f>
        <v/>
      </c>
      <c r="AX48" s="183"/>
      <c r="AY48" s="187"/>
      <c r="AZ48" s="54" t="str">
        <f t="shared" si="24"/>
        <v/>
      </c>
      <c r="BA48" s="54" t="str">
        <f t="shared" si="0"/>
        <v/>
      </c>
      <c r="BB48" s="70"/>
      <c r="BC48" s="52" t="str">
        <f t="shared" si="25"/>
        <v/>
      </c>
      <c r="BD48" s="52" t="str">
        <f t="shared" si="26"/>
        <v/>
      </c>
      <c r="BE48" s="52" t="str">
        <f t="shared" si="86"/>
        <v/>
      </c>
      <c r="BF48" s="149" t="str">
        <f t="shared" si="87"/>
        <v/>
      </c>
      <c r="BG48" s="52" t="str">
        <f t="shared" si="88"/>
        <v/>
      </c>
      <c r="BH48" s="52" t="str">
        <f t="shared" si="89"/>
        <v/>
      </c>
      <c r="BI48" s="52" t="str">
        <f t="shared" si="90"/>
        <v/>
      </c>
      <c r="BJ48" s="52" t="str">
        <f t="shared" si="91"/>
        <v/>
      </c>
      <c r="BK48" s="54" t="str">
        <f t="shared" si="92"/>
        <v/>
      </c>
      <c r="BL48" s="54" t="str">
        <f t="shared" si="93"/>
        <v/>
      </c>
      <c r="BM48" s="54" t="str">
        <f t="shared" si="94"/>
        <v/>
      </c>
      <c r="BN48" s="54" t="str">
        <f t="shared" si="95"/>
        <v/>
      </c>
      <c r="BO48" s="70"/>
      <c r="BP48" s="52" t="str">
        <f>IF(ISNA(VLOOKUP(B48,'TICH LUY'!B:D,2,0)),"",VLOOKUP(B48,'TICH LUY'!B:D,2,0)+BI48)</f>
        <v/>
      </c>
      <c r="BQ48" s="52" t="str">
        <f>IF(ISNA(VLOOKUP(B48,'TICH LUY'!B:D,3,0)),"",VLOOKUP(B48,'TICH LUY'!B:D,3,0)+BJ48)</f>
        <v/>
      </c>
      <c r="BR48" s="40" t="str">
        <f t="shared" si="96"/>
        <v/>
      </c>
      <c r="BS48" s="452" t="str">
        <f t="shared" si="97"/>
        <v/>
      </c>
      <c r="BT48" s="452" t="str">
        <f t="shared" si="98"/>
        <v/>
      </c>
      <c r="BU48" s="452" t="str">
        <f t="shared" si="99"/>
        <v/>
      </c>
      <c r="BV48" s="452" t="str">
        <f t="shared" si="100"/>
        <v/>
      </c>
      <c r="BW48" s="452" t="str">
        <f t="shared" si="101"/>
        <v/>
      </c>
      <c r="BX48" s="452" t="str">
        <f t="shared" si="102"/>
        <v/>
      </c>
      <c r="BY48" s="452" t="str">
        <f t="shared" si="103"/>
        <v/>
      </c>
      <c r="BZ48" s="452" t="str">
        <f t="shared" si="28"/>
        <v/>
      </c>
      <c r="CA48" s="452" t="str">
        <f t="shared" si="29"/>
        <v/>
      </c>
      <c r="CB48" s="452" t="str">
        <f t="shared" si="30"/>
        <v/>
      </c>
      <c r="CC48" s="452" t="str">
        <f t="shared" si="104"/>
        <v/>
      </c>
      <c r="CD48" s="40" t="str">
        <f t="shared" si="31"/>
        <v/>
      </c>
      <c r="CE48" s="453" t="str">
        <f t="shared" si="80"/>
        <v/>
      </c>
      <c r="CF48" s="452" t="str">
        <f t="shared" si="32"/>
        <v/>
      </c>
      <c r="CG48" s="452" t="str">
        <f t="shared" si="81"/>
        <v/>
      </c>
      <c r="CH48" s="452" t="str">
        <f t="shared" si="82"/>
        <v/>
      </c>
      <c r="CI48" s="452" t="str">
        <f t="shared" si="83"/>
        <v/>
      </c>
      <c r="CJ48" s="452" t="str">
        <f t="shared" si="84"/>
        <v/>
      </c>
      <c r="CK48" s="452" t="str">
        <f t="shared" si="85"/>
        <v/>
      </c>
      <c r="CL48" s="452" t="str">
        <f t="shared" si="33"/>
        <v/>
      </c>
      <c r="CM48" s="452" t="str">
        <f t="shared" si="34"/>
        <v/>
      </c>
      <c r="CN48" s="452" t="str">
        <f t="shared" si="35"/>
        <v/>
      </c>
      <c r="CO48" s="452" t="str">
        <f t="shared" si="105"/>
        <v/>
      </c>
      <c r="CP48" s="454" t="str">
        <f t="shared" si="36"/>
        <v/>
      </c>
      <c r="CQ48" s="527" t="str">
        <f>IF(OR(ISNA(VLOOKUP($B48,'TICH LUY'!$B$11:$BY$85,54,0)),$B48=""),"",VLOOKUP($B48,'TICH LUY'!$B$11:$BY$85,54,0))</f>
        <v/>
      </c>
      <c r="CR48" s="507" t="str">
        <f>IF(OR(ISNA(VLOOKUP($B48,'TICH LUY'!$B$11:$BY$85,55,0)),$B48=""),"",VLOOKUP($B48,'TICH LUY'!$B$11:$BY$85,55,0))</f>
        <v/>
      </c>
      <c r="CS48" s="507" t="str">
        <f>IF(OR(ISNA(VLOOKUP($B48,'TICH LUY'!$B$11:$BY$85,56,0)),$B48=""),"",VLOOKUP($B48,'TICH LUY'!$B$11:$BY$85,56,0))</f>
        <v/>
      </c>
      <c r="CT48" s="507" t="str">
        <f>IF(OR(ISNA(VLOOKUP($B48,'TICH LUY'!$B$11:$BY$85,57,0)),$B48=""),"",VLOOKUP($B48,'TICH LUY'!$B$11:$BY$85,57,0))</f>
        <v/>
      </c>
      <c r="CU48" s="507" t="str">
        <f>IF(OR(ISNA(VLOOKUP($B48,'TICH LUY'!$B$11:$BY$85,58,0)),$B48=""),"",VLOOKUP($B48,'TICH LUY'!$B$11:$BY$85,58,0))</f>
        <v/>
      </c>
      <c r="CV48" s="507" t="str">
        <f>IF(OR(ISNA(VLOOKUP($B48,'TICH LUY'!$B$11:$BY$85,59,0)),$B48=""),"",VLOOKUP($B48,'TICH LUY'!$B$11:$BY$85,59,0))</f>
        <v/>
      </c>
      <c r="CW48" s="507" t="str">
        <f>IF(OR(ISNA(VLOOKUP($B48,'TICH LUY'!$B$11:$BY$85,60,0)),$B48=""),"",VLOOKUP($B48,'TICH LUY'!$B$11:$BY$85,60,0))</f>
        <v/>
      </c>
      <c r="CX48" s="507" t="str">
        <f>IF(OR(ISNA(VLOOKUP($B48,'TICH LUY'!$B$11:$BY$85,61,0)),$B48=""),"",VLOOKUP($B48,'TICH LUY'!$B$11:$BY$85,61,0))</f>
        <v/>
      </c>
      <c r="CY48" s="507" t="str">
        <f>IF(OR(ISNA(VLOOKUP($B48,'TICH LUY'!$B$11:$BY$85,62,0)),$B48=""),"",VLOOKUP($B48,'TICH LUY'!$B$11:$BY$85,62,0))</f>
        <v/>
      </c>
      <c r="CZ48" s="507" t="str">
        <f>IF(OR(ISNA(VLOOKUP($B48,'TICH LUY'!$B$11:$BY$85,63,0)),$B48=""),"",VLOOKUP($B48,'TICH LUY'!$B$11:$BY$85,63,0))</f>
        <v/>
      </c>
      <c r="DA48" s="507" t="str">
        <f>IF(OR(ISNA(VLOOKUP($B48,'TICH LUY'!$B$11:$BY$85,64,0)),$B48=""),"",VLOOKUP($B48,'TICH LUY'!$B$11:$BY$85,64,0))</f>
        <v/>
      </c>
      <c r="DB48" s="507" t="str">
        <f>IF(OR(ISNA(VLOOKUP($B48,'TICH LUY'!$B$11:$BY$85,65,0)),$B48=""),"",VLOOKUP($B48,'TICH LUY'!$B$11:$BY$85,65,0))</f>
        <v/>
      </c>
      <c r="DC48" s="507" t="str">
        <f>IF(OR(ISNA(VLOOKUP($B48,'TICH LUY'!$B$11:$BY$85,66,0)),$B48=""),"",VLOOKUP($B48,'TICH LUY'!$B$11:$BY$85,66,0))</f>
        <v/>
      </c>
      <c r="DD48" s="507" t="str">
        <f>IF(OR(ISNA(VLOOKUP($B48,'TICH LUY'!$B$11:$BY$85,67,0)),$B48=""),"",VLOOKUP($B48,'TICH LUY'!$B$11:$BY$85,67,0))</f>
        <v/>
      </c>
      <c r="DE48" s="507" t="str">
        <f>IF(OR(ISNA(VLOOKUP($B48,'TICH LUY'!$B$11:$BY$85,68,0)),$B48=""),"",VLOOKUP($B48,'TICH LUY'!$B$11:$BY$85,68,0))</f>
        <v/>
      </c>
      <c r="DF48" s="507" t="str">
        <f>IF(OR(ISNA(VLOOKUP($B48,'TICH LUY'!$B$11:$BY$85,69,0)),$B48=""),"",VLOOKUP($B48,'TICH LUY'!$B$11:$BY$85,69,0))</f>
        <v/>
      </c>
      <c r="DG48" s="507" t="str">
        <f>IF(OR(ISNA(VLOOKUP($B48,'TICH LUY'!$B$11:$BY$85,70,0)),$B48=""),"",VLOOKUP($B48,'TICH LUY'!$B$11:$BY$85,70,0))</f>
        <v/>
      </c>
      <c r="DH48" s="507" t="str">
        <f>IF(OR(ISNA(VLOOKUP($B48,'TICH LUY'!$B$11:$BY$85,71,0)),$B48=""),"",VLOOKUP($B48,'TICH LUY'!$B$11:$BY$85,71,0))</f>
        <v/>
      </c>
      <c r="DI48" s="507" t="str">
        <f>IF(OR(ISNA(VLOOKUP($B48,'TICH LUY'!$B$11:$BY$85,72,0)),$B48=""),"",VLOOKUP($B48,'TICH LUY'!$B$11:$BY$85,72,0))</f>
        <v/>
      </c>
      <c r="DJ48" s="507" t="str">
        <f>IF(OR(ISNA(VLOOKUP($B48,'TICH LUY'!$B$11:$BY$85,73,0)),$B48=""),"",VLOOKUP($B48,'TICH LUY'!$B$11:$BY$85,73,0))</f>
        <v/>
      </c>
      <c r="DK48" s="507" t="str">
        <f>IF(OR(ISNA(VLOOKUP($B48,'TICH LUY'!$B$11:$BY$85,74,0)),$B48=""),"",VLOOKUP($B48,'TICH LUY'!$B$11:$BY$85,74,0))</f>
        <v/>
      </c>
      <c r="DL48" s="507" t="str">
        <f>IF(OR(ISNA(VLOOKUP($B48,'TICH LUY'!$B$11:$BY$85,75,0)),$B48=""),"",VLOOKUP($B48,'TICH LUY'!$B$11:$BY$85,75,0))</f>
        <v/>
      </c>
      <c r="DM48" s="529" t="str">
        <f>IF(OR(ISNA(VLOOKUP($B48,'TICH LUY'!$B$11:$BY$85,76,0)),$B48=""),"",VLOOKUP($B48,'TICH LUY'!$B$11:$BY$85,76,0))</f>
        <v/>
      </c>
      <c r="DN48" s="455" t="str">
        <f t="shared" si="37"/>
        <v/>
      </c>
      <c r="DO48" s="456" t="str">
        <f t="shared" si="38"/>
        <v/>
      </c>
      <c r="DP48" s="456" t="str">
        <f t="shared" si="39"/>
        <v/>
      </c>
      <c r="DQ48" s="456" t="str">
        <f t="shared" si="40"/>
        <v/>
      </c>
      <c r="DR48" s="456" t="str">
        <f t="shared" si="41"/>
        <v/>
      </c>
      <c r="DS48" s="456" t="str">
        <f t="shared" si="42"/>
        <v/>
      </c>
      <c r="DT48" s="456" t="str">
        <f t="shared" si="43"/>
        <v/>
      </c>
      <c r="DU48" s="456" t="str">
        <f t="shared" si="44"/>
        <v/>
      </c>
      <c r="DV48" s="456" t="str">
        <f t="shared" si="45"/>
        <v/>
      </c>
      <c r="DW48" s="456" t="str">
        <f t="shared" si="46"/>
        <v/>
      </c>
      <c r="DX48" s="456" t="str">
        <f t="shared" si="47"/>
        <v/>
      </c>
      <c r="DY48" s="457" t="str">
        <f t="shared" si="48"/>
        <v/>
      </c>
      <c r="DZ48" s="453" t="str">
        <f t="shared" si="49"/>
        <v/>
      </c>
      <c r="EA48" s="452" t="str">
        <f t="shared" si="50"/>
        <v/>
      </c>
      <c r="EB48" s="452" t="str">
        <f t="shared" si="51"/>
        <v/>
      </c>
      <c r="EC48" s="452" t="str">
        <f t="shared" si="52"/>
        <v/>
      </c>
      <c r="ED48" s="452" t="str">
        <f t="shared" si="53"/>
        <v/>
      </c>
      <c r="EE48" s="452" t="str">
        <f t="shared" si="54"/>
        <v/>
      </c>
      <c r="EF48" s="452" t="str">
        <f t="shared" si="55"/>
        <v/>
      </c>
      <c r="EG48" s="452" t="str">
        <f t="shared" si="56"/>
        <v/>
      </c>
      <c r="EH48" s="452" t="str">
        <f t="shared" si="57"/>
        <v/>
      </c>
      <c r="EI48" s="453" t="str">
        <f t="shared" si="58"/>
        <v/>
      </c>
      <c r="EJ48" s="452" t="str">
        <f t="shared" si="59"/>
        <v/>
      </c>
      <c r="EK48" s="452" t="str">
        <f t="shared" si="60"/>
        <v/>
      </c>
      <c r="EL48" s="452" t="str">
        <f t="shared" si="61"/>
        <v/>
      </c>
      <c r="EM48" s="452" t="str">
        <f t="shared" si="62"/>
        <v/>
      </c>
      <c r="EN48" s="452" t="str">
        <f t="shared" si="63"/>
        <v/>
      </c>
      <c r="EO48" s="452" t="str">
        <f t="shared" si="64"/>
        <v/>
      </c>
      <c r="EP48" s="452" t="str">
        <f t="shared" si="65"/>
        <v/>
      </c>
      <c r="EQ48" s="452" t="str">
        <f t="shared" si="66"/>
        <v/>
      </c>
      <c r="ER48" s="452" t="str">
        <f t="shared" si="67"/>
        <v/>
      </c>
      <c r="ES48" s="452" t="str">
        <f t="shared" si="106"/>
        <v/>
      </c>
      <c r="ET48" s="458" t="str">
        <f t="shared" si="68"/>
        <v/>
      </c>
      <c r="EU48" s="527" t="str">
        <f>IF(OR(ISNA(VLOOKUP($B48,'TICH LUY'!$B$11:$BY$85,54,0)),$B48=""),"",VLOOKUP($B48,'TICH LUY'!$B$11:$BY$85,54,0))</f>
        <v/>
      </c>
      <c r="EV48" s="507" t="str">
        <f>IF(OR(ISNA(VLOOKUP($B48,'TICH LUY'!$B$11:$BY$85,55,0)),$B48=""),"",VLOOKUP($B48,'TICH LUY'!$B$11:$BY$85,55,0))</f>
        <v/>
      </c>
      <c r="EW48" s="507" t="str">
        <f>IF(OR(ISNA(VLOOKUP($B48,'TICH LUY'!$B$11:$BY$85,56,0)),$B48=""),"",VLOOKUP($B48,'TICH LUY'!$B$11:$BY$85,56,0))</f>
        <v/>
      </c>
      <c r="EX48" s="507" t="str">
        <f>IF(OR(ISNA(VLOOKUP($B48,'TICH LUY'!$B$11:$BY$85,57,0)),$B48=""),"",VLOOKUP($B48,'TICH LUY'!$B$11:$BY$85,57,0))</f>
        <v/>
      </c>
      <c r="EY48" s="507" t="str">
        <f>IF(OR(ISNA(VLOOKUP($B48,'TICH LUY'!$B$11:$BY$85,58,0)),$B48=""),"",VLOOKUP($B48,'TICH LUY'!$B$11:$BY$85,58,0))</f>
        <v/>
      </c>
      <c r="EZ48" s="507" t="str">
        <f>IF(OR(ISNA(VLOOKUP($B48,'TICH LUY'!$B$11:$BY$85,59,0)),$B48=""),"",VLOOKUP($B48,'TICH LUY'!$B$11:$BY$85,59,0))</f>
        <v/>
      </c>
      <c r="FA48" s="507" t="str">
        <f>IF(OR(ISNA(VLOOKUP($B48,'TICH LUY'!$B$11:$BY$85,60,0)),$B48=""),"",VLOOKUP($B48,'TICH LUY'!$B$11:$BY$85,60,0))</f>
        <v/>
      </c>
      <c r="FB48" s="507" t="str">
        <f>IF(OR(ISNA(VLOOKUP($B48,'TICH LUY'!$B$11:$BY$85,61,0)),$B48=""),"",VLOOKUP($B48,'TICH LUY'!$B$11:$BY$85,61,0))</f>
        <v/>
      </c>
      <c r="FC48" s="507" t="str">
        <f>IF(OR(ISNA(VLOOKUP($B48,'TICH LUY'!$B$11:$BY$85,62,0)),$B48=""),"",VLOOKUP($B48,'TICH LUY'!$B$11:$BY$85,62,0))</f>
        <v/>
      </c>
      <c r="FD48" s="507" t="str">
        <f>IF(OR(ISNA(VLOOKUP($B48,'TICH LUY'!$B$11:$BY$85,63,0)),$B48=""),"",VLOOKUP($B48,'TICH LUY'!$B$11:$BY$85,63,0))</f>
        <v/>
      </c>
      <c r="FE48" s="507" t="str">
        <f>IF(OR(ISNA(VLOOKUP($B48,'TICH LUY'!$B$11:$BY$85,64,0)),$B48=""),"",VLOOKUP($B48,'TICH LUY'!$B$11:$BY$85,64,0))</f>
        <v/>
      </c>
      <c r="FF48" s="507" t="str">
        <f>IF(OR(ISNA(VLOOKUP($B48,'TICH LUY'!$B$11:$BY$85,65,0)),$B48=""),"",VLOOKUP($B48,'TICH LUY'!$B$11:$BY$85,65,0))</f>
        <v/>
      </c>
      <c r="FG48" s="507" t="str">
        <f>IF(OR(ISNA(VLOOKUP($B48,'TICH LUY'!$B$11:$BY$85,66,0)),$B48=""),"",VLOOKUP($B48,'TICH LUY'!$B$11:$BY$85,66,0))</f>
        <v/>
      </c>
      <c r="FH48" s="507" t="str">
        <f>IF(OR(ISNA(VLOOKUP($B48,'TICH LUY'!$B$11:$BY$85,67,0)),$B48=""),"",VLOOKUP($B48,'TICH LUY'!$B$11:$BY$85,67,0))</f>
        <v/>
      </c>
      <c r="FI48" s="507" t="str">
        <f>IF(OR(ISNA(VLOOKUP($B48,'TICH LUY'!$B$11:$BY$85,68,0)),$B48=""),"",VLOOKUP($B48,'TICH LUY'!$B$11:$BY$85,68,0))</f>
        <v/>
      </c>
      <c r="FJ48" s="507" t="str">
        <f>IF(OR(ISNA(VLOOKUP($B48,'TICH LUY'!$B$11:$BY$85,69,0)),$B48=""),"",VLOOKUP($B48,'TICH LUY'!$B$11:$BY$85,69,0))</f>
        <v/>
      </c>
      <c r="FK48" s="507" t="str">
        <f>IF(OR(ISNA(VLOOKUP($B48,'TICH LUY'!$B$11:$BY$85,70,0)),$B48=""),"",VLOOKUP($B48,'TICH LUY'!$B$11:$BY$85,70,0))</f>
        <v/>
      </c>
      <c r="FL48" s="507" t="str">
        <f>IF(OR(ISNA(VLOOKUP($B48,'TICH LUY'!$B$11:$BY$85,71,0)),$B48=""),"",VLOOKUP($B48,'TICH LUY'!$B$11:$BY$85,71,0))</f>
        <v/>
      </c>
      <c r="FM48" s="507" t="str">
        <f>IF(OR(ISNA(VLOOKUP($B48,'TICH LUY'!$B$11:$BY$85,72,0)),$B48=""),"",VLOOKUP($B48,'TICH LUY'!$B$11:$BY$85,72,0))</f>
        <v/>
      </c>
      <c r="FN48" s="507" t="str">
        <f>IF(OR(ISNA(VLOOKUP($B48,'TICH LUY'!$B$11:$BY$85,73,0)),$B48=""),"",VLOOKUP($B48,'TICH LUY'!$B$11:$BY$85,73,0))</f>
        <v/>
      </c>
      <c r="FO48" s="507" t="str">
        <f>IF(OR(ISNA(VLOOKUP($B48,'TICH LUY'!$B$11:$BY$85,74,0)),$B48=""),"",VLOOKUP($B48,'TICH LUY'!$B$11:$BY$85,74,0))</f>
        <v/>
      </c>
      <c r="FP48" s="507" t="str">
        <f>IF(OR(ISNA(VLOOKUP($B48,'TICH LUY'!$B$11:$BY$85,75,0)),$B48=""),"",VLOOKUP($B48,'TICH LUY'!$B$11:$BY$85,75,0))</f>
        <v/>
      </c>
      <c r="FQ48" s="529" t="str">
        <f>IF(OR(ISNA(VLOOKUP($B48,'TICH LUY'!$B$11:$BY$85,76,0)),$B48=""),"",VLOOKUP($B48,'TICH LUY'!$B$11:$BY$85,76,0))</f>
        <v/>
      </c>
      <c r="FR48" s="455" t="str">
        <f t="shared" si="69"/>
        <v/>
      </c>
      <c r="FS48" s="456" t="str">
        <f t="shared" si="70"/>
        <v/>
      </c>
      <c r="FT48" s="456" t="str">
        <f t="shared" si="71"/>
        <v/>
      </c>
      <c r="FU48" s="456" t="str">
        <f t="shared" si="72"/>
        <v/>
      </c>
      <c r="FV48" s="456" t="str">
        <f t="shared" si="73"/>
        <v/>
      </c>
      <c r="FW48" s="456" t="str">
        <f t="shared" si="74"/>
        <v/>
      </c>
      <c r="FX48" s="456" t="str">
        <f t="shared" si="75"/>
        <v/>
      </c>
      <c r="FY48" s="456" t="str">
        <f t="shared" si="76"/>
        <v/>
      </c>
      <c r="FZ48" s="456" t="str">
        <f t="shared" si="77"/>
        <v/>
      </c>
      <c r="GA48" s="456" t="str">
        <f t="shared" si="78"/>
        <v/>
      </c>
      <c r="GB48" s="459" t="str">
        <f t="shared" si="79"/>
        <v/>
      </c>
      <c r="GC48" s="457" t="str">
        <f t="shared" si="107"/>
        <v/>
      </c>
    </row>
    <row r="49" spans="1:185" s="221" customFormat="1" ht="15.75">
      <c r="A49" s="449" t="str">
        <f>IF(B49="","",SUBTOTAL(3,$B$11:B49))</f>
        <v/>
      </c>
      <c r="B49" s="198"/>
      <c r="C49" s="450" t="str">
        <f>IF($B49="","",VLOOKUP($B49,'DS LOP HKI'!$B$2:$F$2642,2,0))</f>
        <v/>
      </c>
      <c r="D49" s="451" t="str">
        <f>IF($B49="","",VLOOKUP($B49,'DS LOP HKI'!$B$2:$F$2642,3,0))</f>
        <v/>
      </c>
      <c r="E49" s="154"/>
      <c r="F49" s="152"/>
      <c r="G49" s="156"/>
      <c r="H49" s="181" t="str">
        <f>IF(OR($H$6="",$H$7=""),"",IF($B49="","",IF(ISNA(VLOOKUP($B49,'LT01'!$B$11:$R$75,13,FALSE)),"",IF(VLOOKUP($B49,'LT01'!$B$11:$R$75,13,FALSE)="","",VLOOKUP($B49,'LT01'!$B$11:$R$75,13,FALSE)))))</f>
        <v/>
      </c>
      <c r="I49" s="182" t="str">
        <f>IF(OR($H$6="",$H$7=""),"",IF($B49="","",IF(ISNA(VLOOKUP($B49,'LT01'!$B$11:$R$75,14,FALSE)),"",VLOOKUP($B49,'LT01'!$B$11:$R$75,14,FALSE))))</f>
        <v/>
      </c>
      <c r="J49" s="183"/>
      <c r="K49" s="182" t="str">
        <f>IF(OR($H$6="",$H$7=""),"",IF($B49="","",IF(ISNA(VLOOKUP($B49,'LT01'!$B$11:$R$75,17,FALSE)),"",VLOOKUP($B49,'LT01'!$B$11:$R$75,17,FALSE))))</f>
        <v/>
      </c>
      <c r="L49" s="185" t="str">
        <f>IF(OR($H$6="",$H$7=""),"",IF($B49="","",IF(ISNA(VLOOKUP($B49,'LT02'!$B$11:$R$75,13,FALSE)),"",IF(VLOOKUP($B49,'LT02'!$B$11:$R$75,13,FALSE)="","",VLOOKUP($B49,'LT02'!$B$11:$R$75,13,FALSE)))))</f>
        <v/>
      </c>
      <c r="M49" s="182" t="str">
        <f>IF(OR($H$6="",$H$7=""),"",IF($B49="","",IF(ISNA(VLOOKUP($B49,'LT02'!$B$11:$R$75,14,FALSE)),"",VLOOKUP($B49,'LT02'!$B$11:$R$75,14,FALSE))))</f>
        <v/>
      </c>
      <c r="N49" s="183"/>
      <c r="O49" s="182" t="str">
        <f>IF(OR($H$6="",$H$7=""),"",IF($B49="","",IF(ISNA(VLOOKUP($B49,'LT02'!$B$11:$R$75,17,FALSE)),"",VLOOKUP($B49,'LT02'!$B$11:$R$75,17,FALSE))))</f>
        <v/>
      </c>
      <c r="P49" s="185" t="str">
        <f>IF(OR($H$6="",$H$7=""),"",IF($B49="","",IF(ISNA(VLOOKUP($B49,'LT03'!$B$11:$R$75,13,FALSE)),"",IF(VLOOKUP($B49,'LT03'!$B$11:$R$75,13,FALSE)="","",VLOOKUP($B49,'LT03'!$B$11:$R$75,13,FALSE)))))</f>
        <v/>
      </c>
      <c r="Q49" s="182" t="str">
        <f>IF(OR($H$6="",$H$7=""),"",IF($B49="","",IF(ISNA(VLOOKUP($B49,'LT03'!$B$11:$R$75,14,FALSE)),"",VLOOKUP($B49,'LT03'!$B$11:$R$75,14,FALSE))))</f>
        <v/>
      </c>
      <c r="R49" s="183"/>
      <c r="S49" s="182" t="str">
        <f>IF(OR($H$6="",$H$7=""),"",IF($B49="","",IF(ISNA(VLOOKUP($B49,'LT03'!$B$11:$R$75,17,FALSE)),"",VLOOKUP($B49,'LT03'!$B$11:$R$75,17,FALSE))))</f>
        <v/>
      </c>
      <c r="T49" s="185" t="str">
        <f>IF(OR($H$6="",$H$7=""),"",IF($B49="","",IF(ISNA(VLOOKUP($B49,'LT04'!$B$11:$R$75,13,FALSE)),"",IF(VLOOKUP($B49,'LT04'!$B$11:$R$75,13,FALSE)="","",VLOOKUP($B49,'LT04'!$B$11:$R$75,13,FALSE)))))</f>
        <v/>
      </c>
      <c r="U49" s="182" t="str">
        <f>IF(OR($H$6="",$H$7=""),"",IF($B49="","",IF(ISNA(VLOOKUP($B49,'LT04'!$B$11:$R$75,14,FALSE)),"",VLOOKUP($B49,'LT04'!$B$11:$R$75,14,FALSE))))</f>
        <v/>
      </c>
      <c r="V49" s="183"/>
      <c r="W49" s="184" t="str">
        <f>IF(OR($H$6="",$H$7=""),"",IF($B49="","",IF(ISNA(VLOOKUP($B49,'LT04'!$B$11:$R$75,17,FALSE)),"",VLOOKUP($B49,'LT04'!$B$11:$R$75,17,FALSE))))</f>
        <v/>
      </c>
      <c r="X49" s="185" t="str">
        <f>IF(OR($H$6="",$H$7=""),"",IF($B49="","",IF(ISNA(VLOOKUP($B49,'LT05'!$B$11:$R$75,13,FALSE)),"",IF(VLOOKUP($B49,'LT05'!$B$11:$R$75,13,FALSE)="","",VLOOKUP($B49,'LT05'!$B$11:$R$75,13,FALSE)))))</f>
        <v/>
      </c>
      <c r="Y49" s="182" t="str">
        <f>IF(OR($H$6="",$H$7=""),"",IF($B49="","",IF(ISNA(VLOOKUP($B49,'LT05'!$B$11:$R$75,14,FALSE)),"",VLOOKUP($B49,'LT05'!$B$11:$R$75,14,FALSE))))</f>
        <v/>
      </c>
      <c r="Z49" s="183"/>
      <c r="AA49" s="182" t="str">
        <f>IF(OR($H$6="",$H$7=""),"",IF($B49="","",IF(ISNA(VLOOKUP($B49,'LT05'!$B$11:$R$75,17,FALSE)),"",VLOOKUP($B49,'LT05'!$B$11:$R$75,17,FALSE))))</f>
        <v/>
      </c>
      <c r="AB49" s="185" t="str">
        <f>IF(OR($H$6="",$H$7=""),"",IF($B49="","",IF(ISNA(VLOOKUP($B49,'LT06'!$B$11:$R$75,13,FALSE)),"",IF(VLOOKUP($B49,'LT06'!$B$11:$R$75,13,FALSE)="","",VLOOKUP($B49,'LT06'!$B$11:$R$75,13,FALSE)))))</f>
        <v/>
      </c>
      <c r="AC49" s="182" t="str">
        <f>IF(OR($H$6="",$H$7=""),"",IF($B49="","",IF(ISNA(VLOOKUP($B49,'LT06'!$B$11:$R$75,14,FALSE)),"",VLOOKUP($B49,'LT06'!$B$11:$R$75,14,FALSE))))</f>
        <v/>
      </c>
      <c r="AD49" s="183"/>
      <c r="AE49" s="182" t="str">
        <f>IF(OR($H$6="",$H$7=""),"",IF($B49="","",IF(ISNA(VLOOKUP($B49,'LT06'!$B$11:$R$75,17,FALSE)),"",VLOOKUP($B49,'LT06'!$B$11:$R$75,17,FALSE))))</f>
        <v/>
      </c>
      <c r="AF49" s="185" t="str">
        <f>IF(OR($H$6="",$H$7=""),"",IF($B49="","",IF(ISNA(VLOOKUP($B49,'LT07'!$B$11:$R$75,13,FALSE)),"",IF(VLOOKUP($B49,'LT07'!$B$11:$R$75,13,FALSE)="","",VLOOKUP($B49,'LT07'!$B$11:$R$75,13,FALSE)))))</f>
        <v/>
      </c>
      <c r="AG49" s="182" t="str">
        <f>IF(OR($H$6="",$H$7=""),"",IF($B49="","",IF(ISNA(VLOOKUP($B49,'LT07'!$B$11:$R$75,14,FALSE)),"",VLOOKUP($B49,'LT07'!$B$11:$R$75,14,FALSE))))</f>
        <v/>
      </c>
      <c r="AH49" s="183"/>
      <c r="AI49" s="182" t="str">
        <f>IF(OR($H$6="",$H$7=""),"",IF($B49="","",IF(ISNA(VLOOKUP($B49,'LT07'!$B$11:$R$75,17,FALSE)),"",VLOOKUP($B49,'LT07'!$B$11:$R$75,17,FALSE))))</f>
        <v/>
      </c>
      <c r="AJ49" s="185" t="str">
        <f>IF(OR($H$6="",$H$7=""),"",IF($B49="","",IF(ISNA(VLOOKUP($B49,'LT08'!$B$11:$R$75,13,FALSE)),"",IF(VLOOKUP($B49,'LT08'!$B$11:$R$75,13,FALSE)="","",VLOOKUP($B49,'LT08'!$B$11:$R$75,13,FALSE)))))</f>
        <v/>
      </c>
      <c r="AK49" s="182" t="str">
        <f>IF(OR($H$6="",$H$7=""),"",IF($B49="","",IF(ISNA(VLOOKUP($B49,'LT08'!$B$11:$R$75,14,FALSE)),"",VLOOKUP($B49,'LT08'!$B$11:$R$75,14,FALSE))))</f>
        <v/>
      </c>
      <c r="AL49" s="183"/>
      <c r="AM49" s="182" t="str">
        <f>IF(OR($H$6="",$H$7=""),"",IF($B49="","",IF(ISNA(VLOOKUP($B49,'LT08'!$B$11:$R$75,17,FALSE)),"",VLOOKUP($B49,'LT08'!$B$11:$R$75,17,FALSE))))</f>
        <v/>
      </c>
      <c r="AN49" s="185" t="str">
        <f>IF(OR($H$6="",$H$7=""),"",IF($B49="","",IF(ISNA(VLOOKUP($B49,'LT09'!$B$11:$R$75,13,FALSE)),"",IF(VLOOKUP($B49,'LT09'!$B$11:$R$75,13,FALSE)="","",VLOOKUP($B49,'LT09'!$B$11:$R$75,13,FALSE)))))</f>
        <v/>
      </c>
      <c r="AO49" s="182" t="str">
        <f>IF(OR($H$6="",$H$7=""),"",IF($B49="","",IF(ISNA(VLOOKUP($B49,'LT09'!$B$11:$R$75,14,FALSE)),"",VLOOKUP($B49,'LT09'!$B$11:$R$75,14,FALSE))))</f>
        <v/>
      </c>
      <c r="AP49" s="183"/>
      <c r="AQ49" s="182" t="str">
        <f>IF(OR($H$6="",$H$7=""),"",IF($B49="","",IF(ISNA(VLOOKUP($B49,'LT09'!$B$11:$R$75,17,FALSE)),"",VLOOKUP($B49,'LT09'!$B$11:$R$75,17,FALSE))))</f>
        <v/>
      </c>
      <c r="AR49" s="186"/>
      <c r="AS49" s="182" t="str">
        <f>IF(OR($H$6="",$H$7=""),"",IF($B49="","",IF(ISNA(VLOOKUP($B49,'TH01'!$B$11:$R$75,14,FALSE)),"",VLOOKUP($B49,'TH01'!$B$11:$R$75,14,FALSE))))</f>
        <v/>
      </c>
      <c r="AT49" s="183"/>
      <c r="AU49" s="187"/>
      <c r="AV49" s="186"/>
      <c r="AW49" s="182" t="str">
        <f>IF(OR($H$6="",$H$7=""),"",IF($B49="","",IF(ISNA(VLOOKUP($B49,'TH02'!$B$11:$R$75,14,FALSE)),"",VLOOKUP($B49,'TH02'!$B$11:$R$75,14,FALSE))))</f>
        <v/>
      </c>
      <c r="AX49" s="183"/>
      <c r="AY49" s="187"/>
      <c r="AZ49" s="54" t="str">
        <f t="shared" si="24"/>
        <v/>
      </c>
      <c r="BA49" s="54" t="str">
        <f t="shared" si="0"/>
        <v/>
      </c>
      <c r="BB49" s="70"/>
      <c r="BC49" s="52" t="str">
        <f t="shared" si="25"/>
        <v/>
      </c>
      <c r="BD49" s="52" t="str">
        <f t="shared" si="26"/>
        <v/>
      </c>
      <c r="BE49" s="52" t="str">
        <f t="shared" si="86"/>
        <v/>
      </c>
      <c r="BF49" s="149" t="str">
        <f t="shared" si="87"/>
        <v/>
      </c>
      <c r="BG49" s="52" t="str">
        <f t="shared" si="88"/>
        <v/>
      </c>
      <c r="BH49" s="52" t="str">
        <f t="shared" si="89"/>
        <v/>
      </c>
      <c r="BI49" s="52" t="str">
        <f t="shared" si="90"/>
        <v/>
      </c>
      <c r="BJ49" s="52" t="str">
        <f t="shared" si="91"/>
        <v/>
      </c>
      <c r="BK49" s="54" t="str">
        <f t="shared" si="92"/>
        <v/>
      </c>
      <c r="BL49" s="54" t="str">
        <f t="shared" si="93"/>
        <v/>
      </c>
      <c r="BM49" s="54" t="str">
        <f t="shared" si="94"/>
        <v/>
      </c>
      <c r="BN49" s="54" t="str">
        <f t="shared" si="95"/>
        <v/>
      </c>
      <c r="BO49" s="70"/>
      <c r="BP49" s="52" t="str">
        <f>IF(ISNA(VLOOKUP(B49,'TICH LUY'!B:D,2,0)),"",VLOOKUP(B49,'TICH LUY'!B:D,2,0)+BI49)</f>
        <v/>
      </c>
      <c r="BQ49" s="52" t="str">
        <f>IF(ISNA(VLOOKUP(B49,'TICH LUY'!B:D,3,0)),"",VLOOKUP(B49,'TICH LUY'!B:D,3,0)+BJ49)</f>
        <v/>
      </c>
      <c r="BR49" s="40" t="str">
        <f t="shared" si="96"/>
        <v/>
      </c>
      <c r="BS49" s="452" t="str">
        <f t="shared" si="97"/>
        <v/>
      </c>
      <c r="BT49" s="452" t="str">
        <f t="shared" si="98"/>
        <v/>
      </c>
      <c r="BU49" s="452" t="str">
        <f t="shared" si="99"/>
        <v/>
      </c>
      <c r="BV49" s="452" t="str">
        <f t="shared" si="100"/>
        <v/>
      </c>
      <c r="BW49" s="452" t="str">
        <f t="shared" si="101"/>
        <v/>
      </c>
      <c r="BX49" s="452" t="str">
        <f t="shared" si="102"/>
        <v/>
      </c>
      <c r="BY49" s="452" t="str">
        <f t="shared" si="103"/>
        <v/>
      </c>
      <c r="BZ49" s="452" t="str">
        <f t="shared" si="28"/>
        <v/>
      </c>
      <c r="CA49" s="452" t="str">
        <f t="shared" si="29"/>
        <v/>
      </c>
      <c r="CB49" s="452" t="str">
        <f t="shared" si="30"/>
        <v/>
      </c>
      <c r="CC49" s="452" t="str">
        <f t="shared" si="104"/>
        <v/>
      </c>
      <c r="CD49" s="40" t="str">
        <f t="shared" si="31"/>
        <v/>
      </c>
      <c r="CE49" s="453" t="str">
        <f t="shared" si="80"/>
        <v/>
      </c>
      <c r="CF49" s="452" t="str">
        <f t="shared" si="32"/>
        <v/>
      </c>
      <c r="CG49" s="452" t="str">
        <f t="shared" si="81"/>
        <v/>
      </c>
      <c r="CH49" s="452" t="str">
        <f t="shared" si="82"/>
        <v/>
      </c>
      <c r="CI49" s="452" t="str">
        <f t="shared" si="83"/>
        <v/>
      </c>
      <c r="CJ49" s="452" t="str">
        <f t="shared" si="84"/>
        <v/>
      </c>
      <c r="CK49" s="452" t="str">
        <f t="shared" si="85"/>
        <v/>
      </c>
      <c r="CL49" s="452" t="str">
        <f t="shared" si="33"/>
        <v/>
      </c>
      <c r="CM49" s="452" t="str">
        <f t="shared" si="34"/>
        <v/>
      </c>
      <c r="CN49" s="452" t="str">
        <f t="shared" si="35"/>
        <v/>
      </c>
      <c r="CO49" s="452" t="str">
        <f t="shared" si="105"/>
        <v/>
      </c>
      <c r="CP49" s="454" t="str">
        <f t="shared" si="36"/>
        <v/>
      </c>
      <c r="CQ49" s="527" t="str">
        <f>IF(OR(ISNA(VLOOKUP($B49,'TICH LUY'!$B$11:$BY$85,54,0)),$B49=""),"",VLOOKUP($B49,'TICH LUY'!$B$11:$BY$85,54,0))</f>
        <v/>
      </c>
      <c r="CR49" s="507" t="str">
        <f>IF(OR(ISNA(VLOOKUP($B49,'TICH LUY'!$B$11:$BY$85,55,0)),$B49=""),"",VLOOKUP($B49,'TICH LUY'!$B$11:$BY$85,55,0))</f>
        <v/>
      </c>
      <c r="CS49" s="507" t="str">
        <f>IF(OR(ISNA(VLOOKUP($B49,'TICH LUY'!$B$11:$BY$85,56,0)),$B49=""),"",VLOOKUP($B49,'TICH LUY'!$B$11:$BY$85,56,0))</f>
        <v/>
      </c>
      <c r="CT49" s="507" t="str">
        <f>IF(OR(ISNA(VLOOKUP($B49,'TICH LUY'!$B$11:$BY$85,57,0)),$B49=""),"",VLOOKUP($B49,'TICH LUY'!$B$11:$BY$85,57,0))</f>
        <v/>
      </c>
      <c r="CU49" s="507" t="str">
        <f>IF(OR(ISNA(VLOOKUP($B49,'TICH LUY'!$B$11:$BY$85,58,0)),$B49=""),"",VLOOKUP($B49,'TICH LUY'!$B$11:$BY$85,58,0))</f>
        <v/>
      </c>
      <c r="CV49" s="507" t="str">
        <f>IF(OR(ISNA(VLOOKUP($B49,'TICH LUY'!$B$11:$BY$85,59,0)),$B49=""),"",VLOOKUP($B49,'TICH LUY'!$B$11:$BY$85,59,0))</f>
        <v/>
      </c>
      <c r="CW49" s="507" t="str">
        <f>IF(OR(ISNA(VLOOKUP($B49,'TICH LUY'!$B$11:$BY$85,60,0)),$B49=""),"",VLOOKUP($B49,'TICH LUY'!$B$11:$BY$85,60,0))</f>
        <v/>
      </c>
      <c r="CX49" s="507" t="str">
        <f>IF(OR(ISNA(VLOOKUP($B49,'TICH LUY'!$B$11:$BY$85,61,0)),$B49=""),"",VLOOKUP($B49,'TICH LUY'!$B$11:$BY$85,61,0))</f>
        <v/>
      </c>
      <c r="CY49" s="507" t="str">
        <f>IF(OR(ISNA(VLOOKUP($B49,'TICH LUY'!$B$11:$BY$85,62,0)),$B49=""),"",VLOOKUP($B49,'TICH LUY'!$B$11:$BY$85,62,0))</f>
        <v/>
      </c>
      <c r="CZ49" s="507" t="str">
        <f>IF(OR(ISNA(VLOOKUP($B49,'TICH LUY'!$B$11:$BY$85,63,0)),$B49=""),"",VLOOKUP($B49,'TICH LUY'!$B$11:$BY$85,63,0))</f>
        <v/>
      </c>
      <c r="DA49" s="507" t="str">
        <f>IF(OR(ISNA(VLOOKUP($B49,'TICH LUY'!$B$11:$BY$85,64,0)),$B49=""),"",VLOOKUP($B49,'TICH LUY'!$B$11:$BY$85,64,0))</f>
        <v/>
      </c>
      <c r="DB49" s="507" t="str">
        <f>IF(OR(ISNA(VLOOKUP($B49,'TICH LUY'!$B$11:$BY$85,65,0)),$B49=""),"",VLOOKUP($B49,'TICH LUY'!$B$11:$BY$85,65,0))</f>
        <v/>
      </c>
      <c r="DC49" s="507" t="str">
        <f>IF(OR(ISNA(VLOOKUP($B49,'TICH LUY'!$B$11:$BY$85,66,0)),$B49=""),"",VLOOKUP($B49,'TICH LUY'!$B$11:$BY$85,66,0))</f>
        <v/>
      </c>
      <c r="DD49" s="507" t="str">
        <f>IF(OR(ISNA(VLOOKUP($B49,'TICH LUY'!$B$11:$BY$85,67,0)),$B49=""),"",VLOOKUP($B49,'TICH LUY'!$B$11:$BY$85,67,0))</f>
        <v/>
      </c>
      <c r="DE49" s="507" t="str">
        <f>IF(OR(ISNA(VLOOKUP($B49,'TICH LUY'!$B$11:$BY$85,68,0)),$B49=""),"",VLOOKUP($B49,'TICH LUY'!$B$11:$BY$85,68,0))</f>
        <v/>
      </c>
      <c r="DF49" s="507" t="str">
        <f>IF(OR(ISNA(VLOOKUP($B49,'TICH LUY'!$B$11:$BY$85,69,0)),$B49=""),"",VLOOKUP($B49,'TICH LUY'!$B$11:$BY$85,69,0))</f>
        <v/>
      </c>
      <c r="DG49" s="507" t="str">
        <f>IF(OR(ISNA(VLOOKUP($B49,'TICH LUY'!$B$11:$BY$85,70,0)),$B49=""),"",VLOOKUP($B49,'TICH LUY'!$B$11:$BY$85,70,0))</f>
        <v/>
      </c>
      <c r="DH49" s="507" t="str">
        <f>IF(OR(ISNA(VLOOKUP($B49,'TICH LUY'!$B$11:$BY$85,71,0)),$B49=""),"",VLOOKUP($B49,'TICH LUY'!$B$11:$BY$85,71,0))</f>
        <v/>
      </c>
      <c r="DI49" s="507" t="str">
        <f>IF(OR(ISNA(VLOOKUP($B49,'TICH LUY'!$B$11:$BY$85,72,0)),$B49=""),"",VLOOKUP($B49,'TICH LUY'!$B$11:$BY$85,72,0))</f>
        <v/>
      </c>
      <c r="DJ49" s="507" t="str">
        <f>IF(OR(ISNA(VLOOKUP($B49,'TICH LUY'!$B$11:$BY$85,73,0)),$B49=""),"",VLOOKUP($B49,'TICH LUY'!$B$11:$BY$85,73,0))</f>
        <v/>
      </c>
      <c r="DK49" s="507" t="str">
        <f>IF(OR(ISNA(VLOOKUP($B49,'TICH LUY'!$B$11:$BY$85,74,0)),$B49=""),"",VLOOKUP($B49,'TICH LUY'!$B$11:$BY$85,74,0))</f>
        <v/>
      </c>
      <c r="DL49" s="507" t="str">
        <f>IF(OR(ISNA(VLOOKUP($B49,'TICH LUY'!$B$11:$BY$85,75,0)),$B49=""),"",VLOOKUP($B49,'TICH LUY'!$B$11:$BY$85,75,0))</f>
        <v/>
      </c>
      <c r="DM49" s="529" t="str">
        <f>IF(OR(ISNA(VLOOKUP($B49,'TICH LUY'!$B$11:$BY$85,76,0)),$B49=""),"",VLOOKUP($B49,'TICH LUY'!$B$11:$BY$85,76,0))</f>
        <v/>
      </c>
      <c r="DN49" s="455" t="str">
        <f t="shared" si="37"/>
        <v/>
      </c>
      <c r="DO49" s="456" t="str">
        <f t="shared" si="38"/>
        <v/>
      </c>
      <c r="DP49" s="456" t="str">
        <f t="shared" si="39"/>
        <v/>
      </c>
      <c r="DQ49" s="456" t="str">
        <f t="shared" si="40"/>
        <v/>
      </c>
      <c r="DR49" s="456" t="str">
        <f t="shared" si="41"/>
        <v/>
      </c>
      <c r="DS49" s="456" t="str">
        <f t="shared" si="42"/>
        <v/>
      </c>
      <c r="DT49" s="456" t="str">
        <f t="shared" si="43"/>
        <v/>
      </c>
      <c r="DU49" s="456" t="str">
        <f t="shared" si="44"/>
        <v/>
      </c>
      <c r="DV49" s="456" t="str">
        <f t="shared" si="45"/>
        <v/>
      </c>
      <c r="DW49" s="456" t="str">
        <f t="shared" si="46"/>
        <v/>
      </c>
      <c r="DX49" s="456" t="str">
        <f t="shared" si="47"/>
        <v/>
      </c>
      <c r="DY49" s="457" t="str">
        <f t="shared" si="48"/>
        <v/>
      </c>
      <c r="DZ49" s="453" t="str">
        <f t="shared" si="49"/>
        <v/>
      </c>
      <c r="EA49" s="452" t="str">
        <f t="shared" si="50"/>
        <v/>
      </c>
      <c r="EB49" s="452" t="str">
        <f t="shared" si="51"/>
        <v/>
      </c>
      <c r="EC49" s="452" t="str">
        <f t="shared" si="52"/>
        <v/>
      </c>
      <c r="ED49" s="452" t="str">
        <f t="shared" si="53"/>
        <v/>
      </c>
      <c r="EE49" s="452" t="str">
        <f t="shared" si="54"/>
        <v/>
      </c>
      <c r="EF49" s="452" t="str">
        <f t="shared" si="55"/>
        <v/>
      </c>
      <c r="EG49" s="452" t="str">
        <f t="shared" si="56"/>
        <v/>
      </c>
      <c r="EH49" s="452" t="str">
        <f t="shared" si="57"/>
        <v/>
      </c>
      <c r="EI49" s="453" t="str">
        <f t="shared" si="58"/>
        <v/>
      </c>
      <c r="EJ49" s="452" t="str">
        <f t="shared" si="59"/>
        <v/>
      </c>
      <c r="EK49" s="452" t="str">
        <f t="shared" si="60"/>
        <v/>
      </c>
      <c r="EL49" s="452" t="str">
        <f t="shared" si="61"/>
        <v/>
      </c>
      <c r="EM49" s="452" t="str">
        <f t="shared" si="62"/>
        <v/>
      </c>
      <c r="EN49" s="452" t="str">
        <f t="shared" si="63"/>
        <v/>
      </c>
      <c r="EO49" s="452" t="str">
        <f t="shared" si="64"/>
        <v/>
      </c>
      <c r="EP49" s="452" t="str">
        <f t="shared" si="65"/>
        <v/>
      </c>
      <c r="EQ49" s="452" t="str">
        <f t="shared" si="66"/>
        <v/>
      </c>
      <c r="ER49" s="452" t="str">
        <f t="shared" si="67"/>
        <v/>
      </c>
      <c r="ES49" s="452" t="str">
        <f t="shared" si="106"/>
        <v/>
      </c>
      <c r="ET49" s="458" t="str">
        <f t="shared" si="68"/>
        <v/>
      </c>
      <c r="EU49" s="527" t="str">
        <f>IF(OR(ISNA(VLOOKUP($B49,'TICH LUY'!$B$11:$BY$85,54,0)),$B49=""),"",VLOOKUP($B49,'TICH LUY'!$B$11:$BY$85,54,0))</f>
        <v/>
      </c>
      <c r="EV49" s="507" t="str">
        <f>IF(OR(ISNA(VLOOKUP($B49,'TICH LUY'!$B$11:$BY$85,55,0)),$B49=""),"",VLOOKUP($B49,'TICH LUY'!$B$11:$BY$85,55,0))</f>
        <v/>
      </c>
      <c r="EW49" s="507" t="str">
        <f>IF(OR(ISNA(VLOOKUP($B49,'TICH LUY'!$B$11:$BY$85,56,0)),$B49=""),"",VLOOKUP($B49,'TICH LUY'!$B$11:$BY$85,56,0))</f>
        <v/>
      </c>
      <c r="EX49" s="507" t="str">
        <f>IF(OR(ISNA(VLOOKUP($B49,'TICH LUY'!$B$11:$BY$85,57,0)),$B49=""),"",VLOOKUP($B49,'TICH LUY'!$B$11:$BY$85,57,0))</f>
        <v/>
      </c>
      <c r="EY49" s="507" t="str">
        <f>IF(OR(ISNA(VLOOKUP($B49,'TICH LUY'!$B$11:$BY$85,58,0)),$B49=""),"",VLOOKUP($B49,'TICH LUY'!$B$11:$BY$85,58,0))</f>
        <v/>
      </c>
      <c r="EZ49" s="507" t="str">
        <f>IF(OR(ISNA(VLOOKUP($B49,'TICH LUY'!$B$11:$BY$85,59,0)),$B49=""),"",VLOOKUP($B49,'TICH LUY'!$B$11:$BY$85,59,0))</f>
        <v/>
      </c>
      <c r="FA49" s="507" t="str">
        <f>IF(OR(ISNA(VLOOKUP($B49,'TICH LUY'!$B$11:$BY$85,60,0)),$B49=""),"",VLOOKUP($B49,'TICH LUY'!$B$11:$BY$85,60,0))</f>
        <v/>
      </c>
      <c r="FB49" s="507" t="str">
        <f>IF(OR(ISNA(VLOOKUP($B49,'TICH LUY'!$B$11:$BY$85,61,0)),$B49=""),"",VLOOKUP($B49,'TICH LUY'!$B$11:$BY$85,61,0))</f>
        <v/>
      </c>
      <c r="FC49" s="507" t="str">
        <f>IF(OR(ISNA(VLOOKUP($B49,'TICH LUY'!$B$11:$BY$85,62,0)),$B49=""),"",VLOOKUP($B49,'TICH LUY'!$B$11:$BY$85,62,0))</f>
        <v/>
      </c>
      <c r="FD49" s="507" t="str">
        <f>IF(OR(ISNA(VLOOKUP($B49,'TICH LUY'!$B$11:$BY$85,63,0)),$B49=""),"",VLOOKUP($B49,'TICH LUY'!$B$11:$BY$85,63,0))</f>
        <v/>
      </c>
      <c r="FE49" s="507" t="str">
        <f>IF(OR(ISNA(VLOOKUP($B49,'TICH LUY'!$B$11:$BY$85,64,0)),$B49=""),"",VLOOKUP($B49,'TICH LUY'!$B$11:$BY$85,64,0))</f>
        <v/>
      </c>
      <c r="FF49" s="507" t="str">
        <f>IF(OR(ISNA(VLOOKUP($B49,'TICH LUY'!$B$11:$BY$85,65,0)),$B49=""),"",VLOOKUP($B49,'TICH LUY'!$B$11:$BY$85,65,0))</f>
        <v/>
      </c>
      <c r="FG49" s="507" t="str">
        <f>IF(OR(ISNA(VLOOKUP($B49,'TICH LUY'!$B$11:$BY$85,66,0)),$B49=""),"",VLOOKUP($B49,'TICH LUY'!$B$11:$BY$85,66,0))</f>
        <v/>
      </c>
      <c r="FH49" s="507" t="str">
        <f>IF(OR(ISNA(VLOOKUP($B49,'TICH LUY'!$B$11:$BY$85,67,0)),$B49=""),"",VLOOKUP($B49,'TICH LUY'!$B$11:$BY$85,67,0))</f>
        <v/>
      </c>
      <c r="FI49" s="507" t="str">
        <f>IF(OR(ISNA(VLOOKUP($B49,'TICH LUY'!$B$11:$BY$85,68,0)),$B49=""),"",VLOOKUP($B49,'TICH LUY'!$B$11:$BY$85,68,0))</f>
        <v/>
      </c>
      <c r="FJ49" s="507" t="str">
        <f>IF(OR(ISNA(VLOOKUP($B49,'TICH LUY'!$B$11:$BY$85,69,0)),$B49=""),"",VLOOKUP($B49,'TICH LUY'!$B$11:$BY$85,69,0))</f>
        <v/>
      </c>
      <c r="FK49" s="507" t="str">
        <f>IF(OR(ISNA(VLOOKUP($B49,'TICH LUY'!$B$11:$BY$85,70,0)),$B49=""),"",VLOOKUP($B49,'TICH LUY'!$B$11:$BY$85,70,0))</f>
        <v/>
      </c>
      <c r="FL49" s="507" t="str">
        <f>IF(OR(ISNA(VLOOKUP($B49,'TICH LUY'!$B$11:$BY$85,71,0)),$B49=""),"",VLOOKUP($B49,'TICH LUY'!$B$11:$BY$85,71,0))</f>
        <v/>
      </c>
      <c r="FM49" s="507" t="str">
        <f>IF(OR(ISNA(VLOOKUP($B49,'TICH LUY'!$B$11:$BY$85,72,0)),$B49=""),"",VLOOKUP($B49,'TICH LUY'!$B$11:$BY$85,72,0))</f>
        <v/>
      </c>
      <c r="FN49" s="507" t="str">
        <f>IF(OR(ISNA(VLOOKUP($B49,'TICH LUY'!$B$11:$BY$85,73,0)),$B49=""),"",VLOOKUP($B49,'TICH LUY'!$B$11:$BY$85,73,0))</f>
        <v/>
      </c>
      <c r="FO49" s="507" t="str">
        <f>IF(OR(ISNA(VLOOKUP($B49,'TICH LUY'!$B$11:$BY$85,74,0)),$B49=""),"",VLOOKUP($B49,'TICH LUY'!$B$11:$BY$85,74,0))</f>
        <v/>
      </c>
      <c r="FP49" s="507" t="str">
        <f>IF(OR(ISNA(VLOOKUP($B49,'TICH LUY'!$B$11:$BY$85,75,0)),$B49=""),"",VLOOKUP($B49,'TICH LUY'!$B$11:$BY$85,75,0))</f>
        <v/>
      </c>
      <c r="FQ49" s="529" t="str">
        <f>IF(OR(ISNA(VLOOKUP($B49,'TICH LUY'!$B$11:$BY$85,76,0)),$B49=""),"",VLOOKUP($B49,'TICH LUY'!$B$11:$BY$85,76,0))</f>
        <v/>
      </c>
      <c r="FR49" s="455" t="str">
        <f t="shared" si="69"/>
        <v/>
      </c>
      <c r="FS49" s="456" t="str">
        <f t="shared" si="70"/>
        <v/>
      </c>
      <c r="FT49" s="456" t="str">
        <f t="shared" si="71"/>
        <v/>
      </c>
      <c r="FU49" s="456" t="str">
        <f t="shared" si="72"/>
        <v/>
      </c>
      <c r="FV49" s="456" t="str">
        <f t="shared" si="73"/>
        <v/>
      </c>
      <c r="FW49" s="456" t="str">
        <f t="shared" si="74"/>
        <v/>
      </c>
      <c r="FX49" s="456" t="str">
        <f t="shared" si="75"/>
        <v/>
      </c>
      <c r="FY49" s="456" t="str">
        <f t="shared" si="76"/>
        <v/>
      </c>
      <c r="FZ49" s="456" t="str">
        <f t="shared" si="77"/>
        <v/>
      </c>
      <c r="GA49" s="456" t="str">
        <f t="shared" si="78"/>
        <v/>
      </c>
      <c r="GB49" s="459" t="str">
        <f t="shared" si="79"/>
        <v/>
      </c>
      <c r="GC49" s="457" t="str">
        <f t="shared" si="107"/>
        <v/>
      </c>
    </row>
    <row r="50" spans="1:185" s="221" customFormat="1" ht="15.75">
      <c r="A50" s="449" t="str">
        <f>IF(B50="","",SUBTOTAL(3,$B$11:B50))</f>
        <v/>
      </c>
      <c r="B50" s="198"/>
      <c r="C50" s="450" t="str">
        <f>IF($B50="","",VLOOKUP($B50,'DS LOP HKI'!$B$2:$F$2642,2,0))</f>
        <v/>
      </c>
      <c r="D50" s="451" t="str">
        <f>IF($B50="","",VLOOKUP($B50,'DS LOP HKI'!$B$2:$F$2642,3,0))</f>
        <v/>
      </c>
      <c r="E50" s="154"/>
      <c r="F50" s="152"/>
      <c r="G50" s="156"/>
      <c r="H50" s="181" t="str">
        <f>IF(OR($H$6="",$H$7=""),"",IF($B50="","",IF(ISNA(VLOOKUP($B50,'LT01'!$B$11:$R$75,13,FALSE)),"",IF(VLOOKUP($B50,'LT01'!$B$11:$R$75,13,FALSE)="","",VLOOKUP($B50,'LT01'!$B$11:$R$75,13,FALSE)))))</f>
        <v/>
      </c>
      <c r="I50" s="182" t="str">
        <f>IF(OR($H$6="",$H$7=""),"",IF($B50="","",IF(ISNA(VLOOKUP($B50,'LT01'!$B$11:$R$75,14,FALSE)),"",VLOOKUP($B50,'LT01'!$B$11:$R$75,14,FALSE))))</f>
        <v/>
      </c>
      <c r="J50" s="183"/>
      <c r="K50" s="182" t="str">
        <f>IF(OR($H$6="",$H$7=""),"",IF($B50="","",IF(ISNA(VLOOKUP($B50,'LT01'!$B$11:$R$75,17,FALSE)),"",VLOOKUP($B50,'LT01'!$B$11:$R$75,17,FALSE))))</f>
        <v/>
      </c>
      <c r="L50" s="185" t="str">
        <f>IF(OR($H$6="",$H$7=""),"",IF($B50="","",IF(ISNA(VLOOKUP($B50,'LT02'!$B$11:$R$75,13,FALSE)),"",IF(VLOOKUP($B50,'LT02'!$B$11:$R$75,13,FALSE)="","",VLOOKUP($B50,'LT02'!$B$11:$R$75,13,FALSE)))))</f>
        <v/>
      </c>
      <c r="M50" s="182" t="str">
        <f>IF(OR($H$6="",$H$7=""),"",IF($B50="","",IF(ISNA(VLOOKUP($B50,'LT02'!$B$11:$R$75,14,FALSE)),"",VLOOKUP($B50,'LT02'!$B$11:$R$75,14,FALSE))))</f>
        <v/>
      </c>
      <c r="N50" s="183"/>
      <c r="O50" s="182" t="str">
        <f>IF(OR($H$6="",$H$7=""),"",IF($B50="","",IF(ISNA(VLOOKUP($B50,'LT02'!$B$11:$R$75,17,FALSE)),"",VLOOKUP($B50,'LT02'!$B$11:$R$75,17,FALSE))))</f>
        <v/>
      </c>
      <c r="P50" s="185" t="str">
        <f>IF(OR($H$6="",$H$7=""),"",IF($B50="","",IF(ISNA(VLOOKUP($B50,'LT03'!$B$11:$R$75,13,FALSE)),"",IF(VLOOKUP($B50,'LT03'!$B$11:$R$75,13,FALSE)="","",VLOOKUP($B50,'LT03'!$B$11:$R$75,13,FALSE)))))</f>
        <v/>
      </c>
      <c r="Q50" s="182" t="str">
        <f>IF(OR($H$6="",$H$7=""),"",IF($B50="","",IF(ISNA(VLOOKUP($B50,'LT03'!$B$11:$R$75,14,FALSE)),"",VLOOKUP($B50,'LT03'!$B$11:$R$75,14,FALSE))))</f>
        <v/>
      </c>
      <c r="R50" s="183"/>
      <c r="S50" s="182" t="str">
        <f>IF(OR($H$6="",$H$7=""),"",IF($B50="","",IF(ISNA(VLOOKUP($B50,'LT03'!$B$11:$R$75,17,FALSE)),"",VLOOKUP($B50,'LT03'!$B$11:$R$75,17,FALSE))))</f>
        <v/>
      </c>
      <c r="T50" s="185" t="str">
        <f>IF(OR($H$6="",$H$7=""),"",IF($B50="","",IF(ISNA(VLOOKUP($B50,'LT04'!$B$11:$R$75,13,FALSE)),"",IF(VLOOKUP($B50,'LT04'!$B$11:$R$75,13,FALSE)="","",VLOOKUP($B50,'LT04'!$B$11:$R$75,13,FALSE)))))</f>
        <v/>
      </c>
      <c r="U50" s="182" t="str">
        <f>IF(OR($H$6="",$H$7=""),"",IF($B50="","",IF(ISNA(VLOOKUP($B50,'LT04'!$B$11:$R$75,14,FALSE)),"",VLOOKUP($B50,'LT04'!$B$11:$R$75,14,FALSE))))</f>
        <v/>
      </c>
      <c r="V50" s="183"/>
      <c r="W50" s="184" t="str">
        <f>IF(OR($H$6="",$H$7=""),"",IF($B50="","",IF(ISNA(VLOOKUP($B50,'LT04'!$B$11:$R$75,17,FALSE)),"",VLOOKUP($B50,'LT04'!$B$11:$R$75,17,FALSE))))</f>
        <v/>
      </c>
      <c r="X50" s="185" t="str">
        <f>IF(OR($H$6="",$H$7=""),"",IF($B50="","",IF(ISNA(VLOOKUP($B50,'LT05'!$B$11:$R$75,13,FALSE)),"",IF(VLOOKUP($B50,'LT05'!$B$11:$R$75,13,FALSE)="","",VLOOKUP($B50,'LT05'!$B$11:$R$75,13,FALSE)))))</f>
        <v/>
      </c>
      <c r="Y50" s="182" t="str">
        <f>IF(OR($H$6="",$H$7=""),"",IF($B50="","",IF(ISNA(VLOOKUP($B50,'LT05'!$B$11:$R$75,14,FALSE)),"",VLOOKUP($B50,'LT05'!$B$11:$R$75,14,FALSE))))</f>
        <v/>
      </c>
      <c r="Z50" s="183"/>
      <c r="AA50" s="182" t="str">
        <f>IF(OR($H$6="",$H$7=""),"",IF($B50="","",IF(ISNA(VLOOKUP($B50,'LT05'!$B$11:$R$75,17,FALSE)),"",VLOOKUP($B50,'LT05'!$B$11:$R$75,17,FALSE))))</f>
        <v/>
      </c>
      <c r="AB50" s="185" t="str">
        <f>IF(OR($H$6="",$H$7=""),"",IF($B50="","",IF(ISNA(VLOOKUP($B50,'LT06'!$B$11:$R$75,13,FALSE)),"",IF(VLOOKUP($B50,'LT06'!$B$11:$R$75,13,FALSE)="","",VLOOKUP($B50,'LT06'!$B$11:$R$75,13,FALSE)))))</f>
        <v/>
      </c>
      <c r="AC50" s="182" t="str">
        <f>IF(OR($H$6="",$H$7=""),"",IF($B50="","",IF(ISNA(VLOOKUP($B50,'LT06'!$B$11:$R$75,14,FALSE)),"",VLOOKUP($B50,'LT06'!$B$11:$R$75,14,FALSE))))</f>
        <v/>
      </c>
      <c r="AD50" s="183"/>
      <c r="AE50" s="182" t="str">
        <f>IF(OR($H$6="",$H$7=""),"",IF($B50="","",IF(ISNA(VLOOKUP($B50,'LT06'!$B$11:$R$75,17,FALSE)),"",VLOOKUP($B50,'LT06'!$B$11:$R$75,17,FALSE))))</f>
        <v/>
      </c>
      <c r="AF50" s="185" t="str">
        <f>IF(OR($H$6="",$H$7=""),"",IF($B50="","",IF(ISNA(VLOOKUP($B50,'LT07'!$B$11:$R$75,13,FALSE)),"",IF(VLOOKUP($B50,'LT07'!$B$11:$R$75,13,FALSE)="","",VLOOKUP($B50,'LT07'!$B$11:$R$75,13,FALSE)))))</f>
        <v/>
      </c>
      <c r="AG50" s="182" t="str">
        <f>IF(OR($H$6="",$H$7=""),"",IF($B50="","",IF(ISNA(VLOOKUP($B50,'LT07'!$B$11:$R$75,14,FALSE)),"",VLOOKUP($B50,'LT07'!$B$11:$R$75,14,FALSE))))</f>
        <v/>
      </c>
      <c r="AH50" s="183"/>
      <c r="AI50" s="182" t="str">
        <f>IF(OR($H$6="",$H$7=""),"",IF($B50="","",IF(ISNA(VLOOKUP($B50,'LT07'!$B$11:$R$75,17,FALSE)),"",VLOOKUP($B50,'LT07'!$B$11:$R$75,17,FALSE))))</f>
        <v/>
      </c>
      <c r="AJ50" s="185" t="str">
        <f>IF(OR($H$6="",$H$7=""),"",IF($B50="","",IF(ISNA(VLOOKUP($B50,'LT08'!$B$11:$R$75,13,FALSE)),"",IF(VLOOKUP($B50,'LT08'!$B$11:$R$75,13,FALSE)="","",VLOOKUP($B50,'LT08'!$B$11:$R$75,13,FALSE)))))</f>
        <v/>
      </c>
      <c r="AK50" s="182" t="str">
        <f>IF(OR($H$6="",$H$7=""),"",IF($B50="","",IF(ISNA(VLOOKUP($B50,'LT08'!$B$11:$R$75,14,FALSE)),"",VLOOKUP($B50,'LT08'!$B$11:$R$75,14,FALSE))))</f>
        <v/>
      </c>
      <c r="AL50" s="183"/>
      <c r="AM50" s="182" t="str">
        <f>IF(OR($H$6="",$H$7=""),"",IF($B50="","",IF(ISNA(VLOOKUP($B50,'LT08'!$B$11:$R$75,17,FALSE)),"",VLOOKUP($B50,'LT08'!$B$11:$R$75,17,FALSE))))</f>
        <v/>
      </c>
      <c r="AN50" s="185" t="str">
        <f>IF(OR($H$6="",$H$7=""),"",IF($B50="","",IF(ISNA(VLOOKUP($B50,'LT09'!$B$11:$R$75,13,FALSE)),"",IF(VLOOKUP($B50,'LT09'!$B$11:$R$75,13,FALSE)="","",VLOOKUP($B50,'LT09'!$B$11:$R$75,13,FALSE)))))</f>
        <v/>
      </c>
      <c r="AO50" s="182" t="str">
        <f>IF(OR($H$6="",$H$7=""),"",IF($B50="","",IF(ISNA(VLOOKUP($B50,'LT09'!$B$11:$R$75,14,FALSE)),"",VLOOKUP($B50,'LT09'!$B$11:$R$75,14,FALSE))))</f>
        <v/>
      </c>
      <c r="AP50" s="183"/>
      <c r="AQ50" s="182" t="str">
        <f>IF(OR($H$6="",$H$7=""),"",IF($B50="","",IF(ISNA(VLOOKUP($B50,'LT09'!$B$11:$R$75,17,FALSE)),"",VLOOKUP($B50,'LT09'!$B$11:$R$75,17,FALSE))))</f>
        <v/>
      </c>
      <c r="AR50" s="186"/>
      <c r="AS50" s="182" t="str">
        <f>IF(OR($H$6="",$H$7=""),"",IF($B50="","",IF(ISNA(VLOOKUP($B50,'TH01'!$B$11:$R$75,14,FALSE)),"",VLOOKUP($B50,'TH01'!$B$11:$R$75,14,FALSE))))</f>
        <v/>
      </c>
      <c r="AT50" s="183"/>
      <c r="AU50" s="187"/>
      <c r="AV50" s="186"/>
      <c r="AW50" s="182" t="str">
        <f>IF(OR($H$6="",$H$7=""),"",IF($B50="","",IF(ISNA(VLOOKUP($B50,'TH02'!$B$11:$R$75,14,FALSE)),"",VLOOKUP($B50,'TH02'!$B$11:$R$75,14,FALSE))))</f>
        <v/>
      </c>
      <c r="AX50" s="183"/>
      <c r="AY50" s="187"/>
      <c r="AZ50" s="54" t="str">
        <f t="shared" si="24"/>
        <v/>
      </c>
      <c r="BA50" s="54" t="str">
        <f t="shared" si="0"/>
        <v/>
      </c>
      <c r="BB50" s="70"/>
      <c r="BC50" s="52" t="str">
        <f t="shared" si="25"/>
        <v/>
      </c>
      <c r="BD50" s="52" t="str">
        <f t="shared" si="26"/>
        <v/>
      </c>
      <c r="BE50" s="52" t="str">
        <f t="shared" si="86"/>
        <v/>
      </c>
      <c r="BF50" s="149" t="str">
        <f t="shared" si="87"/>
        <v/>
      </c>
      <c r="BG50" s="52" t="str">
        <f t="shared" si="88"/>
        <v/>
      </c>
      <c r="BH50" s="52" t="str">
        <f t="shared" si="89"/>
        <v/>
      </c>
      <c r="BI50" s="52" t="str">
        <f t="shared" si="90"/>
        <v/>
      </c>
      <c r="BJ50" s="52" t="str">
        <f t="shared" si="91"/>
        <v/>
      </c>
      <c r="BK50" s="54" t="str">
        <f t="shared" si="92"/>
        <v/>
      </c>
      <c r="BL50" s="54" t="str">
        <f t="shared" si="93"/>
        <v/>
      </c>
      <c r="BM50" s="54" t="str">
        <f t="shared" si="94"/>
        <v/>
      </c>
      <c r="BN50" s="54" t="str">
        <f t="shared" si="95"/>
        <v/>
      </c>
      <c r="BO50" s="70"/>
      <c r="BP50" s="52" t="str">
        <f>IF(ISNA(VLOOKUP(B50,'TICH LUY'!B:D,2,0)),"",VLOOKUP(B50,'TICH LUY'!B:D,2,0)+BI50)</f>
        <v/>
      </c>
      <c r="BQ50" s="52" t="str">
        <f>IF(ISNA(VLOOKUP(B50,'TICH LUY'!B:D,3,0)),"",VLOOKUP(B50,'TICH LUY'!B:D,3,0)+BJ50)</f>
        <v/>
      </c>
      <c r="BR50" s="40" t="str">
        <f t="shared" si="96"/>
        <v/>
      </c>
      <c r="BS50" s="452" t="str">
        <f t="shared" si="97"/>
        <v/>
      </c>
      <c r="BT50" s="452" t="str">
        <f t="shared" si="98"/>
        <v/>
      </c>
      <c r="BU50" s="452" t="str">
        <f t="shared" si="99"/>
        <v/>
      </c>
      <c r="BV50" s="452" t="str">
        <f t="shared" si="100"/>
        <v/>
      </c>
      <c r="BW50" s="452" t="str">
        <f t="shared" si="101"/>
        <v/>
      </c>
      <c r="BX50" s="452" t="str">
        <f t="shared" si="102"/>
        <v/>
      </c>
      <c r="BY50" s="452" t="str">
        <f t="shared" si="103"/>
        <v/>
      </c>
      <c r="BZ50" s="452" t="str">
        <f t="shared" si="28"/>
        <v/>
      </c>
      <c r="CA50" s="452" t="str">
        <f t="shared" si="29"/>
        <v/>
      </c>
      <c r="CB50" s="452" t="str">
        <f t="shared" si="30"/>
        <v/>
      </c>
      <c r="CC50" s="452" t="str">
        <f t="shared" si="104"/>
        <v/>
      </c>
      <c r="CD50" s="40" t="str">
        <f t="shared" si="31"/>
        <v/>
      </c>
      <c r="CE50" s="453" t="str">
        <f t="shared" si="80"/>
        <v/>
      </c>
      <c r="CF50" s="452" t="str">
        <f t="shared" si="32"/>
        <v/>
      </c>
      <c r="CG50" s="452" t="str">
        <f t="shared" si="81"/>
        <v/>
      </c>
      <c r="CH50" s="452" t="str">
        <f t="shared" si="82"/>
        <v/>
      </c>
      <c r="CI50" s="452" t="str">
        <f t="shared" si="83"/>
        <v/>
      </c>
      <c r="CJ50" s="452" t="str">
        <f t="shared" si="84"/>
        <v/>
      </c>
      <c r="CK50" s="452" t="str">
        <f t="shared" si="85"/>
        <v/>
      </c>
      <c r="CL50" s="452" t="str">
        <f t="shared" si="33"/>
        <v/>
      </c>
      <c r="CM50" s="452" t="str">
        <f t="shared" si="34"/>
        <v/>
      </c>
      <c r="CN50" s="452" t="str">
        <f t="shared" si="35"/>
        <v/>
      </c>
      <c r="CO50" s="452" t="str">
        <f t="shared" si="105"/>
        <v/>
      </c>
      <c r="CP50" s="454" t="str">
        <f t="shared" si="36"/>
        <v/>
      </c>
      <c r="CQ50" s="527" t="str">
        <f>IF(OR(ISNA(VLOOKUP($B50,'TICH LUY'!$B$11:$BY$85,54,0)),$B50=""),"",VLOOKUP($B50,'TICH LUY'!$B$11:$BY$85,54,0))</f>
        <v/>
      </c>
      <c r="CR50" s="507" t="str">
        <f>IF(OR(ISNA(VLOOKUP($B50,'TICH LUY'!$B$11:$BY$85,55,0)),$B50=""),"",VLOOKUP($B50,'TICH LUY'!$B$11:$BY$85,55,0))</f>
        <v/>
      </c>
      <c r="CS50" s="507" t="str">
        <f>IF(OR(ISNA(VLOOKUP($B50,'TICH LUY'!$B$11:$BY$85,56,0)),$B50=""),"",VLOOKUP($B50,'TICH LUY'!$B$11:$BY$85,56,0))</f>
        <v/>
      </c>
      <c r="CT50" s="507" t="str">
        <f>IF(OR(ISNA(VLOOKUP($B50,'TICH LUY'!$B$11:$BY$85,57,0)),$B50=""),"",VLOOKUP($B50,'TICH LUY'!$B$11:$BY$85,57,0))</f>
        <v/>
      </c>
      <c r="CU50" s="507" t="str">
        <f>IF(OR(ISNA(VLOOKUP($B50,'TICH LUY'!$B$11:$BY$85,58,0)),$B50=""),"",VLOOKUP($B50,'TICH LUY'!$B$11:$BY$85,58,0))</f>
        <v/>
      </c>
      <c r="CV50" s="507" t="str">
        <f>IF(OR(ISNA(VLOOKUP($B50,'TICH LUY'!$B$11:$BY$85,59,0)),$B50=""),"",VLOOKUP($B50,'TICH LUY'!$B$11:$BY$85,59,0))</f>
        <v/>
      </c>
      <c r="CW50" s="507" t="str">
        <f>IF(OR(ISNA(VLOOKUP($B50,'TICH LUY'!$B$11:$BY$85,60,0)),$B50=""),"",VLOOKUP($B50,'TICH LUY'!$B$11:$BY$85,60,0))</f>
        <v/>
      </c>
      <c r="CX50" s="507" t="str">
        <f>IF(OR(ISNA(VLOOKUP($B50,'TICH LUY'!$B$11:$BY$85,61,0)),$B50=""),"",VLOOKUP($B50,'TICH LUY'!$B$11:$BY$85,61,0))</f>
        <v/>
      </c>
      <c r="CY50" s="507" t="str">
        <f>IF(OR(ISNA(VLOOKUP($B50,'TICH LUY'!$B$11:$BY$85,62,0)),$B50=""),"",VLOOKUP($B50,'TICH LUY'!$B$11:$BY$85,62,0))</f>
        <v/>
      </c>
      <c r="CZ50" s="507" t="str">
        <f>IF(OR(ISNA(VLOOKUP($B50,'TICH LUY'!$B$11:$BY$85,63,0)),$B50=""),"",VLOOKUP($B50,'TICH LUY'!$B$11:$BY$85,63,0))</f>
        <v/>
      </c>
      <c r="DA50" s="507" t="str">
        <f>IF(OR(ISNA(VLOOKUP($B50,'TICH LUY'!$B$11:$BY$85,64,0)),$B50=""),"",VLOOKUP($B50,'TICH LUY'!$B$11:$BY$85,64,0))</f>
        <v/>
      </c>
      <c r="DB50" s="507" t="str">
        <f>IF(OR(ISNA(VLOOKUP($B50,'TICH LUY'!$B$11:$BY$85,65,0)),$B50=""),"",VLOOKUP($B50,'TICH LUY'!$B$11:$BY$85,65,0))</f>
        <v/>
      </c>
      <c r="DC50" s="507" t="str">
        <f>IF(OR(ISNA(VLOOKUP($B50,'TICH LUY'!$B$11:$BY$85,66,0)),$B50=""),"",VLOOKUP($B50,'TICH LUY'!$B$11:$BY$85,66,0))</f>
        <v/>
      </c>
      <c r="DD50" s="507" t="str">
        <f>IF(OR(ISNA(VLOOKUP($B50,'TICH LUY'!$B$11:$BY$85,67,0)),$B50=""),"",VLOOKUP($B50,'TICH LUY'!$B$11:$BY$85,67,0))</f>
        <v/>
      </c>
      <c r="DE50" s="507" t="str">
        <f>IF(OR(ISNA(VLOOKUP($B50,'TICH LUY'!$B$11:$BY$85,68,0)),$B50=""),"",VLOOKUP($B50,'TICH LUY'!$B$11:$BY$85,68,0))</f>
        <v/>
      </c>
      <c r="DF50" s="507" t="str">
        <f>IF(OR(ISNA(VLOOKUP($B50,'TICH LUY'!$B$11:$BY$85,69,0)),$B50=""),"",VLOOKUP($B50,'TICH LUY'!$B$11:$BY$85,69,0))</f>
        <v/>
      </c>
      <c r="DG50" s="507" t="str">
        <f>IF(OR(ISNA(VLOOKUP($B50,'TICH LUY'!$B$11:$BY$85,70,0)),$B50=""),"",VLOOKUP($B50,'TICH LUY'!$B$11:$BY$85,70,0))</f>
        <v/>
      </c>
      <c r="DH50" s="507" t="str">
        <f>IF(OR(ISNA(VLOOKUP($B50,'TICH LUY'!$B$11:$BY$85,71,0)),$B50=""),"",VLOOKUP($B50,'TICH LUY'!$B$11:$BY$85,71,0))</f>
        <v/>
      </c>
      <c r="DI50" s="507" t="str">
        <f>IF(OR(ISNA(VLOOKUP($B50,'TICH LUY'!$B$11:$BY$85,72,0)),$B50=""),"",VLOOKUP($B50,'TICH LUY'!$B$11:$BY$85,72,0))</f>
        <v/>
      </c>
      <c r="DJ50" s="507" t="str">
        <f>IF(OR(ISNA(VLOOKUP($B50,'TICH LUY'!$B$11:$BY$85,73,0)),$B50=""),"",VLOOKUP($B50,'TICH LUY'!$B$11:$BY$85,73,0))</f>
        <v/>
      </c>
      <c r="DK50" s="507" t="str">
        <f>IF(OR(ISNA(VLOOKUP($B50,'TICH LUY'!$B$11:$BY$85,74,0)),$B50=""),"",VLOOKUP($B50,'TICH LUY'!$B$11:$BY$85,74,0))</f>
        <v/>
      </c>
      <c r="DL50" s="507" t="str">
        <f>IF(OR(ISNA(VLOOKUP($B50,'TICH LUY'!$B$11:$BY$85,75,0)),$B50=""),"",VLOOKUP($B50,'TICH LUY'!$B$11:$BY$85,75,0))</f>
        <v/>
      </c>
      <c r="DM50" s="529" t="str">
        <f>IF(OR(ISNA(VLOOKUP($B50,'TICH LUY'!$B$11:$BY$85,76,0)),$B50=""),"",VLOOKUP($B50,'TICH LUY'!$B$11:$BY$85,76,0))</f>
        <v/>
      </c>
      <c r="DN50" s="455" t="str">
        <f t="shared" si="37"/>
        <v/>
      </c>
      <c r="DO50" s="456" t="str">
        <f t="shared" si="38"/>
        <v/>
      </c>
      <c r="DP50" s="456" t="str">
        <f t="shared" si="39"/>
        <v/>
      </c>
      <c r="DQ50" s="456" t="str">
        <f t="shared" si="40"/>
        <v/>
      </c>
      <c r="DR50" s="456" t="str">
        <f t="shared" si="41"/>
        <v/>
      </c>
      <c r="DS50" s="456" t="str">
        <f t="shared" si="42"/>
        <v/>
      </c>
      <c r="DT50" s="456" t="str">
        <f t="shared" si="43"/>
        <v/>
      </c>
      <c r="DU50" s="456" t="str">
        <f t="shared" si="44"/>
        <v/>
      </c>
      <c r="DV50" s="456" t="str">
        <f t="shared" si="45"/>
        <v/>
      </c>
      <c r="DW50" s="456" t="str">
        <f t="shared" si="46"/>
        <v/>
      </c>
      <c r="DX50" s="456" t="str">
        <f t="shared" si="47"/>
        <v/>
      </c>
      <c r="DY50" s="457" t="str">
        <f t="shared" si="48"/>
        <v/>
      </c>
      <c r="DZ50" s="453" t="str">
        <f t="shared" si="49"/>
        <v/>
      </c>
      <c r="EA50" s="452" t="str">
        <f t="shared" si="50"/>
        <v/>
      </c>
      <c r="EB50" s="452" t="str">
        <f t="shared" si="51"/>
        <v/>
      </c>
      <c r="EC50" s="452" t="str">
        <f t="shared" si="52"/>
        <v/>
      </c>
      <c r="ED50" s="452" t="str">
        <f t="shared" si="53"/>
        <v/>
      </c>
      <c r="EE50" s="452" t="str">
        <f t="shared" si="54"/>
        <v/>
      </c>
      <c r="EF50" s="452" t="str">
        <f t="shared" si="55"/>
        <v/>
      </c>
      <c r="EG50" s="452" t="str">
        <f t="shared" si="56"/>
        <v/>
      </c>
      <c r="EH50" s="452" t="str">
        <f t="shared" si="57"/>
        <v/>
      </c>
      <c r="EI50" s="453" t="str">
        <f t="shared" si="58"/>
        <v/>
      </c>
      <c r="EJ50" s="452" t="str">
        <f t="shared" si="59"/>
        <v/>
      </c>
      <c r="EK50" s="452" t="str">
        <f t="shared" si="60"/>
        <v/>
      </c>
      <c r="EL50" s="452" t="str">
        <f t="shared" si="61"/>
        <v/>
      </c>
      <c r="EM50" s="452" t="str">
        <f t="shared" si="62"/>
        <v/>
      </c>
      <c r="EN50" s="452" t="str">
        <f t="shared" si="63"/>
        <v/>
      </c>
      <c r="EO50" s="452" t="str">
        <f t="shared" si="64"/>
        <v/>
      </c>
      <c r="EP50" s="452" t="str">
        <f t="shared" si="65"/>
        <v/>
      </c>
      <c r="EQ50" s="452" t="str">
        <f t="shared" si="66"/>
        <v/>
      </c>
      <c r="ER50" s="452" t="str">
        <f t="shared" si="67"/>
        <v/>
      </c>
      <c r="ES50" s="452" t="str">
        <f t="shared" si="106"/>
        <v/>
      </c>
      <c r="ET50" s="458" t="str">
        <f t="shared" si="68"/>
        <v/>
      </c>
      <c r="EU50" s="527" t="str">
        <f>IF(OR(ISNA(VLOOKUP($B50,'TICH LUY'!$B$11:$BY$85,54,0)),$B50=""),"",VLOOKUP($B50,'TICH LUY'!$B$11:$BY$85,54,0))</f>
        <v/>
      </c>
      <c r="EV50" s="507" t="str">
        <f>IF(OR(ISNA(VLOOKUP($B50,'TICH LUY'!$B$11:$BY$85,55,0)),$B50=""),"",VLOOKUP($B50,'TICH LUY'!$B$11:$BY$85,55,0))</f>
        <v/>
      </c>
      <c r="EW50" s="507" t="str">
        <f>IF(OR(ISNA(VLOOKUP($B50,'TICH LUY'!$B$11:$BY$85,56,0)),$B50=""),"",VLOOKUP($B50,'TICH LUY'!$B$11:$BY$85,56,0))</f>
        <v/>
      </c>
      <c r="EX50" s="507" t="str">
        <f>IF(OR(ISNA(VLOOKUP($B50,'TICH LUY'!$B$11:$BY$85,57,0)),$B50=""),"",VLOOKUP($B50,'TICH LUY'!$B$11:$BY$85,57,0))</f>
        <v/>
      </c>
      <c r="EY50" s="507" t="str">
        <f>IF(OR(ISNA(VLOOKUP($B50,'TICH LUY'!$B$11:$BY$85,58,0)),$B50=""),"",VLOOKUP($B50,'TICH LUY'!$B$11:$BY$85,58,0))</f>
        <v/>
      </c>
      <c r="EZ50" s="507" t="str">
        <f>IF(OR(ISNA(VLOOKUP($B50,'TICH LUY'!$B$11:$BY$85,59,0)),$B50=""),"",VLOOKUP($B50,'TICH LUY'!$B$11:$BY$85,59,0))</f>
        <v/>
      </c>
      <c r="FA50" s="507" t="str">
        <f>IF(OR(ISNA(VLOOKUP($B50,'TICH LUY'!$B$11:$BY$85,60,0)),$B50=""),"",VLOOKUP($B50,'TICH LUY'!$B$11:$BY$85,60,0))</f>
        <v/>
      </c>
      <c r="FB50" s="507" t="str">
        <f>IF(OR(ISNA(VLOOKUP($B50,'TICH LUY'!$B$11:$BY$85,61,0)),$B50=""),"",VLOOKUP($B50,'TICH LUY'!$B$11:$BY$85,61,0))</f>
        <v/>
      </c>
      <c r="FC50" s="507" t="str">
        <f>IF(OR(ISNA(VLOOKUP($B50,'TICH LUY'!$B$11:$BY$85,62,0)),$B50=""),"",VLOOKUP($B50,'TICH LUY'!$B$11:$BY$85,62,0))</f>
        <v/>
      </c>
      <c r="FD50" s="507" t="str">
        <f>IF(OR(ISNA(VLOOKUP($B50,'TICH LUY'!$B$11:$BY$85,63,0)),$B50=""),"",VLOOKUP($B50,'TICH LUY'!$B$11:$BY$85,63,0))</f>
        <v/>
      </c>
      <c r="FE50" s="507" t="str">
        <f>IF(OR(ISNA(VLOOKUP($B50,'TICH LUY'!$B$11:$BY$85,64,0)),$B50=""),"",VLOOKUP($B50,'TICH LUY'!$B$11:$BY$85,64,0))</f>
        <v/>
      </c>
      <c r="FF50" s="507" t="str">
        <f>IF(OR(ISNA(VLOOKUP($B50,'TICH LUY'!$B$11:$BY$85,65,0)),$B50=""),"",VLOOKUP($B50,'TICH LUY'!$B$11:$BY$85,65,0))</f>
        <v/>
      </c>
      <c r="FG50" s="507" t="str">
        <f>IF(OR(ISNA(VLOOKUP($B50,'TICH LUY'!$B$11:$BY$85,66,0)),$B50=""),"",VLOOKUP($B50,'TICH LUY'!$B$11:$BY$85,66,0))</f>
        <v/>
      </c>
      <c r="FH50" s="507" t="str">
        <f>IF(OR(ISNA(VLOOKUP($B50,'TICH LUY'!$B$11:$BY$85,67,0)),$B50=""),"",VLOOKUP($B50,'TICH LUY'!$B$11:$BY$85,67,0))</f>
        <v/>
      </c>
      <c r="FI50" s="507" t="str">
        <f>IF(OR(ISNA(VLOOKUP($B50,'TICH LUY'!$B$11:$BY$85,68,0)),$B50=""),"",VLOOKUP($B50,'TICH LUY'!$B$11:$BY$85,68,0))</f>
        <v/>
      </c>
      <c r="FJ50" s="507" t="str">
        <f>IF(OR(ISNA(VLOOKUP($B50,'TICH LUY'!$B$11:$BY$85,69,0)),$B50=""),"",VLOOKUP($B50,'TICH LUY'!$B$11:$BY$85,69,0))</f>
        <v/>
      </c>
      <c r="FK50" s="507" t="str">
        <f>IF(OR(ISNA(VLOOKUP($B50,'TICH LUY'!$B$11:$BY$85,70,0)),$B50=""),"",VLOOKUP($B50,'TICH LUY'!$B$11:$BY$85,70,0))</f>
        <v/>
      </c>
      <c r="FL50" s="507" t="str">
        <f>IF(OR(ISNA(VLOOKUP($B50,'TICH LUY'!$B$11:$BY$85,71,0)),$B50=""),"",VLOOKUP($B50,'TICH LUY'!$B$11:$BY$85,71,0))</f>
        <v/>
      </c>
      <c r="FM50" s="507" t="str">
        <f>IF(OR(ISNA(VLOOKUP($B50,'TICH LUY'!$B$11:$BY$85,72,0)),$B50=""),"",VLOOKUP($B50,'TICH LUY'!$B$11:$BY$85,72,0))</f>
        <v/>
      </c>
      <c r="FN50" s="507" t="str">
        <f>IF(OR(ISNA(VLOOKUP($B50,'TICH LUY'!$B$11:$BY$85,73,0)),$B50=""),"",VLOOKUP($B50,'TICH LUY'!$B$11:$BY$85,73,0))</f>
        <v/>
      </c>
      <c r="FO50" s="507" t="str">
        <f>IF(OR(ISNA(VLOOKUP($B50,'TICH LUY'!$B$11:$BY$85,74,0)),$B50=""),"",VLOOKUP($B50,'TICH LUY'!$B$11:$BY$85,74,0))</f>
        <v/>
      </c>
      <c r="FP50" s="507" t="str">
        <f>IF(OR(ISNA(VLOOKUP($B50,'TICH LUY'!$B$11:$BY$85,75,0)),$B50=""),"",VLOOKUP($B50,'TICH LUY'!$B$11:$BY$85,75,0))</f>
        <v/>
      </c>
      <c r="FQ50" s="529" t="str">
        <f>IF(OR(ISNA(VLOOKUP($B50,'TICH LUY'!$B$11:$BY$85,76,0)),$B50=""),"",VLOOKUP($B50,'TICH LUY'!$B$11:$BY$85,76,0))</f>
        <v/>
      </c>
      <c r="FR50" s="455" t="str">
        <f t="shared" si="69"/>
        <v/>
      </c>
      <c r="FS50" s="456" t="str">
        <f t="shared" si="70"/>
        <v/>
      </c>
      <c r="FT50" s="456" t="str">
        <f t="shared" si="71"/>
        <v/>
      </c>
      <c r="FU50" s="456" t="str">
        <f t="shared" si="72"/>
        <v/>
      </c>
      <c r="FV50" s="456" t="str">
        <f t="shared" si="73"/>
        <v/>
      </c>
      <c r="FW50" s="456" t="str">
        <f t="shared" si="74"/>
        <v/>
      </c>
      <c r="FX50" s="456" t="str">
        <f t="shared" si="75"/>
        <v/>
      </c>
      <c r="FY50" s="456" t="str">
        <f t="shared" si="76"/>
        <v/>
      </c>
      <c r="FZ50" s="456" t="str">
        <f t="shared" si="77"/>
        <v/>
      </c>
      <c r="GA50" s="456" t="str">
        <f t="shared" si="78"/>
        <v/>
      </c>
      <c r="GB50" s="459" t="str">
        <f t="shared" si="79"/>
        <v/>
      </c>
      <c r="GC50" s="457" t="str">
        <f t="shared" si="107"/>
        <v/>
      </c>
    </row>
    <row r="51" spans="1:185" s="221" customFormat="1" ht="15.75">
      <c r="A51" s="449" t="str">
        <f>IF(B51="","",SUBTOTAL(3,$B$11:B51))</f>
        <v/>
      </c>
      <c r="B51" s="198"/>
      <c r="C51" s="450" t="str">
        <f>IF($B51="","",VLOOKUP($B51,'DS LOP HKI'!$B$2:$F$2642,2,0))</f>
        <v/>
      </c>
      <c r="D51" s="451" t="str">
        <f>IF($B51="","",VLOOKUP($B51,'DS LOP HKI'!$B$2:$F$2642,3,0))</f>
        <v/>
      </c>
      <c r="E51" s="154"/>
      <c r="F51" s="152"/>
      <c r="G51" s="156"/>
      <c r="H51" s="181" t="str">
        <f>IF(OR($H$6="",$H$7=""),"",IF($B51="","",IF(ISNA(VLOOKUP($B51,'LT01'!$B$11:$R$75,13,FALSE)),"",IF(VLOOKUP($B51,'LT01'!$B$11:$R$75,13,FALSE)="","",VLOOKUP($B51,'LT01'!$B$11:$R$75,13,FALSE)))))</f>
        <v/>
      </c>
      <c r="I51" s="182" t="str">
        <f>IF(OR($H$6="",$H$7=""),"",IF($B51="","",IF(ISNA(VLOOKUP($B51,'LT01'!$B$11:$R$75,14,FALSE)),"",VLOOKUP($B51,'LT01'!$B$11:$R$75,14,FALSE))))</f>
        <v/>
      </c>
      <c r="J51" s="183"/>
      <c r="K51" s="182" t="str">
        <f>IF(OR($H$6="",$H$7=""),"",IF($B51="","",IF(ISNA(VLOOKUP($B51,'LT01'!$B$11:$R$75,17,FALSE)),"",VLOOKUP($B51,'LT01'!$B$11:$R$75,17,FALSE))))</f>
        <v/>
      </c>
      <c r="L51" s="185" t="str">
        <f>IF(OR($H$6="",$H$7=""),"",IF($B51="","",IF(ISNA(VLOOKUP($B51,'LT02'!$B$11:$R$75,13,FALSE)),"",IF(VLOOKUP($B51,'LT02'!$B$11:$R$75,13,FALSE)="","",VLOOKUP($B51,'LT02'!$B$11:$R$75,13,FALSE)))))</f>
        <v/>
      </c>
      <c r="M51" s="182" t="str">
        <f>IF(OR($H$6="",$H$7=""),"",IF($B51="","",IF(ISNA(VLOOKUP($B51,'LT02'!$B$11:$R$75,14,FALSE)),"",VLOOKUP($B51,'LT02'!$B$11:$R$75,14,FALSE))))</f>
        <v/>
      </c>
      <c r="N51" s="183"/>
      <c r="O51" s="182" t="str">
        <f>IF(OR($H$6="",$H$7=""),"",IF($B51="","",IF(ISNA(VLOOKUP($B51,'LT02'!$B$11:$R$75,17,FALSE)),"",VLOOKUP($B51,'LT02'!$B$11:$R$75,17,FALSE))))</f>
        <v/>
      </c>
      <c r="P51" s="185" t="str">
        <f>IF(OR($H$6="",$H$7=""),"",IF($B51="","",IF(ISNA(VLOOKUP($B51,'LT03'!$B$11:$R$75,13,FALSE)),"",IF(VLOOKUP($B51,'LT03'!$B$11:$R$75,13,FALSE)="","",VLOOKUP($B51,'LT03'!$B$11:$R$75,13,FALSE)))))</f>
        <v/>
      </c>
      <c r="Q51" s="182" t="str">
        <f>IF(OR($H$6="",$H$7=""),"",IF($B51="","",IF(ISNA(VLOOKUP($B51,'LT03'!$B$11:$R$75,14,FALSE)),"",VLOOKUP($B51,'LT03'!$B$11:$R$75,14,FALSE))))</f>
        <v/>
      </c>
      <c r="R51" s="183"/>
      <c r="S51" s="182" t="str">
        <f>IF(OR($H$6="",$H$7=""),"",IF($B51="","",IF(ISNA(VLOOKUP($B51,'LT03'!$B$11:$R$75,17,FALSE)),"",VLOOKUP($B51,'LT03'!$B$11:$R$75,17,FALSE))))</f>
        <v/>
      </c>
      <c r="T51" s="185" t="str">
        <f>IF(OR($H$6="",$H$7=""),"",IF($B51="","",IF(ISNA(VLOOKUP($B51,'LT04'!$B$11:$R$75,13,FALSE)),"",IF(VLOOKUP($B51,'LT04'!$B$11:$R$75,13,FALSE)="","",VLOOKUP($B51,'LT04'!$B$11:$R$75,13,FALSE)))))</f>
        <v/>
      </c>
      <c r="U51" s="182" t="str">
        <f>IF(OR($H$6="",$H$7=""),"",IF($B51="","",IF(ISNA(VLOOKUP($B51,'LT04'!$B$11:$R$75,14,FALSE)),"",VLOOKUP($B51,'LT04'!$B$11:$R$75,14,FALSE))))</f>
        <v/>
      </c>
      <c r="V51" s="183"/>
      <c r="W51" s="184" t="str">
        <f>IF(OR($H$6="",$H$7=""),"",IF($B51="","",IF(ISNA(VLOOKUP($B51,'LT04'!$B$11:$R$75,17,FALSE)),"",VLOOKUP($B51,'LT04'!$B$11:$R$75,17,FALSE))))</f>
        <v/>
      </c>
      <c r="X51" s="185" t="str">
        <f>IF(OR($H$6="",$H$7=""),"",IF($B51="","",IF(ISNA(VLOOKUP($B51,'LT05'!$B$11:$R$75,13,FALSE)),"",IF(VLOOKUP($B51,'LT05'!$B$11:$R$75,13,FALSE)="","",VLOOKUP($B51,'LT05'!$B$11:$R$75,13,FALSE)))))</f>
        <v/>
      </c>
      <c r="Y51" s="182" t="str">
        <f>IF(OR($H$6="",$H$7=""),"",IF($B51="","",IF(ISNA(VLOOKUP($B51,'LT05'!$B$11:$R$75,14,FALSE)),"",VLOOKUP($B51,'LT05'!$B$11:$R$75,14,FALSE))))</f>
        <v/>
      </c>
      <c r="Z51" s="183"/>
      <c r="AA51" s="182" t="str">
        <f>IF(OR($H$6="",$H$7=""),"",IF($B51="","",IF(ISNA(VLOOKUP($B51,'LT05'!$B$11:$R$75,17,FALSE)),"",VLOOKUP($B51,'LT05'!$B$11:$R$75,17,FALSE))))</f>
        <v/>
      </c>
      <c r="AB51" s="185" t="str">
        <f>IF(OR($H$6="",$H$7=""),"",IF($B51="","",IF(ISNA(VLOOKUP($B51,'LT06'!$B$11:$R$75,13,FALSE)),"",IF(VLOOKUP($B51,'LT06'!$B$11:$R$75,13,FALSE)="","",VLOOKUP($B51,'LT06'!$B$11:$R$75,13,FALSE)))))</f>
        <v/>
      </c>
      <c r="AC51" s="182" t="str">
        <f>IF(OR($H$6="",$H$7=""),"",IF($B51="","",IF(ISNA(VLOOKUP($B51,'LT06'!$B$11:$R$75,14,FALSE)),"",VLOOKUP($B51,'LT06'!$B$11:$R$75,14,FALSE))))</f>
        <v/>
      </c>
      <c r="AD51" s="183"/>
      <c r="AE51" s="182" t="str">
        <f>IF(OR($H$6="",$H$7=""),"",IF($B51="","",IF(ISNA(VLOOKUP($B51,'LT06'!$B$11:$R$75,17,FALSE)),"",VLOOKUP($B51,'LT06'!$B$11:$R$75,17,FALSE))))</f>
        <v/>
      </c>
      <c r="AF51" s="185" t="str">
        <f>IF(OR($H$6="",$H$7=""),"",IF($B51="","",IF(ISNA(VLOOKUP($B51,'LT07'!$B$11:$R$75,13,FALSE)),"",IF(VLOOKUP($B51,'LT07'!$B$11:$R$75,13,FALSE)="","",VLOOKUP($B51,'LT07'!$B$11:$R$75,13,FALSE)))))</f>
        <v/>
      </c>
      <c r="AG51" s="182" t="str">
        <f>IF(OR($H$6="",$H$7=""),"",IF($B51="","",IF(ISNA(VLOOKUP($B51,'LT07'!$B$11:$R$75,14,FALSE)),"",VLOOKUP($B51,'LT07'!$B$11:$R$75,14,FALSE))))</f>
        <v/>
      </c>
      <c r="AH51" s="183"/>
      <c r="AI51" s="182" t="str">
        <f>IF(OR($H$6="",$H$7=""),"",IF($B51="","",IF(ISNA(VLOOKUP($B51,'LT07'!$B$11:$R$75,17,FALSE)),"",VLOOKUP($B51,'LT07'!$B$11:$R$75,17,FALSE))))</f>
        <v/>
      </c>
      <c r="AJ51" s="185" t="str">
        <f>IF(OR($H$6="",$H$7=""),"",IF($B51="","",IF(ISNA(VLOOKUP($B51,'LT08'!$B$11:$R$75,13,FALSE)),"",IF(VLOOKUP($B51,'LT08'!$B$11:$R$75,13,FALSE)="","",VLOOKUP($B51,'LT08'!$B$11:$R$75,13,FALSE)))))</f>
        <v/>
      </c>
      <c r="AK51" s="182" t="str">
        <f>IF(OR($H$6="",$H$7=""),"",IF($B51="","",IF(ISNA(VLOOKUP($B51,'LT08'!$B$11:$R$75,14,FALSE)),"",VLOOKUP($B51,'LT08'!$B$11:$R$75,14,FALSE))))</f>
        <v/>
      </c>
      <c r="AL51" s="183"/>
      <c r="AM51" s="182" t="str">
        <f>IF(OR($H$6="",$H$7=""),"",IF($B51="","",IF(ISNA(VLOOKUP($B51,'LT08'!$B$11:$R$75,17,FALSE)),"",VLOOKUP($B51,'LT08'!$B$11:$R$75,17,FALSE))))</f>
        <v/>
      </c>
      <c r="AN51" s="185" t="str">
        <f>IF(OR($H$6="",$H$7=""),"",IF($B51="","",IF(ISNA(VLOOKUP($B51,'LT09'!$B$11:$R$75,13,FALSE)),"",IF(VLOOKUP($B51,'LT09'!$B$11:$R$75,13,FALSE)="","",VLOOKUP($B51,'LT09'!$B$11:$R$75,13,FALSE)))))</f>
        <v/>
      </c>
      <c r="AO51" s="182" t="str">
        <f>IF(OR($H$6="",$H$7=""),"",IF($B51="","",IF(ISNA(VLOOKUP($B51,'LT09'!$B$11:$R$75,14,FALSE)),"",VLOOKUP($B51,'LT09'!$B$11:$R$75,14,FALSE))))</f>
        <v/>
      </c>
      <c r="AP51" s="183"/>
      <c r="AQ51" s="182" t="str">
        <f>IF(OR($H$6="",$H$7=""),"",IF($B51="","",IF(ISNA(VLOOKUP($B51,'LT09'!$B$11:$R$75,17,FALSE)),"",VLOOKUP($B51,'LT09'!$B$11:$R$75,17,FALSE))))</f>
        <v/>
      </c>
      <c r="AR51" s="186"/>
      <c r="AS51" s="182" t="str">
        <f>IF(OR($H$6="",$H$7=""),"",IF($B51="","",IF(ISNA(VLOOKUP($B51,'TH01'!$B$11:$R$75,14,FALSE)),"",VLOOKUP($B51,'TH01'!$B$11:$R$75,14,FALSE))))</f>
        <v/>
      </c>
      <c r="AT51" s="183"/>
      <c r="AU51" s="187"/>
      <c r="AV51" s="186"/>
      <c r="AW51" s="182" t="str">
        <f>IF(OR($H$6="",$H$7=""),"",IF($B51="","",IF(ISNA(VLOOKUP($B51,'TH02'!$B$11:$R$75,14,FALSE)),"",VLOOKUP($B51,'TH02'!$B$11:$R$75,14,FALSE))))</f>
        <v/>
      </c>
      <c r="AX51" s="183"/>
      <c r="AY51" s="187"/>
      <c r="AZ51" s="54" t="str">
        <f t="shared" si="24"/>
        <v/>
      </c>
      <c r="BA51" s="54" t="str">
        <f t="shared" si="0"/>
        <v/>
      </c>
      <c r="BB51" s="70"/>
      <c r="BC51" s="52" t="str">
        <f t="shared" si="25"/>
        <v/>
      </c>
      <c r="BD51" s="52" t="str">
        <f t="shared" si="26"/>
        <v/>
      </c>
      <c r="BE51" s="52" t="str">
        <f t="shared" si="86"/>
        <v/>
      </c>
      <c r="BF51" s="149" t="str">
        <f t="shared" si="87"/>
        <v/>
      </c>
      <c r="BG51" s="52" t="str">
        <f t="shared" si="88"/>
        <v/>
      </c>
      <c r="BH51" s="52" t="str">
        <f t="shared" si="89"/>
        <v/>
      </c>
      <c r="BI51" s="52" t="str">
        <f t="shared" si="90"/>
        <v/>
      </c>
      <c r="BJ51" s="52" t="str">
        <f t="shared" si="91"/>
        <v/>
      </c>
      <c r="BK51" s="54" t="str">
        <f t="shared" si="92"/>
        <v/>
      </c>
      <c r="BL51" s="54" t="str">
        <f t="shared" si="93"/>
        <v/>
      </c>
      <c r="BM51" s="54" t="str">
        <f t="shared" si="94"/>
        <v/>
      </c>
      <c r="BN51" s="54" t="str">
        <f t="shared" si="95"/>
        <v/>
      </c>
      <c r="BO51" s="70"/>
      <c r="BP51" s="52" t="str">
        <f>IF(ISNA(VLOOKUP(B51,'TICH LUY'!B:D,2,0)),"",VLOOKUP(B51,'TICH LUY'!B:D,2,0)+BI51)</f>
        <v/>
      </c>
      <c r="BQ51" s="52" t="str">
        <f>IF(ISNA(VLOOKUP(B51,'TICH LUY'!B:D,3,0)),"",VLOOKUP(B51,'TICH LUY'!B:D,3,0)+BJ51)</f>
        <v/>
      </c>
      <c r="BR51" s="40" t="str">
        <f t="shared" si="96"/>
        <v/>
      </c>
      <c r="BS51" s="452" t="str">
        <f t="shared" si="97"/>
        <v/>
      </c>
      <c r="BT51" s="452" t="str">
        <f t="shared" si="98"/>
        <v/>
      </c>
      <c r="BU51" s="452" t="str">
        <f t="shared" si="99"/>
        <v/>
      </c>
      <c r="BV51" s="452" t="str">
        <f t="shared" si="100"/>
        <v/>
      </c>
      <c r="BW51" s="452" t="str">
        <f t="shared" si="101"/>
        <v/>
      </c>
      <c r="BX51" s="452" t="str">
        <f t="shared" si="102"/>
        <v/>
      </c>
      <c r="BY51" s="452" t="str">
        <f t="shared" si="103"/>
        <v/>
      </c>
      <c r="BZ51" s="452" t="str">
        <f t="shared" si="28"/>
        <v/>
      </c>
      <c r="CA51" s="452" t="str">
        <f t="shared" si="29"/>
        <v/>
      </c>
      <c r="CB51" s="452" t="str">
        <f t="shared" si="30"/>
        <v/>
      </c>
      <c r="CC51" s="452" t="str">
        <f t="shared" si="104"/>
        <v/>
      </c>
      <c r="CD51" s="40" t="str">
        <f t="shared" si="31"/>
        <v/>
      </c>
      <c r="CE51" s="453" t="str">
        <f t="shared" si="80"/>
        <v/>
      </c>
      <c r="CF51" s="452" t="str">
        <f t="shared" si="32"/>
        <v/>
      </c>
      <c r="CG51" s="452" t="str">
        <f t="shared" si="81"/>
        <v/>
      </c>
      <c r="CH51" s="452" t="str">
        <f t="shared" si="82"/>
        <v/>
      </c>
      <c r="CI51" s="452" t="str">
        <f t="shared" si="83"/>
        <v/>
      </c>
      <c r="CJ51" s="452" t="str">
        <f t="shared" si="84"/>
        <v/>
      </c>
      <c r="CK51" s="452" t="str">
        <f t="shared" si="85"/>
        <v/>
      </c>
      <c r="CL51" s="452" t="str">
        <f t="shared" si="33"/>
        <v/>
      </c>
      <c r="CM51" s="452" t="str">
        <f t="shared" si="34"/>
        <v/>
      </c>
      <c r="CN51" s="452" t="str">
        <f t="shared" si="35"/>
        <v/>
      </c>
      <c r="CO51" s="452" t="str">
        <f t="shared" si="105"/>
        <v/>
      </c>
      <c r="CP51" s="454" t="str">
        <f t="shared" si="36"/>
        <v/>
      </c>
      <c r="CQ51" s="527" t="str">
        <f>IF(OR(ISNA(VLOOKUP($B51,'TICH LUY'!$B$11:$BY$85,54,0)),$B51=""),"",VLOOKUP($B51,'TICH LUY'!$B$11:$BY$85,54,0))</f>
        <v/>
      </c>
      <c r="CR51" s="507" t="str">
        <f>IF(OR(ISNA(VLOOKUP($B51,'TICH LUY'!$B$11:$BY$85,55,0)),$B51=""),"",VLOOKUP($B51,'TICH LUY'!$B$11:$BY$85,55,0))</f>
        <v/>
      </c>
      <c r="CS51" s="507" t="str">
        <f>IF(OR(ISNA(VLOOKUP($B51,'TICH LUY'!$B$11:$BY$85,56,0)),$B51=""),"",VLOOKUP($B51,'TICH LUY'!$B$11:$BY$85,56,0))</f>
        <v/>
      </c>
      <c r="CT51" s="507" t="str">
        <f>IF(OR(ISNA(VLOOKUP($B51,'TICH LUY'!$B$11:$BY$85,57,0)),$B51=""),"",VLOOKUP($B51,'TICH LUY'!$B$11:$BY$85,57,0))</f>
        <v/>
      </c>
      <c r="CU51" s="507" t="str">
        <f>IF(OR(ISNA(VLOOKUP($B51,'TICH LUY'!$B$11:$BY$85,58,0)),$B51=""),"",VLOOKUP($B51,'TICH LUY'!$B$11:$BY$85,58,0))</f>
        <v/>
      </c>
      <c r="CV51" s="507" t="str">
        <f>IF(OR(ISNA(VLOOKUP($B51,'TICH LUY'!$B$11:$BY$85,59,0)),$B51=""),"",VLOOKUP($B51,'TICH LUY'!$B$11:$BY$85,59,0))</f>
        <v/>
      </c>
      <c r="CW51" s="507" t="str">
        <f>IF(OR(ISNA(VLOOKUP($B51,'TICH LUY'!$B$11:$BY$85,60,0)),$B51=""),"",VLOOKUP($B51,'TICH LUY'!$B$11:$BY$85,60,0))</f>
        <v/>
      </c>
      <c r="CX51" s="507" t="str">
        <f>IF(OR(ISNA(VLOOKUP($B51,'TICH LUY'!$B$11:$BY$85,61,0)),$B51=""),"",VLOOKUP($B51,'TICH LUY'!$B$11:$BY$85,61,0))</f>
        <v/>
      </c>
      <c r="CY51" s="507" t="str">
        <f>IF(OR(ISNA(VLOOKUP($B51,'TICH LUY'!$B$11:$BY$85,62,0)),$B51=""),"",VLOOKUP($B51,'TICH LUY'!$B$11:$BY$85,62,0))</f>
        <v/>
      </c>
      <c r="CZ51" s="507" t="str">
        <f>IF(OR(ISNA(VLOOKUP($B51,'TICH LUY'!$B$11:$BY$85,63,0)),$B51=""),"",VLOOKUP($B51,'TICH LUY'!$B$11:$BY$85,63,0))</f>
        <v/>
      </c>
      <c r="DA51" s="507" t="str">
        <f>IF(OR(ISNA(VLOOKUP($B51,'TICH LUY'!$B$11:$BY$85,64,0)),$B51=""),"",VLOOKUP($B51,'TICH LUY'!$B$11:$BY$85,64,0))</f>
        <v/>
      </c>
      <c r="DB51" s="507" t="str">
        <f>IF(OR(ISNA(VLOOKUP($B51,'TICH LUY'!$B$11:$BY$85,65,0)),$B51=""),"",VLOOKUP($B51,'TICH LUY'!$B$11:$BY$85,65,0))</f>
        <v/>
      </c>
      <c r="DC51" s="507" t="str">
        <f>IF(OR(ISNA(VLOOKUP($B51,'TICH LUY'!$B$11:$BY$85,66,0)),$B51=""),"",VLOOKUP($B51,'TICH LUY'!$B$11:$BY$85,66,0))</f>
        <v/>
      </c>
      <c r="DD51" s="507" t="str">
        <f>IF(OR(ISNA(VLOOKUP($B51,'TICH LUY'!$B$11:$BY$85,67,0)),$B51=""),"",VLOOKUP($B51,'TICH LUY'!$B$11:$BY$85,67,0))</f>
        <v/>
      </c>
      <c r="DE51" s="507" t="str">
        <f>IF(OR(ISNA(VLOOKUP($B51,'TICH LUY'!$B$11:$BY$85,68,0)),$B51=""),"",VLOOKUP($B51,'TICH LUY'!$B$11:$BY$85,68,0))</f>
        <v/>
      </c>
      <c r="DF51" s="507" t="str">
        <f>IF(OR(ISNA(VLOOKUP($B51,'TICH LUY'!$B$11:$BY$85,69,0)),$B51=""),"",VLOOKUP($B51,'TICH LUY'!$B$11:$BY$85,69,0))</f>
        <v/>
      </c>
      <c r="DG51" s="507" t="str">
        <f>IF(OR(ISNA(VLOOKUP($B51,'TICH LUY'!$B$11:$BY$85,70,0)),$B51=""),"",VLOOKUP($B51,'TICH LUY'!$B$11:$BY$85,70,0))</f>
        <v/>
      </c>
      <c r="DH51" s="507" t="str">
        <f>IF(OR(ISNA(VLOOKUP($B51,'TICH LUY'!$B$11:$BY$85,71,0)),$B51=""),"",VLOOKUP($B51,'TICH LUY'!$B$11:$BY$85,71,0))</f>
        <v/>
      </c>
      <c r="DI51" s="507" t="str">
        <f>IF(OR(ISNA(VLOOKUP($B51,'TICH LUY'!$B$11:$BY$85,72,0)),$B51=""),"",VLOOKUP($B51,'TICH LUY'!$B$11:$BY$85,72,0))</f>
        <v/>
      </c>
      <c r="DJ51" s="507" t="str">
        <f>IF(OR(ISNA(VLOOKUP($B51,'TICH LUY'!$B$11:$BY$85,73,0)),$B51=""),"",VLOOKUP($B51,'TICH LUY'!$B$11:$BY$85,73,0))</f>
        <v/>
      </c>
      <c r="DK51" s="507" t="str">
        <f>IF(OR(ISNA(VLOOKUP($B51,'TICH LUY'!$B$11:$BY$85,74,0)),$B51=""),"",VLOOKUP($B51,'TICH LUY'!$B$11:$BY$85,74,0))</f>
        <v/>
      </c>
      <c r="DL51" s="507" t="str">
        <f>IF(OR(ISNA(VLOOKUP($B51,'TICH LUY'!$B$11:$BY$85,75,0)),$B51=""),"",VLOOKUP($B51,'TICH LUY'!$B$11:$BY$85,75,0))</f>
        <v/>
      </c>
      <c r="DM51" s="529" t="str">
        <f>IF(OR(ISNA(VLOOKUP($B51,'TICH LUY'!$B$11:$BY$85,76,0)),$B51=""),"",VLOOKUP($B51,'TICH LUY'!$B$11:$BY$85,76,0))</f>
        <v/>
      </c>
      <c r="DN51" s="455" t="str">
        <f t="shared" si="37"/>
        <v/>
      </c>
      <c r="DO51" s="456" t="str">
        <f t="shared" si="38"/>
        <v/>
      </c>
      <c r="DP51" s="456" t="str">
        <f t="shared" si="39"/>
        <v/>
      </c>
      <c r="DQ51" s="456" t="str">
        <f t="shared" si="40"/>
        <v/>
      </c>
      <c r="DR51" s="456" t="str">
        <f t="shared" si="41"/>
        <v/>
      </c>
      <c r="DS51" s="456" t="str">
        <f t="shared" si="42"/>
        <v/>
      </c>
      <c r="DT51" s="456" t="str">
        <f t="shared" si="43"/>
        <v/>
      </c>
      <c r="DU51" s="456" t="str">
        <f t="shared" si="44"/>
        <v/>
      </c>
      <c r="DV51" s="456" t="str">
        <f t="shared" si="45"/>
        <v/>
      </c>
      <c r="DW51" s="456" t="str">
        <f t="shared" si="46"/>
        <v/>
      </c>
      <c r="DX51" s="456" t="str">
        <f t="shared" si="47"/>
        <v/>
      </c>
      <c r="DY51" s="457" t="str">
        <f t="shared" si="48"/>
        <v/>
      </c>
      <c r="DZ51" s="453" t="str">
        <f t="shared" si="49"/>
        <v/>
      </c>
      <c r="EA51" s="452" t="str">
        <f t="shared" si="50"/>
        <v/>
      </c>
      <c r="EB51" s="452" t="str">
        <f t="shared" si="51"/>
        <v/>
      </c>
      <c r="EC51" s="452" t="str">
        <f t="shared" si="52"/>
        <v/>
      </c>
      <c r="ED51" s="452" t="str">
        <f t="shared" si="53"/>
        <v/>
      </c>
      <c r="EE51" s="452" t="str">
        <f t="shared" si="54"/>
        <v/>
      </c>
      <c r="EF51" s="452" t="str">
        <f t="shared" si="55"/>
        <v/>
      </c>
      <c r="EG51" s="452" t="str">
        <f t="shared" si="56"/>
        <v/>
      </c>
      <c r="EH51" s="452" t="str">
        <f t="shared" si="57"/>
        <v/>
      </c>
      <c r="EI51" s="453" t="str">
        <f t="shared" si="58"/>
        <v/>
      </c>
      <c r="EJ51" s="452" t="str">
        <f t="shared" si="59"/>
        <v/>
      </c>
      <c r="EK51" s="452" t="str">
        <f t="shared" si="60"/>
        <v/>
      </c>
      <c r="EL51" s="452" t="str">
        <f t="shared" si="61"/>
        <v/>
      </c>
      <c r="EM51" s="452" t="str">
        <f t="shared" si="62"/>
        <v/>
      </c>
      <c r="EN51" s="452" t="str">
        <f t="shared" si="63"/>
        <v/>
      </c>
      <c r="EO51" s="452" t="str">
        <f t="shared" si="64"/>
        <v/>
      </c>
      <c r="EP51" s="452" t="str">
        <f t="shared" si="65"/>
        <v/>
      </c>
      <c r="EQ51" s="452" t="str">
        <f t="shared" si="66"/>
        <v/>
      </c>
      <c r="ER51" s="452" t="str">
        <f t="shared" si="67"/>
        <v/>
      </c>
      <c r="ES51" s="452" t="str">
        <f t="shared" si="106"/>
        <v/>
      </c>
      <c r="ET51" s="458" t="str">
        <f t="shared" si="68"/>
        <v/>
      </c>
      <c r="EU51" s="527" t="str">
        <f>IF(OR(ISNA(VLOOKUP($B51,'TICH LUY'!$B$11:$BY$85,54,0)),$B51=""),"",VLOOKUP($B51,'TICH LUY'!$B$11:$BY$85,54,0))</f>
        <v/>
      </c>
      <c r="EV51" s="507" t="str">
        <f>IF(OR(ISNA(VLOOKUP($B51,'TICH LUY'!$B$11:$BY$85,55,0)),$B51=""),"",VLOOKUP($B51,'TICH LUY'!$B$11:$BY$85,55,0))</f>
        <v/>
      </c>
      <c r="EW51" s="507" t="str">
        <f>IF(OR(ISNA(VLOOKUP($B51,'TICH LUY'!$B$11:$BY$85,56,0)),$B51=""),"",VLOOKUP($B51,'TICH LUY'!$B$11:$BY$85,56,0))</f>
        <v/>
      </c>
      <c r="EX51" s="507" t="str">
        <f>IF(OR(ISNA(VLOOKUP($B51,'TICH LUY'!$B$11:$BY$85,57,0)),$B51=""),"",VLOOKUP($B51,'TICH LUY'!$B$11:$BY$85,57,0))</f>
        <v/>
      </c>
      <c r="EY51" s="507" t="str">
        <f>IF(OR(ISNA(VLOOKUP($B51,'TICH LUY'!$B$11:$BY$85,58,0)),$B51=""),"",VLOOKUP($B51,'TICH LUY'!$B$11:$BY$85,58,0))</f>
        <v/>
      </c>
      <c r="EZ51" s="507" t="str">
        <f>IF(OR(ISNA(VLOOKUP($B51,'TICH LUY'!$B$11:$BY$85,59,0)),$B51=""),"",VLOOKUP($B51,'TICH LUY'!$B$11:$BY$85,59,0))</f>
        <v/>
      </c>
      <c r="FA51" s="507" t="str">
        <f>IF(OR(ISNA(VLOOKUP($B51,'TICH LUY'!$B$11:$BY$85,60,0)),$B51=""),"",VLOOKUP($B51,'TICH LUY'!$B$11:$BY$85,60,0))</f>
        <v/>
      </c>
      <c r="FB51" s="507" t="str">
        <f>IF(OR(ISNA(VLOOKUP($B51,'TICH LUY'!$B$11:$BY$85,61,0)),$B51=""),"",VLOOKUP($B51,'TICH LUY'!$B$11:$BY$85,61,0))</f>
        <v/>
      </c>
      <c r="FC51" s="507" t="str">
        <f>IF(OR(ISNA(VLOOKUP($B51,'TICH LUY'!$B$11:$BY$85,62,0)),$B51=""),"",VLOOKUP($B51,'TICH LUY'!$B$11:$BY$85,62,0))</f>
        <v/>
      </c>
      <c r="FD51" s="507" t="str">
        <f>IF(OR(ISNA(VLOOKUP($B51,'TICH LUY'!$B$11:$BY$85,63,0)),$B51=""),"",VLOOKUP($B51,'TICH LUY'!$B$11:$BY$85,63,0))</f>
        <v/>
      </c>
      <c r="FE51" s="507" t="str">
        <f>IF(OR(ISNA(VLOOKUP($B51,'TICH LUY'!$B$11:$BY$85,64,0)),$B51=""),"",VLOOKUP($B51,'TICH LUY'!$B$11:$BY$85,64,0))</f>
        <v/>
      </c>
      <c r="FF51" s="507" t="str">
        <f>IF(OR(ISNA(VLOOKUP($B51,'TICH LUY'!$B$11:$BY$85,65,0)),$B51=""),"",VLOOKUP($B51,'TICH LUY'!$B$11:$BY$85,65,0))</f>
        <v/>
      </c>
      <c r="FG51" s="507" t="str">
        <f>IF(OR(ISNA(VLOOKUP($B51,'TICH LUY'!$B$11:$BY$85,66,0)),$B51=""),"",VLOOKUP($B51,'TICH LUY'!$B$11:$BY$85,66,0))</f>
        <v/>
      </c>
      <c r="FH51" s="507" t="str">
        <f>IF(OR(ISNA(VLOOKUP($B51,'TICH LUY'!$B$11:$BY$85,67,0)),$B51=""),"",VLOOKUP($B51,'TICH LUY'!$B$11:$BY$85,67,0))</f>
        <v/>
      </c>
      <c r="FI51" s="507" t="str">
        <f>IF(OR(ISNA(VLOOKUP($B51,'TICH LUY'!$B$11:$BY$85,68,0)),$B51=""),"",VLOOKUP($B51,'TICH LUY'!$B$11:$BY$85,68,0))</f>
        <v/>
      </c>
      <c r="FJ51" s="507" t="str">
        <f>IF(OR(ISNA(VLOOKUP($B51,'TICH LUY'!$B$11:$BY$85,69,0)),$B51=""),"",VLOOKUP($B51,'TICH LUY'!$B$11:$BY$85,69,0))</f>
        <v/>
      </c>
      <c r="FK51" s="507" t="str">
        <f>IF(OR(ISNA(VLOOKUP($B51,'TICH LUY'!$B$11:$BY$85,70,0)),$B51=""),"",VLOOKUP($B51,'TICH LUY'!$B$11:$BY$85,70,0))</f>
        <v/>
      </c>
      <c r="FL51" s="507" t="str">
        <f>IF(OR(ISNA(VLOOKUP($B51,'TICH LUY'!$B$11:$BY$85,71,0)),$B51=""),"",VLOOKUP($B51,'TICH LUY'!$B$11:$BY$85,71,0))</f>
        <v/>
      </c>
      <c r="FM51" s="507" t="str">
        <f>IF(OR(ISNA(VLOOKUP($B51,'TICH LUY'!$B$11:$BY$85,72,0)),$B51=""),"",VLOOKUP($B51,'TICH LUY'!$B$11:$BY$85,72,0))</f>
        <v/>
      </c>
      <c r="FN51" s="507" t="str">
        <f>IF(OR(ISNA(VLOOKUP($B51,'TICH LUY'!$B$11:$BY$85,73,0)),$B51=""),"",VLOOKUP($B51,'TICH LUY'!$B$11:$BY$85,73,0))</f>
        <v/>
      </c>
      <c r="FO51" s="507" t="str">
        <f>IF(OR(ISNA(VLOOKUP($B51,'TICH LUY'!$B$11:$BY$85,74,0)),$B51=""),"",VLOOKUP($B51,'TICH LUY'!$B$11:$BY$85,74,0))</f>
        <v/>
      </c>
      <c r="FP51" s="507" t="str">
        <f>IF(OR(ISNA(VLOOKUP($B51,'TICH LUY'!$B$11:$BY$85,75,0)),$B51=""),"",VLOOKUP($B51,'TICH LUY'!$B$11:$BY$85,75,0))</f>
        <v/>
      </c>
      <c r="FQ51" s="529" t="str">
        <f>IF(OR(ISNA(VLOOKUP($B51,'TICH LUY'!$B$11:$BY$85,76,0)),$B51=""),"",VLOOKUP($B51,'TICH LUY'!$B$11:$BY$85,76,0))</f>
        <v/>
      </c>
      <c r="FR51" s="455" t="str">
        <f t="shared" si="69"/>
        <v/>
      </c>
      <c r="FS51" s="456" t="str">
        <f t="shared" si="70"/>
        <v/>
      </c>
      <c r="FT51" s="456" t="str">
        <f t="shared" si="71"/>
        <v/>
      </c>
      <c r="FU51" s="456" t="str">
        <f t="shared" si="72"/>
        <v/>
      </c>
      <c r="FV51" s="456" t="str">
        <f t="shared" si="73"/>
        <v/>
      </c>
      <c r="FW51" s="456" t="str">
        <f t="shared" si="74"/>
        <v/>
      </c>
      <c r="FX51" s="456" t="str">
        <f t="shared" si="75"/>
        <v/>
      </c>
      <c r="FY51" s="456" t="str">
        <f t="shared" si="76"/>
        <v/>
      </c>
      <c r="FZ51" s="456" t="str">
        <f t="shared" si="77"/>
        <v/>
      </c>
      <c r="GA51" s="456" t="str">
        <f t="shared" si="78"/>
        <v/>
      </c>
      <c r="GB51" s="459" t="str">
        <f t="shared" si="79"/>
        <v/>
      </c>
      <c r="GC51" s="457" t="str">
        <f t="shared" si="107"/>
        <v/>
      </c>
    </row>
    <row r="52" spans="1:185" s="221" customFormat="1" ht="15.75">
      <c r="A52" s="449" t="str">
        <f>IF(B52="","",SUBTOTAL(3,$B$11:B52))</f>
        <v/>
      </c>
      <c r="B52" s="198"/>
      <c r="C52" s="450" t="str">
        <f>IF($B52="","",VLOOKUP($B52,'DS LOP HKI'!$B$2:$F$2642,2,0))</f>
        <v/>
      </c>
      <c r="D52" s="451" t="str">
        <f>IF($B52="","",VLOOKUP($B52,'DS LOP HKI'!$B$2:$F$2642,3,0))</f>
        <v/>
      </c>
      <c r="E52" s="154"/>
      <c r="F52" s="152"/>
      <c r="G52" s="156"/>
      <c r="H52" s="181" t="str">
        <f>IF(OR($H$6="",$H$7=""),"",IF($B52="","",IF(ISNA(VLOOKUP($B52,'LT01'!$B$11:$R$75,13,FALSE)),"",IF(VLOOKUP($B52,'LT01'!$B$11:$R$75,13,FALSE)="","",VLOOKUP($B52,'LT01'!$B$11:$R$75,13,FALSE)))))</f>
        <v/>
      </c>
      <c r="I52" s="182" t="str">
        <f>IF(OR($H$6="",$H$7=""),"",IF($B52="","",IF(ISNA(VLOOKUP($B52,'LT01'!$B$11:$R$75,14,FALSE)),"",VLOOKUP($B52,'LT01'!$B$11:$R$75,14,FALSE))))</f>
        <v/>
      </c>
      <c r="J52" s="183"/>
      <c r="K52" s="182" t="str">
        <f>IF(OR($H$6="",$H$7=""),"",IF($B52="","",IF(ISNA(VLOOKUP($B52,'LT01'!$B$11:$R$75,17,FALSE)),"",VLOOKUP($B52,'LT01'!$B$11:$R$75,17,FALSE))))</f>
        <v/>
      </c>
      <c r="L52" s="185" t="str">
        <f>IF(OR($H$6="",$H$7=""),"",IF($B52="","",IF(ISNA(VLOOKUP($B52,'LT02'!$B$11:$R$75,13,FALSE)),"",IF(VLOOKUP($B52,'LT02'!$B$11:$R$75,13,FALSE)="","",VLOOKUP($B52,'LT02'!$B$11:$R$75,13,FALSE)))))</f>
        <v/>
      </c>
      <c r="M52" s="182" t="str">
        <f>IF(OR($H$6="",$H$7=""),"",IF($B52="","",IF(ISNA(VLOOKUP($B52,'LT02'!$B$11:$R$75,14,FALSE)),"",VLOOKUP($B52,'LT02'!$B$11:$R$75,14,FALSE))))</f>
        <v/>
      </c>
      <c r="N52" s="183"/>
      <c r="O52" s="182" t="str">
        <f>IF(OR($H$6="",$H$7=""),"",IF($B52="","",IF(ISNA(VLOOKUP($B52,'LT02'!$B$11:$R$75,17,FALSE)),"",VLOOKUP($B52,'LT02'!$B$11:$R$75,17,FALSE))))</f>
        <v/>
      </c>
      <c r="P52" s="185" t="str">
        <f>IF(OR($H$6="",$H$7=""),"",IF($B52="","",IF(ISNA(VLOOKUP($B52,'LT03'!$B$11:$R$75,13,FALSE)),"",IF(VLOOKUP($B52,'LT03'!$B$11:$R$75,13,FALSE)="","",VLOOKUP($B52,'LT03'!$B$11:$R$75,13,FALSE)))))</f>
        <v/>
      </c>
      <c r="Q52" s="182" t="str">
        <f>IF(OR($H$6="",$H$7=""),"",IF($B52="","",IF(ISNA(VLOOKUP($B52,'LT03'!$B$11:$R$75,14,FALSE)),"",VLOOKUP($B52,'LT03'!$B$11:$R$75,14,FALSE))))</f>
        <v/>
      </c>
      <c r="R52" s="183"/>
      <c r="S52" s="182" t="str">
        <f>IF(OR($H$6="",$H$7=""),"",IF($B52="","",IF(ISNA(VLOOKUP($B52,'LT03'!$B$11:$R$75,17,FALSE)),"",VLOOKUP($B52,'LT03'!$B$11:$R$75,17,FALSE))))</f>
        <v/>
      </c>
      <c r="T52" s="185" t="str">
        <f>IF(OR($H$6="",$H$7=""),"",IF($B52="","",IF(ISNA(VLOOKUP($B52,'LT04'!$B$11:$R$75,13,FALSE)),"",IF(VLOOKUP($B52,'LT04'!$B$11:$R$75,13,FALSE)="","",VLOOKUP($B52,'LT04'!$B$11:$R$75,13,FALSE)))))</f>
        <v/>
      </c>
      <c r="U52" s="182" t="str">
        <f>IF(OR($H$6="",$H$7=""),"",IF($B52="","",IF(ISNA(VLOOKUP($B52,'LT04'!$B$11:$R$75,14,FALSE)),"",VLOOKUP($B52,'LT04'!$B$11:$R$75,14,FALSE))))</f>
        <v/>
      </c>
      <c r="V52" s="183"/>
      <c r="W52" s="184" t="str">
        <f>IF(OR($H$6="",$H$7=""),"",IF($B52="","",IF(ISNA(VLOOKUP($B52,'LT04'!$B$11:$R$75,17,FALSE)),"",VLOOKUP($B52,'LT04'!$B$11:$R$75,17,FALSE))))</f>
        <v/>
      </c>
      <c r="X52" s="185" t="str">
        <f>IF(OR($H$6="",$H$7=""),"",IF($B52="","",IF(ISNA(VLOOKUP($B52,'LT05'!$B$11:$R$75,13,FALSE)),"",IF(VLOOKUP($B52,'LT05'!$B$11:$R$75,13,FALSE)="","",VLOOKUP($B52,'LT05'!$B$11:$R$75,13,FALSE)))))</f>
        <v/>
      </c>
      <c r="Y52" s="182" t="str">
        <f>IF(OR($H$6="",$H$7=""),"",IF($B52="","",IF(ISNA(VLOOKUP($B52,'LT05'!$B$11:$R$75,14,FALSE)),"",VLOOKUP($B52,'LT05'!$B$11:$R$75,14,FALSE))))</f>
        <v/>
      </c>
      <c r="Z52" s="183"/>
      <c r="AA52" s="182" t="str">
        <f>IF(OR($H$6="",$H$7=""),"",IF($B52="","",IF(ISNA(VLOOKUP($B52,'LT05'!$B$11:$R$75,17,FALSE)),"",VLOOKUP($B52,'LT05'!$B$11:$R$75,17,FALSE))))</f>
        <v/>
      </c>
      <c r="AB52" s="185" t="str">
        <f>IF(OR($H$6="",$H$7=""),"",IF($B52="","",IF(ISNA(VLOOKUP($B52,'LT06'!$B$11:$R$75,13,FALSE)),"",IF(VLOOKUP($B52,'LT06'!$B$11:$R$75,13,FALSE)="","",VLOOKUP($B52,'LT06'!$B$11:$R$75,13,FALSE)))))</f>
        <v/>
      </c>
      <c r="AC52" s="182" t="str">
        <f>IF(OR($H$6="",$H$7=""),"",IF($B52="","",IF(ISNA(VLOOKUP($B52,'LT06'!$B$11:$R$75,14,FALSE)),"",VLOOKUP($B52,'LT06'!$B$11:$R$75,14,FALSE))))</f>
        <v/>
      </c>
      <c r="AD52" s="183"/>
      <c r="AE52" s="182" t="str">
        <f>IF(OR($H$6="",$H$7=""),"",IF($B52="","",IF(ISNA(VLOOKUP($B52,'LT06'!$B$11:$R$75,17,FALSE)),"",VLOOKUP($B52,'LT06'!$B$11:$R$75,17,FALSE))))</f>
        <v/>
      </c>
      <c r="AF52" s="185" t="str">
        <f>IF(OR($H$6="",$H$7=""),"",IF($B52="","",IF(ISNA(VLOOKUP($B52,'LT07'!$B$11:$R$75,13,FALSE)),"",IF(VLOOKUP($B52,'LT07'!$B$11:$R$75,13,FALSE)="","",VLOOKUP($B52,'LT07'!$B$11:$R$75,13,FALSE)))))</f>
        <v/>
      </c>
      <c r="AG52" s="182" t="str">
        <f>IF(OR($H$6="",$H$7=""),"",IF($B52="","",IF(ISNA(VLOOKUP($B52,'LT07'!$B$11:$R$75,14,FALSE)),"",VLOOKUP($B52,'LT07'!$B$11:$R$75,14,FALSE))))</f>
        <v/>
      </c>
      <c r="AH52" s="183"/>
      <c r="AI52" s="182" t="str">
        <f>IF(OR($H$6="",$H$7=""),"",IF($B52="","",IF(ISNA(VLOOKUP($B52,'LT07'!$B$11:$R$75,17,FALSE)),"",VLOOKUP($B52,'LT07'!$B$11:$R$75,17,FALSE))))</f>
        <v/>
      </c>
      <c r="AJ52" s="185" t="str">
        <f>IF(OR($H$6="",$H$7=""),"",IF($B52="","",IF(ISNA(VLOOKUP($B52,'LT08'!$B$11:$R$75,13,FALSE)),"",IF(VLOOKUP($B52,'LT08'!$B$11:$R$75,13,FALSE)="","",VLOOKUP($B52,'LT08'!$B$11:$R$75,13,FALSE)))))</f>
        <v/>
      </c>
      <c r="AK52" s="182" t="str">
        <f>IF(OR($H$6="",$H$7=""),"",IF($B52="","",IF(ISNA(VLOOKUP($B52,'LT08'!$B$11:$R$75,14,FALSE)),"",VLOOKUP($B52,'LT08'!$B$11:$R$75,14,FALSE))))</f>
        <v/>
      </c>
      <c r="AL52" s="183"/>
      <c r="AM52" s="182" t="str">
        <f>IF(OR($H$6="",$H$7=""),"",IF($B52="","",IF(ISNA(VLOOKUP($B52,'LT08'!$B$11:$R$75,17,FALSE)),"",VLOOKUP($B52,'LT08'!$B$11:$R$75,17,FALSE))))</f>
        <v/>
      </c>
      <c r="AN52" s="185" t="str">
        <f>IF(OR($H$6="",$H$7=""),"",IF($B52="","",IF(ISNA(VLOOKUP($B52,'LT09'!$B$11:$R$75,13,FALSE)),"",IF(VLOOKUP($B52,'LT09'!$B$11:$R$75,13,FALSE)="","",VLOOKUP($B52,'LT09'!$B$11:$R$75,13,FALSE)))))</f>
        <v/>
      </c>
      <c r="AO52" s="182" t="str">
        <f>IF(OR($H$6="",$H$7=""),"",IF($B52="","",IF(ISNA(VLOOKUP($B52,'LT09'!$B$11:$R$75,14,FALSE)),"",VLOOKUP($B52,'LT09'!$B$11:$R$75,14,FALSE))))</f>
        <v/>
      </c>
      <c r="AP52" s="183"/>
      <c r="AQ52" s="182" t="str">
        <f>IF(OR($H$6="",$H$7=""),"",IF($B52="","",IF(ISNA(VLOOKUP($B52,'LT09'!$B$11:$R$75,17,FALSE)),"",VLOOKUP($B52,'LT09'!$B$11:$R$75,17,FALSE))))</f>
        <v/>
      </c>
      <c r="AR52" s="186"/>
      <c r="AS52" s="182" t="str">
        <f>IF(OR($H$6="",$H$7=""),"",IF($B52="","",IF(ISNA(VLOOKUP($B52,'TH01'!$B$11:$R$75,14,FALSE)),"",VLOOKUP($B52,'TH01'!$B$11:$R$75,14,FALSE))))</f>
        <v/>
      </c>
      <c r="AT52" s="183"/>
      <c r="AU52" s="187"/>
      <c r="AV52" s="186"/>
      <c r="AW52" s="182" t="str">
        <f>IF(OR($H$6="",$H$7=""),"",IF($B52="","",IF(ISNA(VLOOKUP($B52,'TH02'!$B$11:$R$75,14,FALSE)),"",VLOOKUP($B52,'TH02'!$B$11:$R$75,14,FALSE))))</f>
        <v/>
      </c>
      <c r="AX52" s="183"/>
      <c r="AY52" s="187"/>
      <c r="AZ52" s="54" t="str">
        <f t="shared" si="24"/>
        <v/>
      </c>
      <c r="BA52" s="54" t="str">
        <f t="shared" si="0"/>
        <v/>
      </c>
      <c r="BB52" s="70"/>
      <c r="BC52" s="52" t="str">
        <f t="shared" si="25"/>
        <v/>
      </c>
      <c r="BD52" s="52" t="str">
        <f t="shared" si="26"/>
        <v/>
      </c>
      <c r="BE52" s="52" t="str">
        <f t="shared" si="86"/>
        <v/>
      </c>
      <c r="BF52" s="149" t="str">
        <f t="shared" si="87"/>
        <v/>
      </c>
      <c r="BG52" s="52" t="str">
        <f t="shared" si="88"/>
        <v/>
      </c>
      <c r="BH52" s="52" t="str">
        <f t="shared" si="89"/>
        <v/>
      </c>
      <c r="BI52" s="52" t="str">
        <f t="shared" si="90"/>
        <v/>
      </c>
      <c r="BJ52" s="52" t="str">
        <f t="shared" si="91"/>
        <v/>
      </c>
      <c r="BK52" s="54" t="str">
        <f t="shared" si="92"/>
        <v/>
      </c>
      <c r="BL52" s="54" t="str">
        <f t="shared" si="93"/>
        <v/>
      </c>
      <c r="BM52" s="54" t="str">
        <f t="shared" si="94"/>
        <v/>
      </c>
      <c r="BN52" s="54" t="str">
        <f t="shared" si="95"/>
        <v/>
      </c>
      <c r="BO52" s="70"/>
      <c r="BP52" s="52" t="str">
        <f>IF(ISNA(VLOOKUP(B52,'TICH LUY'!B:D,2,0)),"",VLOOKUP(B52,'TICH LUY'!B:D,2,0)+BI52)</f>
        <v/>
      </c>
      <c r="BQ52" s="52" t="str">
        <f>IF(ISNA(VLOOKUP(B52,'TICH LUY'!B:D,3,0)),"",VLOOKUP(B52,'TICH LUY'!B:D,3,0)+BJ52)</f>
        <v/>
      </c>
      <c r="BR52" s="40" t="str">
        <f t="shared" si="96"/>
        <v/>
      </c>
      <c r="BS52" s="452" t="str">
        <f t="shared" si="97"/>
        <v/>
      </c>
      <c r="BT52" s="452" t="str">
        <f t="shared" si="98"/>
        <v/>
      </c>
      <c r="BU52" s="452" t="str">
        <f t="shared" si="99"/>
        <v/>
      </c>
      <c r="BV52" s="452" t="str">
        <f t="shared" si="100"/>
        <v/>
      </c>
      <c r="BW52" s="452" t="str">
        <f t="shared" si="101"/>
        <v/>
      </c>
      <c r="BX52" s="452" t="str">
        <f t="shared" si="102"/>
        <v/>
      </c>
      <c r="BY52" s="452" t="str">
        <f t="shared" si="103"/>
        <v/>
      </c>
      <c r="BZ52" s="452" t="str">
        <f t="shared" si="28"/>
        <v/>
      </c>
      <c r="CA52" s="452" t="str">
        <f t="shared" si="29"/>
        <v/>
      </c>
      <c r="CB52" s="452" t="str">
        <f t="shared" si="30"/>
        <v/>
      </c>
      <c r="CC52" s="452" t="str">
        <f t="shared" si="104"/>
        <v/>
      </c>
      <c r="CD52" s="40" t="str">
        <f t="shared" si="31"/>
        <v/>
      </c>
      <c r="CE52" s="453" t="str">
        <f t="shared" si="80"/>
        <v/>
      </c>
      <c r="CF52" s="452" t="str">
        <f t="shared" si="32"/>
        <v/>
      </c>
      <c r="CG52" s="452" t="str">
        <f t="shared" si="81"/>
        <v/>
      </c>
      <c r="CH52" s="452" t="str">
        <f t="shared" si="82"/>
        <v/>
      </c>
      <c r="CI52" s="452" t="str">
        <f t="shared" si="83"/>
        <v/>
      </c>
      <c r="CJ52" s="452" t="str">
        <f t="shared" si="84"/>
        <v/>
      </c>
      <c r="CK52" s="452" t="str">
        <f t="shared" si="85"/>
        <v/>
      </c>
      <c r="CL52" s="452" t="str">
        <f t="shared" si="33"/>
        <v/>
      </c>
      <c r="CM52" s="452" t="str">
        <f t="shared" si="34"/>
        <v/>
      </c>
      <c r="CN52" s="452" t="str">
        <f t="shared" si="35"/>
        <v/>
      </c>
      <c r="CO52" s="452" t="str">
        <f t="shared" si="105"/>
        <v/>
      </c>
      <c r="CP52" s="454" t="str">
        <f t="shared" si="36"/>
        <v/>
      </c>
      <c r="CQ52" s="527" t="str">
        <f>IF(OR(ISNA(VLOOKUP($B52,'TICH LUY'!$B$11:$BY$85,54,0)),$B52=""),"",VLOOKUP($B52,'TICH LUY'!$B$11:$BY$85,54,0))</f>
        <v/>
      </c>
      <c r="CR52" s="507" t="str">
        <f>IF(OR(ISNA(VLOOKUP($B52,'TICH LUY'!$B$11:$BY$85,55,0)),$B52=""),"",VLOOKUP($B52,'TICH LUY'!$B$11:$BY$85,55,0))</f>
        <v/>
      </c>
      <c r="CS52" s="507" t="str">
        <f>IF(OR(ISNA(VLOOKUP($B52,'TICH LUY'!$B$11:$BY$85,56,0)),$B52=""),"",VLOOKUP($B52,'TICH LUY'!$B$11:$BY$85,56,0))</f>
        <v/>
      </c>
      <c r="CT52" s="507" t="str">
        <f>IF(OR(ISNA(VLOOKUP($B52,'TICH LUY'!$B$11:$BY$85,57,0)),$B52=""),"",VLOOKUP($B52,'TICH LUY'!$B$11:$BY$85,57,0))</f>
        <v/>
      </c>
      <c r="CU52" s="507" t="str">
        <f>IF(OR(ISNA(VLOOKUP($B52,'TICH LUY'!$B$11:$BY$85,58,0)),$B52=""),"",VLOOKUP($B52,'TICH LUY'!$B$11:$BY$85,58,0))</f>
        <v/>
      </c>
      <c r="CV52" s="507" t="str">
        <f>IF(OR(ISNA(VLOOKUP($B52,'TICH LUY'!$B$11:$BY$85,59,0)),$B52=""),"",VLOOKUP($B52,'TICH LUY'!$B$11:$BY$85,59,0))</f>
        <v/>
      </c>
      <c r="CW52" s="507" t="str">
        <f>IF(OR(ISNA(VLOOKUP($B52,'TICH LUY'!$B$11:$BY$85,60,0)),$B52=""),"",VLOOKUP($B52,'TICH LUY'!$B$11:$BY$85,60,0))</f>
        <v/>
      </c>
      <c r="CX52" s="507" t="str">
        <f>IF(OR(ISNA(VLOOKUP($B52,'TICH LUY'!$B$11:$BY$85,61,0)),$B52=""),"",VLOOKUP($B52,'TICH LUY'!$B$11:$BY$85,61,0))</f>
        <v/>
      </c>
      <c r="CY52" s="507" t="str">
        <f>IF(OR(ISNA(VLOOKUP($B52,'TICH LUY'!$B$11:$BY$85,62,0)),$B52=""),"",VLOOKUP($B52,'TICH LUY'!$B$11:$BY$85,62,0))</f>
        <v/>
      </c>
      <c r="CZ52" s="507" t="str">
        <f>IF(OR(ISNA(VLOOKUP($B52,'TICH LUY'!$B$11:$BY$85,63,0)),$B52=""),"",VLOOKUP($B52,'TICH LUY'!$B$11:$BY$85,63,0))</f>
        <v/>
      </c>
      <c r="DA52" s="507" t="str">
        <f>IF(OR(ISNA(VLOOKUP($B52,'TICH LUY'!$B$11:$BY$85,64,0)),$B52=""),"",VLOOKUP($B52,'TICH LUY'!$B$11:$BY$85,64,0))</f>
        <v/>
      </c>
      <c r="DB52" s="507" t="str">
        <f>IF(OR(ISNA(VLOOKUP($B52,'TICH LUY'!$B$11:$BY$85,65,0)),$B52=""),"",VLOOKUP($B52,'TICH LUY'!$B$11:$BY$85,65,0))</f>
        <v/>
      </c>
      <c r="DC52" s="507" t="str">
        <f>IF(OR(ISNA(VLOOKUP($B52,'TICH LUY'!$B$11:$BY$85,66,0)),$B52=""),"",VLOOKUP($B52,'TICH LUY'!$B$11:$BY$85,66,0))</f>
        <v/>
      </c>
      <c r="DD52" s="507" t="str">
        <f>IF(OR(ISNA(VLOOKUP($B52,'TICH LUY'!$B$11:$BY$85,67,0)),$B52=""),"",VLOOKUP($B52,'TICH LUY'!$B$11:$BY$85,67,0))</f>
        <v/>
      </c>
      <c r="DE52" s="507" t="str">
        <f>IF(OR(ISNA(VLOOKUP($B52,'TICH LUY'!$B$11:$BY$85,68,0)),$B52=""),"",VLOOKUP($B52,'TICH LUY'!$B$11:$BY$85,68,0))</f>
        <v/>
      </c>
      <c r="DF52" s="507" t="str">
        <f>IF(OR(ISNA(VLOOKUP($B52,'TICH LUY'!$B$11:$BY$85,69,0)),$B52=""),"",VLOOKUP($B52,'TICH LUY'!$B$11:$BY$85,69,0))</f>
        <v/>
      </c>
      <c r="DG52" s="507" t="str">
        <f>IF(OR(ISNA(VLOOKUP($B52,'TICH LUY'!$B$11:$BY$85,70,0)),$B52=""),"",VLOOKUP($B52,'TICH LUY'!$B$11:$BY$85,70,0))</f>
        <v/>
      </c>
      <c r="DH52" s="507" t="str">
        <f>IF(OR(ISNA(VLOOKUP($B52,'TICH LUY'!$B$11:$BY$85,71,0)),$B52=""),"",VLOOKUP($B52,'TICH LUY'!$B$11:$BY$85,71,0))</f>
        <v/>
      </c>
      <c r="DI52" s="507" t="str">
        <f>IF(OR(ISNA(VLOOKUP($B52,'TICH LUY'!$B$11:$BY$85,72,0)),$B52=""),"",VLOOKUP($B52,'TICH LUY'!$B$11:$BY$85,72,0))</f>
        <v/>
      </c>
      <c r="DJ52" s="507" t="str">
        <f>IF(OR(ISNA(VLOOKUP($B52,'TICH LUY'!$B$11:$BY$85,73,0)),$B52=""),"",VLOOKUP($B52,'TICH LUY'!$B$11:$BY$85,73,0))</f>
        <v/>
      </c>
      <c r="DK52" s="507" t="str">
        <f>IF(OR(ISNA(VLOOKUP($B52,'TICH LUY'!$B$11:$BY$85,74,0)),$B52=""),"",VLOOKUP($B52,'TICH LUY'!$B$11:$BY$85,74,0))</f>
        <v/>
      </c>
      <c r="DL52" s="507" t="str">
        <f>IF(OR(ISNA(VLOOKUP($B52,'TICH LUY'!$B$11:$BY$85,75,0)),$B52=""),"",VLOOKUP($B52,'TICH LUY'!$B$11:$BY$85,75,0))</f>
        <v/>
      </c>
      <c r="DM52" s="529" t="str">
        <f>IF(OR(ISNA(VLOOKUP($B52,'TICH LUY'!$B$11:$BY$85,76,0)),$B52=""),"",VLOOKUP($B52,'TICH LUY'!$B$11:$BY$85,76,0))</f>
        <v/>
      </c>
      <c r="DN52" s="455" t="str">
        <f t="shared" si="37"/>
        <v/>
      </c>
      <c r="DO52" s="456" t="str">
        <f t="shared" si="38"/>
        <v/>
      </c>
      <c r="DP52" s="456" t="str">
        <f t="shared" si="39"/>
        <v/>
      </c>
      <c r="DQ52" s="456" t="str">
        <f t="shared" si="40"/>
        <v/>
      </c>
      <c r="DR52" s="456" t="str">
        <f t="shared" si="41"/>
        <v/>
      </c>
      <c r="DS52" s="456" t="str">
        <f t="shared" si="42"/>
        <v/>
      </c>
      <c r="DT52" s="456" t="str">
        <f t="shared" si="43"/>
        <v/>
      </c>
      <c r="DU52" s="456" t="str">
        <f t="shared" si="44"/>
        <v/>
      </c>
      <c r="DV52" s="456" t="str">
        <f t="shared" si="45"/>
        <v/>
      </c>
      <c r="DW52" s="456" t="str">
        <f t="shared" si="46"/>
        <v/>
      </c>
      <c r="DX52" s="456" t="str">
        <f t="shared" si="47"/>
        <v/>
      </c>
      <c r="DY52" s="457" t="str">
        <f t="shared" si="48"/>
        <v/>
      </c>
      <c r="DZ52" s="453" t="str">
        <f t="shared" si="49"/>
        <v/>
      </c>
      <c r="EA52" s="452" t="str">
        <f t="shared" si="50"/>
        <v/>
      </c>
      <c r="EB52" s="452" t="str">
        <f t="shared" si="51"/>
        <v/>
      </c>
      <c r="EC52" s="452" t="str">
        <f t="shared" si="52"/>
        <v/>
      </c>
      <c r="ED52" s="452" t="str">
        <f t="shared" si="53"/>
        <v/>
      </c>
      <c r="EE52" s="452" t="str">
        <f t="shared" si="54"/>
        <v/>
      </c>
      <c r="EF52" s="452" t="str">
        <f t="shared" si="55"/>
        <v/>
      </c>
      <c r="EG52" s="452" t="str">
        <f t="shared" si="56"/>
        <v/>
      </c>
      <c r="EH52" s="452" t="str">
        <f t="shared" si="57"/>
        <v/>
      </c>
      <c r="EI52" s="453" t="str">
        <f t="shared" si="58"/>
        <v/>
      </c>
      <c r="EJ52" s="452" t="str">
        <f t="shared" si="59"/>
        <v/>
      </c>
      <c r="EK52" s="452" t="str">
        <f t="shared" si="60"/>
        <v/>
      </c>
      <c r="EL52" s="452" t="str">
        <f t="shared" si="61"/>
        <v/>
      </c>
      <c r="EM52" s="452" t="str">
        <f t="shared" si="62"/>
        <v/>
      </c>
      <c r="EN52" s="452" t="str">
        <f t="shared" si="63"/>
        <v/>
      </c>
      <c r="EO52" s="452" t="str">
        <f t="shared" si="64"/>
        <v/>
      </c>
      <c r="EP52" s="452" t="str">
        <f t="shared" si="65"/>
        <v/>
      </c>
      <c r="EQ52" s="452" t="str">
        <f t="shared" si="66"/>
        <v/>
      </c>
      <c r="ER52" s="452" t="str">
        <f t="shared" si="67"/>
        <v/>
      </c>
      <c r="ES52" s="452" t="str">
        <f t="shared" si="106"/>
        <v/>
      </c>
      <c r="ET52" s="458" t="str">
        <f t="shared" si="68"/>
        <v/>
      </c>
      <c r="EU52" s="527" t="str">
        <f>IF(OR(ISNA(VLOOKUP($B52,'TICH LUY'!$B$11:$BY$85,54,0)),$B52=""),"",VLOOKUP($B52,'TICH LUY'!$B$11:$BY$85,54,0))</f>
        <v/>
      </c>
      <c r="EV52" s="507" t="str">
        <f>IF(OR(ISNA(VLOOKUP($B52,'TICH LUY'!$B$11:$BY$85,55,0)),$B52=""),"",VLOOKUP($B52,'TICH LUY'!$B$11:$BY$85,55,0))</f>
        <v/>
      </c>
      <c r="EW52" s="507" t="str">
        <f>IF(OR(ISNA(VLOOKUP($B52,'TICH LUY'!$B$11:$BY$85,56,0)),$B52=""),"",VLOOKUP($B52,'TICH LUY'!$B$11:$BY$85,56,0))</f>
        <v/>
      </c>
      <c r="EX52" s="507" t="str">
        <f>IF(OR(ISNA(VLOOKUP($B52,'TICH LUY'!$B$11:$BY$85,57,0)),$B52=""),"",VLOOKUP($B52,'TICH LUY'!$B$11:$BY$85,57,0))</f>
        <v/>
      </c>
      <c r="EY52" s="507" t="str">
        <f>IF(OR(ISNA(VLOOKUP($B52,'TICH LUY'!$B$11:$BY$85,58,0)),$B52=""),"",VLOOKUP($B52,'TICH LUY'!$B$11:$BY$85,58,0))</f>
        <v/>
      </c>
      <c r="EZ52" s="507" t="str">
        <f>IF(OR(ISNA(VLOOKUP($B52,'TICH LUY'!$B$11:$BY$85,59,0)),$B52=""),"",VLOOKUP($B52,'TICH LUY'!$B$11:$BY$85,59,0))</f>
        <v/>
      </c>
      <c r="FA52" s="507" t="str">
        <f>IF(OR(ISNA(VLOOKUP($B52,'TICH LUY'!$B$11:$BY$85,60,0)),$B52=""),"",VLOOKUP($B52,'TICH LUY'!$B$11:$BY$85,60,0))</f>
        <v/>
      </c>
      <c r="FB52" s="507" t="str">
        <f>IF(OR(ISNA(VLOOKUP($B52,'TICH LUY'!$B$11:$BY$85,61,0)),$B52=""),"",VLOOKUP($B52,'TICH LUY'!$B$11:$BY$85,61,0))</f>
        <v/>
      </c>
      <c r="FC52" s="507" t="str">
        <f>IF(OR(ISNA(VLOOKUP($B52,'TICH LUY'!$B$11:$BY$85,62,0)),$B52=""),"",VLOOKUP($B52,'TICH LUY'!$B$11:$BY$85,62,0))</f>
        <v/>
      </c>
      <c r="FD52" s="507" t="str">
        <f>IF(OR(ISNA(VLOOKUP($B52,'TICH LUY'!$B$11:$BY$85,63,0)),$B52=""),"",VLOOKUP($B52,'TICH LUY'!$B$11:$BY$85,63,0))</f>
        <v/>
      </c>
      <c r="FE52" s="507" t="str">
        <f>IF(OR(ISNA(VLOOKUP($B52,'TICH LUY'!$B$11:$BY$85,64,0)),$B52=""),"",VLOOKUP($B52,'TICH LUY'!$B$11:$BY$85,64,0))</f>
        <v/>
      </c>
      <c r="FF52" s="507" t="str">
        <f>IF(OR(ISNA(VLOOKUP($B52,'TICH LUY'!$B$11:$BY$85,65,0)),$B52=""),"",VLOOKUP($B52,'TICH LUY'!$B$11:$BY$85,65,0))</f>
        <v/>
      </c>
      <c r="FG52" s="507" t="str">
        <f>IF(OR(ISNA(VLOOKUP($B52,'TICH LUY'!$B$11:$BY$85,66,0)),$B52=""),"",VLOOKUP($B52,'TICH LUY'!$B$11:$BY$85,66,0))</f>
        <v/>
      </c>
      <c r="FH52" s="507" t="str">
        <f>IF(OR(ISNA(VLOOKUP($B52,'TICH LUY'!$B$11:$BY$85,67,0)),$B52=""),"",VLOOKUP($B52,'TICH LUY'!$B$11:$BY$85,67,0))</f>
        <v/>
      </c>
      <c r="FI52" s="507" t="str">
        <f>IF(OR(ISNA(VLOOKUP($B52,'TICH LUY'!$B$11:$BY$85,68,0)),$B52=""),"",VLOOKUP($B52,'TICH LUY'!$B$11:$BY$85,68,0))</f>
        <v/>
      </c>
      <c r="FJ52" s="507" t="str">
        <f>IF(OR(ISNA(VLOOKUP($B52,'TICH LUY'!$B$11:$BY$85,69,0)),$B52=""),"",VLOOKUP($B52,'TICH LUY'!$B$11:$BY$85,69,0))</f>
        <v/>
      </c>
      <c r="FK52" s="507" t="str">
        <f>IF(OR(ISNA(VLOOKUP($B52,'TICH LUY'!$B$11:$BY$85,70,0)),$B52=""),"",VLOOKUP($B52,'TICH LUY'!$B$11:$BY$85,70,0))</f>
        <v/>
      </c>
      <c r="FL52" s="507" t="str">
        <f>IF(OR(ISNA(VLOOKUP($B52,'TICH LUY'!$B$11:$BY$85,71,0)),$B52=""),"",VLOOKUP($B52,'TICH LUY'!$B$11:$BY$85,71,0))</f>
        <v/>
      </c>
      <c r="FM52" s="507" t="str">
        <f>IF(OR(ISNA(VLOOKUP($B52,'TICH LUY'!$B$11:$BY$85,72,0)),$B52=""),"",VLOOKUP($B52,'TICH LUY'!$B$11:$BY$85,72,0))</f>
        <v/>
      </c>
      <c r="FN52" s="507" t="str">
        <f>IF(OR(ISNA(VLOOKUP($B52,'TICH LUY'!$B$11:$BY$85,73,0)),$B52=""),"",VLOOKUP($B52,'TICH LUY'!$B$11:$BY$85,73,0))</f>
        <v/>
      </c>
      <c r="FO52" s="507" t="str">
        <f>IF(OR(ISNA(VLOOKUP($B52,'TICH LUY'!$B$11:$BY$85,74,0)),$B52=""),"",VLOOKUP($B52,'TICH LUY'!$B$11:$BY$85,74,0))</f>
        <v/>
      </c>
      <c r="FP52" s="507" t="str">
        <f>IF(OR(ISNA(VLOOKUP($B52,'TICH LUY'!$B$11:$BY$85,75,0)),$B52=""),"",VLOOKUP($B52,'TICH LUY'!$B$11:$BY$85,75,0))</f>
        <v/>
      </c>
      <c r="FQ52" s="529" t="str">
        <f>IF(OR(ISNA(VLOOKUP($B52,'TICH LUY'!$B$11:$BY$85,76,0)),$B52=""),"",VLOOKUP($B52,'TICH LUY'!$B$11:$BY$85,76,0))</f>
        <v/>
      </c>
      <c r="FR52" s="455" t="str">
        <f t="shared" si="69"/>
        <v/>
      </c>
      <c r="FS52" s="456" t="str">
        <f t="shared" si="70"/>
        <v/>
      </c>
      <c r="FT52" s="456" t="str">
        <f t="shared" si="71"/>
        <v/>
      </c>
      <c r="FU52" s="456" t="str">
        <f t="shared" si="72"/>
        <v/>
      </c>
      <c r="FV52" s="456" t="str">
        <f t="shared" si="73"/>
        <v/>
      </c>
      <c r="FW52" s="456" t="str">
        <f t="shared" si="74"/>
        <v/>
      </c>
      <c r="FX52" s="456" t="str">
        <f t="shared" si="75"/>
        <v/>
      </c>
      <c r="FY52" s="456" t="str">
        <f t="shared" si="76"/>
        <v/>
      </c>
      <c r="FZ52" s="456" t="str">
        <f t="shared" si="77"/>
        <v/>
      </c>
      <c r="GA52" s="456" t="str">
        <f t="shared" si="78"/>
        <v/>
      </c>
      <c r="GB52" s="459" t="str">
        <f t="shared" si="79"/>
        <v/>
      </c>
      <c r="GC52" s="457" t="str">
        <f t="shared" si="107"/>
        <v/>
      </c>
    </row>
    <row r="53" spans="1:185" s="221" customFormat="1" ht="15.75">
      <c r="A53" s="449" t="str">
        <f>IF(B53="","",SUBTOTAL(3,$B$11:B53))</f>
        <v/>
      </c>
      <c r="B53" s="198"/>
      <c r="C53" s="450" t="str">
        <f>IF($B53="","",VLOOKUP($B53,'DS LOP HKI'!$B$2:$F$2642,2,0))</f>
        <v/>
      </c>
      <c r="D53" s="451" t="str">
        <f>IF($B53="","",VLOOKUP($B53,'DS LOP HKI'!$B$2:$F$2642,3,0))</f>
        <v/>
      </c>
      <c r="E53" s="154"/>
      <c r="F53" s="152"/>
      <c r="G53" s="156"/>
      <c r="H53" s="181" t="str">
        <f>IF(OR($H$6="",$H$7=""),"",IF($B53="","",IF(ISNA(VLOOKUP($B53,'LT01'!$B$11:$R$75,13,FALSE)),"",IF(VLOOKUP($B53,'LT01'!$B$11:$R$75,13,FALSE)="","",VLOOKUP($B53,'LT01'!$B$11:$R$75,13,FALSE)))))</f>
        <v/>
      </c>
      <c r="I53" s="182" t="str">
        <f>IF(OR($H$6="",$H$7=""),"",IF($B53="","",IF(ISNA(VLOOKUP($B53,'LT01'!$B$11:$R$75,14,FALSE)),"",VLOOKUP($B53,'LT01'!$B$11:$R$75,14,FALSE))))</f>
        <v/>
      </c>
      <c r="J53" s="183"/>
      <c r="K53" s="182" t="str">
        <f>IF(OR($H$6="",$H$7=""),"",IF($B53="","",IF(ISNA(VLOOKUP($B53,'LT01'!$B$11:$R$75,17,FALSE)),"",VLOOKUP($B53,'LT01'!$B$11:$R$75,17,FALSE))))</f>
        <v/>
      </c>
      <c r="L53" s="185" t="str">
        <f>IF(OR($H$6="",$H$7=""),"",IF($B53="","",IF(ISNA(VLOOKUP($B53,'LT02'!$B$11:$R$75,13,FALSE)),"",IF(VLOOKUP($B53,'LT02'!$B$11:$R$75,13,FALSE)="","",VLOOKUP($B53,'LT02'!$B$11:$R$75,13,FALSE)))))</f>
        <v/>
      </c>
      <c r="M53" s="182" t="str">
        <f>IF(OR($H$6="",$H$7=""),"",IF($B53="","",IF(ISNA(VLOOKUP($B53,'LT02'!$B$11:$R$75,14,FALSE)),"",VLOOKUP($B53,'LT02'!$B$11:$R$75,14,FALSE))))</f>
        <v/>
      </c>
      <c r="N53" s="183"/>
      <c r="O53" s="182" t="str">
        <f>IF(OR($H$6="",$H$7=""),"",IF($B53="","",IF(ISNA(VLOOKUP($B53,'LT02'!$B$11:$R$75,17,FALSE)),"",VLOOKUP($B53,'LT02'!$B$11:$R$75,17,FALSE))))</f>
        <v/>
      </c>
      <c r="P53" s="185" t="str">
        <f>IF(OR($H$6="",$H$7=""),"",IF($B53="","",IF(ISNA(VLOOKUP($B53,'LT03'!$B$11:$R$75,13,FALSE)),"",IF(VLOOKUP($B53,'LT03'!$B$11:$R$75,13,FALSE)="","",VLOOKUP($B53,'LT03'!$B$11:$R$75,13,FALSE)))))</f>
        <v/>
      </c>
      <c r="Q53" s="182" t="str">
        <f>IF(OR($H$6="",$H$7=""),"",IF($B53="","",IF(ISNA(VLOOKUP($B53,'LT03'!$B$11:$R$75,14,FALSE)),"",VLOOKUP($B53,'LT03'!$B$11:$R$75,14,FALSE))))</f>
        <v/>
      </c>
      <c r="R53" s="183"/>
      <c r="S53" s="182" t="str">
        <f>IF(OR($H$6="",$H$7=""),"",IF($B53="","",IF(ISNA(VLOOKUP($B53,'LT03'!$B$11:$R$75,17,FALSE)),"",VLOOKUP($B53,'LT03'!$B$11:$R$75,17,FALSE))))</f>
        <v/>
      </c>
      <c r="T53" s="185" t="str">
        <f>IF(OR($H$6="",$H$7=""),"",IF($B53="","",IF(ISNA(VLOOKUP($B53,'LT04'!$B$11:$R$75,13,FALSE)),"",IF(VLOOKUP($B53,'LT04'!$B$11:$R$75,13,FALSE)="","",VLOOKUP($B53,'LT04'!$B$11:$R$75,13,FALSE)))))</f>
        <v/>
      </c>
      <c r="U53" s="182" t="str">
        <f>IF(OR($H$6="",$H$7=""),"",IF($B53="","",IF(ISNA(VLOOKUP($B53,'LT04'!$B$11:$R$75,14,FALSE)),"",VLOOKUP($B53,'LT04'!$B$11:$R$75,14,FALSE))))</f>
        <v/>
      </c>
      <c r="V53" s="183"/>
      <c r="W53" s="184" t="str">
        <f>IF(OR($H$6="",$H$7=""),"",IF($B53="","",IF(ISNA(VLOOKUP($B53,'LT04'!$B$11:$R$75,17,FALSE)),"",VLOOKUP($B53,'LT04'!$B$11:$R$75,17,FALSE))))</f>
        <v/>
      </c>
      <c r="X53" s="185" t="str">
        <f>IF(OR($H$6="",$H$7=""),"",IF($B53="","",IF(ISNA(VLOOKUP($B53,'LT05'!$B$11:$R$75,13,FALSE)),"",IF(VLOOKUP($B53,'LT05'!$B$11:$R$75,13,FALSE)="","",VLOOKUP($B53,'LT05'!$B$11:$R$75,13,FALSE)))))</f>
        <v/>
      </c>
      <c r="Y53" s="182" t="str">
        <f>IF(OR($H$6="",$H$7=""),"",IF($B53="","",IF(ISNA(VLOOKUP($B53,'LT05'!$B$11:$R$75,14,FALSE)),"",VLOOKUP($B53,'LT05'!$B$11:$R$75,14,FALSE))))</f>
        <v/>
      </c>
      <c r="Z53" s="183"/>
      <c r="AA53" s="182" t="str">
        <f>IF(OR($H$6="",$H$7=""),"",IF($B53="","",IF(ISNA(VLOOKUP($B53,'LT05'!$B$11:$R$75,17,FALSE)),"",VLOOKUP($B53,'LT05'!$B$11:$R$75,17,FALSE))))</f>
        <v/>
      </c>
      <c r="AB53" s="185" t="str">
        <f>IF(OR($H$6="",$H$7=""),"",IF($B53="","",IF(ISNA(VLOOKUP($B53,'LT06'!$B$11:$R$75,13,FALSE)),"",IF(VLOOKUP($B53,'LT06'!$B$11:$R$75,13,FALSE)="","",VLOOKUP($B53,'LT06'!$B$11:$R$75,13,FALSE)))))</f>
        <v/>
      </c>
      <c r="AC53" s="182" t="str">
        <f>IF(OR($H$6="",$H$7=""),"",IF($B53="","",IF(ISNA(VLOOKUP($B53,'LT06'!$B$11:$R$75,14,FALSE)),"",VLOOKUP($B53,'LT06'!$B$11:$R$75,14,FALSE))))</f>
        <v/>
      </c>
      <c r="AD53" s="183"/>
      <c r="AE53" s="182" t="str">
        <f>IF(OR($H$6="",$H$7=""),"",IF($B53="","",IF(ISNA(VLOOKUP($B53,'LT06'!$B$11:$R$75,17,FALSE)),"",VLOOKUP($B53,'LT06'!$B$11:$R$75,17,FALSE))))</f>
        <v/>
      </c>
      <c r="AF53" s="185" t="str">
        <f>IF(OR($H$6="",$H$7=""),"",IF($B53="","",IF(ISNA(VLOOKUP($B53,'LT07'!$B$11:$R$75,13,FALSE)),"",IF(VLOOKUP($B53,'LT07'!$B$11:$R$75,13,FALSE)="","",VLOOKUP($B53,'LT07'!$B$11:$R$75,13,FALSE)))))</f>
        <v/>
      </c>
      <c r="AG53" s="182" t="str">
        <f>IF(OR($H$6="",$H$7=""),"",IF($B53="","",IF(ISNA(VLOOKUP($B53,'LT07'!$B$11:$R$75,14,FALSE)),"",VLOOKUP($B53,'LT07'!$B$11:$R$75,14,FALSE))))</f>
        <v/>
      </c>
      <c r="AH53" s="183"/>
      <c r="AI53" s="182" t="str">
        <f>IF(OR($H$6="",$H$7=""),"",IF($B53="","",IF(ISNA(VLOOKUP($B53,'LT07'!$B$11:$R$75,17,FALSE)),"",VLOOKUP($B53,'LT07'!$B$11:$R$75,17,FALSE))))</f>
        <v/>
      </c>
      <c r="AJ53" s="185" t="str">
        <f>IF(OR($H$6="",$H$7=""),"",IF($B53="","",IF(ISNA(VLOOKUP($B53,'LT08'!$B$11:$R$75,13,FALSE)),"",IF(VLOOKUP($B53,'LT08'!$B$11:$R$75,13,FALSE)="","",VLOOKUP($B53,'LT08'!$B$11:$R$75,13,FALSE)))))</f>
        <v/>
      </c>
      <c r="AK53" s="182" t="str">
        <f>IF(OR($H$6="",$H$7=""),"",IF($B53="","",IF(ISNA(VLOOKUP($B53,'LT08'!$B$11:$R$75,14,FALSE)),"",VLOOKUP($B53,'LT08'!$B$11:$R$75,14,FALSE))))</f>
        <v/>
      </c>
      <c r="AL53" s="183"/>
      <c r="AM53" s="182" t="str">
        <f>IF(OR($H$6="",$H$7=""),"",IF($B53="","",IF(ISNA(VLOOKUP($B53,'LT08'!$B$11:$R$75,17,FALSE)),"",VLOOKUP($B53,'LT08'!$B$11:$R$75,17,FALSE))))</f>
        <v/>
      </c>
      <c r="AN53" s="185" t="str">
        <f>IF(OR($H$6="",$H$7=""),"",IF($B53="","",IF(ISNA(VLOOKUP($B53,'LT09'!$B$11:$R$75,13,FALSE)),"",IF(VLOOKUP($B53,'LT09'!$B$11:$R$75,13,FALSE)="","",VLOOKUP($B53,'LT09'!$B$11:$R$75,13,FALSE)))))</f>
        <v/>
      </c>
      <c r="AO53" s="182" t="str">
        <f>IF(OR($H$6="",$H$7=""),"",IF($B53="","",IF(ISNA(VLOOKUP($B53,'LT09'!$B$11:$R$75,14,FALSE)),"",VLOOKUP($B53,'LT09'!$B$11:$R$75,14,FALSE))))</f>
        <v/>
      </c>
      <c r="AP53" s="183"/>
      <c r="AQ53" s="182" t="str">
        <f>IF(OR($H$6="",$H$7=""),"",IF($B53="","",IF(ISNA(VLOOKUP($B53,'LT09'!$B$11:$R$75,17,FALSE)),"",VLOOKUP($B53,'LT09'!$B$11:$R$75,17,FALSE))))</f>
        <v/>
      </c>
      <c r="AR53" s="186"/>
      <c r="AS53" s="182" t="str">
        <f>IF(OR($H$6="",$H$7=""),"",IF($B53="","",IF(ISNA(VLOOKUP($B53,'TH01'!$B$11:$R$75,14,FALSE)),"",VLOOKUP($B53,'TH01'!$B$11:$R$75,14,FALSE))))</f>
        <v/>
      </c>
      <c r="AT53" s="183"/>
      <c r="AU53" s="187"/>
      <c r="AV53" s="186"/>
      <c r="AW53" s="182" t="str">
        <f>IF(OR($H$6="",$H$7=""),"",IF($B53="","",IF(ISNA(VLOOKUP($B53,'TH02'!$B$11:$R$75,14,FALSE)),"",VLOOKUP($B53,'TH02'!$B$11:$R$75,14,FALSE))))</f>
        <v/>
      </c>
      <c r="AX53" s="183"/>
      <c r="AY53" s="187"/>
      <c r="AZ53" s="54" t="str">
        <f t="shared" si="24"/>
        <v/>
      </c>
      <c r="BA53" s="54" t="str">
        <f t="shared" si="0"/>
        <v/>
      </c>
      <c r="BB53" s="70"/>
      <c r="BC53" s="52" t="str">
        <f t="shared" si="25"/>
        <v/>
      </c>
      <c r="BD53" s="52" t="str">
        <f t="shared" si="26"/>
        <v/>
      </c>
      <c r="BE53" s="52" t="str">
        <f t="shared" si="86"/>
        <v/>
      </c>
      <c r="BF53" s="149" t="str">
        <f t="shared" si="87"/>
        <v/>
      </c>
      <c r="BG53" s="52" t="str">
        <f t="shared" si="88"/>
        <v/>
      </c>
      <c r="BH53" s="52" t="str">
        <f t="shared" si="89"/>
        <v/>
      </c>
      <c r="BI53" s="52" t="str">
        <f t="shared" si="90"/>
        <v/>
      </c>
      <c r="BJ53" s="52" t="str">
        <f t="shared" si="91"/>
        <v/>
      </c>
      <c r="BK53" s="54" t="str">
        <f t="shared" si="92"/>
        <v/>
      </c>
      <c r="BL53" s="54" t="str">
        <f t="shared" si="93"/>
        <v/>
      </c>
      <c r="BM53" s="54" t="str">
        <f t="shared" si="94"/>
        <v/>
      </c>
      <c r="BN53" s="54" t="str">
        <f t="shared" si="95"/>
        <v/>
      </c>
      <c r="BO53" s="70"/>
      <c r="BP53" s="52" t="str">
        <f>IF(ISNA(VLOOKUP(B53,'TICH LUY'!B:D,2,0)),"",VLOOKUP(B53,'TICH LUY'!B:D,2,0)+BI53)</f>
        <v/>
      </c>
      <c r="BQ53" s="52" t="str">
        <f>IF(ISNA(VLOOKUP(B53,'TICH LUY'!B:D,3,0)),"",VLOOKUP(B53,'TICH LUY'!B:D,3,0)+BJ53)</f>
        <v/>
      </c>
      <c r="BR53" s="40" t="str">
        <f t="shared" si="96"/>
        <v/>
      </c>
      <c r="BS53" s="452" t="str">
        <f t="shared" si="97"/>
        <v/>
      </c>
      <c r="BT53" s="452" t="str">
        <f t="shared" si="98"/>
        <v/>
      </c>
      <c r="BU53" s="452" t="str">
        <f t="shared" si="99"/>
        <v/>
      </c>
      <c r="BV53" s="452" t="str">
        <f t="shared" si="100"/>
        <v/>
      </c>
      <c r="BW53" s="452" t="str">
        <f t="shared" si="101"/>
        <v/>
      </c>
      <c r="BX53" s="452" t="str">
        <f t="shared" si="102"/>
        <v/>
      </c>
      <c r="BY53" s="452" t="str">
        <f t="shared" si="103"/>
        <v/>
      </c>
      <c r="BZ53" s="452" t="str">
        <f t="shared" si="28"/>
        <v/>
      </c>
      <c r="CA53" s="452" t="str">
        <f t="shared" si="29"/>
        <v/>
      </c>
      <c r="CB53" s="452" t="str">
        <f t="shared" si="30"/>
        <v/>
      </c>
      <c r="CC53" s="452" t="str">
        <f t="shared" si="104"/>
        <v/>
      </c>
      <c r="CD53" s="40" t="str">
        <f t="shared" si="31"/>
        <v/>
      </c>
      <c r="CE53" s="453" t="str">
        <f t="shared" si="80"/>
        <v/>
      </c>
      <c r="CF53" s="452" t="str">
        <f t="shared" si="32"/>
        <v/>
      </c>
      <c r="CG53" s="452" t="str">
        <f t="shared" si="81"/>
        <v/>
      </c>
      <c r="CH53" s="452" t="str">
        <f t="shared" si="82"/>
        <v/>
      </c>
      <c r="CI53" s="452" t="str">
        <f t="shared" si="83"/>
        <v/>
      </c>
      <c r="CJ53" s="452" t="str">
        <f t="shared" si="84"/>
        <v/>
      </c>
      <c r="CK53" s="452" t="str">
        <f t="shared" si="85"/>
        <v/>
      </c>
      <c r="CL53" s="452" t="str">
        <f t="shared" si="33"/>
        <v/>
      </c>
      <c r="CM53" s="452" t="str">
        <f t="shared" si="34"/>
        <v/>
      </c>
      <c r="CN53" s="452" t="str">
        <f t="shared" si="35"/>
        <v/>
      </c>
      <c r="CO53" s="452" t="str">
        <f t="shared" si="105"/>
        <v/>
      </c>
      <c r="CP53" s="454" t="str">
        <f t="shared" si="36"/>
        <v/>
      </c>
      <c r="CQ53" s="527" t="str">
        <f>IF(OR(ISNA(VLOOKUP($B53,'TICH LUY'!$B$11:$BY$85,54,0)),$B53=""),"",VLOOKUP($B53,'TICH LUY'!$B$11:$BY$85,54,0))</f>
        <v/>
      </c>
      <c r="CR53" s="507" t="str">
        <f>IF(OR(ISNA(VLOOKUP($B53,'TICH LUY'!$B$11:$BY$85,55,0)),$B53=""),"",VLOOKUP($B53,'TICH LUY'!$B$11:$BY$85,55,0))</f>
        <v/>
      </c>
      <c r="CS53" s="507" t="str">
        <f>IF(OR(ISNA(VLOOKUP($B53,'TICH LUY'!$B$11:$BY$85,56,0)),$B53=""),"",VLOOKUP($B53,'TICH LUY'!$B$11:$BY$85,56,0))</f>
        <v/>
      </c>
      <c r="CT53" s="507" t="str">
        <f>IF(OR(ISNA(VLOOKUP($B53,'TICH LUY'!$B$11:$BY$85,57,0)),$B53=""),"",VLOOKUP($B53,'TICH LUY'!$B$11:$BY$85,57,0))</f>
        <v/>
      </c>
      <c r="CU53" s="507" t="str">
        <f>IF(OR(ISNA(VLOOKUP($B53,'TICH LUY'!$B$11:$BY$85,58,0)),$B53=""),"",VLOOKUP($B53,'TICH LUY'!$B$11:$BY$85,58,0))</f>
        <v/>
      </c>
      <c r="CV53" s="507" t="str">
        <f>IF(OR(ISNA(VLOOKUP($B53,'TICH LUY'!$B$11:$BY$85,59,0)),$B53=""),"",VLOOKUP($B53,'TICH LUY'!$B$11:$BY$85,59,0))</f>
        <v/>
      </c>
      <c r="CW53" s="507" t="str">
        <f>IF(OR(ISNA(VLOOKUP($B53,'TICH LUY'!$B$11:$BY$85,60,0)),$B53=""),"",VLOOKUP($B53,'TICH LUY'!$B$11:$BY$85,60,0))</f>
        <v/>
      </c>
      <c r="CX53" s="507" t="str">
        <f>IF(OR(ISNA(VLOOKUP($B53,'TICH LUY'!$B$11:$BY$85,61,0)),$B53=""),"",VLOOKUP($B53,'TICH LUY'!$B$11:$BY$85,61,0))</f>
        <v/>
      </c>
      <c r="CY53" s="507" t="str">
        <f>IF(OR(ISNA(VLOOKUP($B53,'TICH LUY'!$B$11:$BY$85,62,0)),$B53=""),"",VLOOKUP($B53,'TICH LUY'!$B$11:$BY$85,62,0))</f>
        <v/>
      </c>
      <c r="CZ53" s="507" t="str">
        <f>IF(OR(ISNA(VLOOKUP($B53,'TICH LUY'!$B$11:$BY$85,63,0)),$B53=""),"",VLOOKUP($B53,'TICH LUY'!$B$11:$BY$85,63,0))</f>
        <v/>
      </c>
      <c r="DA53" s="507" t="str">
        <f>IF(OR(ISNA(VLOOKUP($B53,'TICH LUY'!$B$11:$BY$85,64,0)),$B53=""),"",VLOOKUP($B53,'TICH LUY'!$B$11:$BY$85,64,0))</f>
        <v/>
      </c>
      <c r="DB53" s="507" t="str">
        <f>IF(OR(ISNA(VLOOKUP($B53,'TICH LUY'!$B$11:$BY$85,65,0)),$B53=""),"",VLOOKUP($B53,'TICH LUY'!$B$11:$BY$85,65,0))</f>
        <v/>
      </c>
      <c r="DC53" s="507" t="str">
        <f>IF(OR(ISNA(VLOOKUP($B53,'TICH LUY'!$B$11:$BY$85,66,0)),$B53=""),"",VLOOKUP($B53,'TICH LUY'!$B$11:$BY$85,66,0))</f>
        <v/>
      </c>
      <c r="DD53" s="507" t="str">
        <f>IF(OR(ISNA(VLOOKUP($B53,'TICH LUY'!$B$11:$BY$85,67,0)),$B53=""),"",VLOOKUP($B53,'TICH LUY'!$B$11:$BY$85,67,0))</f>
        <v/>
      </c>
      <c r="DE53" s="507" t="str">
        <f>IF(OR(ISNA(VLOOKUP($B53,'TICH LUY'!$B$11:$BY$85,68,0)),$B53=""),"",VLOOKUP($B53,'TICH LUY'!$B$11:$BY$85,68,0))</f>
        <v/>
      </c>
      <c r="DF53" s="507" t="str">
        <f>IF(OR(ISNA(VLOOKUP($B53,'TICH LUY'!$B$11:$BY$85,69,0)),$B53=""),"",VLOOKUP($B53,'TICH LUY'!$B$11:$BY$85,69,0))</f>
        <v/>
      </c>
      <c r="DG53" s="507" t="str">
        <f>IF(OR(ISNA(VLOOKUP($B53,'TICH LUY'!$B$11:$BY$85,70,0)),$B53=""),"",VLOOKUP($B53,'TICH LUY'!$B$11:$BY$85,70,0))</f>
        <v/>
      </c>
      <c r="DH53" s="507" t="str">
        <f>IF(OR(ISNA(VLOOKUP($B53,'TICH LUY'!$B$11:$BY$85,71,0)),$B53=""),"",VLOOKUP($B53,'TICH LUY'!$B$11:$BY$85,71,0))</f>
        <v/>
      </c>
      <c r="DI53" s="507" t="str">
        <f>IF(OR(ISNA(VLOOKUP($B53,'TICH LUY'!$B$11:$BY$85,72,0)),$B53=""),"",VLOOKUP($B53,'TICH LUY'!$B$11:$BY$85,72,0))</f>
        <v/>
      </c>
      <c r="DJ53" s="507" t="str">
        <f>IF(OR(ISNA(VLOOKUP($B53,'TICH LUY'!$B$11:$BY$85,73,0)),$B53=""),"",VLOOKUP($B53,'TICH LUY'!$B$11:$BY$85,73,0))</f>
        <v/>
      </c>
      <c r="DK53" s="507" t="str">
        <f>IF(OR(ISNA(VLOOKUP($B53,'TICH LUY'!$B$11:$BY$85,74,0)),$B53=""),"",VLOOKUP($B53,'TICH LUY'!$B$11:$BY$85,74,0))</f>
        <v/>
      </c>
      <c r="DL53" s="507" t="str">
        <f>IF(OR(ISNA(VLOOKUP($B53,'TICH LUY'!$B$11:$BY$85,75,0)),$B53=""),"",VLOOKUP($B53,'TICH LUY'!$B$11:$BY$85,75,0))</f>
        <v/>
      </c>
      <c r="DM53" s="529" t="str">
        <f>IF(OR(ISNA(VLOOKUP($B53,'TICH LUY'!$B$11:$BY$85,76,0)),$B53=""),"",VLOOKUP($B53,'TICH LUY'!$B$11:$BY$85,76,0))</f>
        <v/>
      </c>
      <c r="DN53" s="455" t="str">
        <f t="shared" si="37"/>
        <v/>
      </c>
      <c r="DO53" s="456" t="str">
        <f t="shared" si="38"/>
        <v/>
      </c>
      <c r="DP53" s="456" t="str">
        <f t="shared" si="39"/>
        <v/>
      </c>
      <c r="DQ53" s="456" t="str">
        <f t="shared" si="40"/>
        <v/>
      </c>
      <c r="DR53" s="456" t="str">
        <f t="shared" si="41"/>
        <v/>
      </c>
      <c r="DS53" s="456" t="str">
        <f t="shared" si="42"/>
        <v/>
      </c>
      <c r="DT53" s="456" t="str">
        <f t="shared" si="43"/>
        <v/>
      </c>
      <c r="DU53" s="456" t="str">
        <f t="shared" si="44"/>
        <v/>
      </c>
      <c r="DV53" s="456" t="str">
        <f t="shared" si="45"/>
        <v/>
      </c>
      <c r="DW53" s="456" t="str">
        <f t="shared" si="46"/>
        <v/>
      </c>
      <c r="DX53" s="456" t="str">
        <f t="shared" si="47"/>
        <v/>
      </c>
      <c r="DY53" s="457" t="str">
        <f t="shared" si="48"/>
        <v/>
      </c>
      <c r="DZ53" s="453" t="str">
        <f t="shared" si="49"/>
        <v/>
      </c>
      <c r="EA53" s="452" t="str">
        <f t="shared" si="50"/>
        <v/>
      </c>
      <c r="EB53" s="452" t="str">
        <f t="shared" si="51"/>
        <v/>
      </c>
      <c r="EC53" s="452" t="str">
        <f t="shared" si="52"/>
        <v/>
      </c>
      <c r="ED53" s="452" t="str">
        <f t="shared" si="53"/>
        <v/>
      </c>
      <c r="EE53" s="452" t="str">
        <f t="shared" si="54"/>
        <v/>
      </c>
      <c r="EF53" s="452" t="str">
        <f t="shared" si="55"/>
        <v/>
      </c>
      <c r="EG53" s="452" t="str">
        <f t="shared" si="56"/>
        <v/>
      </c>
      <c r="EH53" s="452" t="str">
        <f t="shared" si="57"/>
        <v/>
      </c>
      <c r="EI53" s="453" t="str">
        <f t="shared" si="58"/>
        <v/>
      </c>
      <c r="EJ53" s="452" t="str">
        <f t="shared" si="59"/>
        <v/>
      </c>
      <c r="EK53" s="452" t="str">
        <f t="shared" si="60"/>
        <v/>
      </c>
      <c r="EL53" s="452" t="str">
        <f t="shared" si="61"/>
        <v/>
      </c>
      <c r="EM53" s="452" t="str">
        <f t="shared" si="62"/>
        <v/>
      </c>
      <c r="EN53" s="452" t="str">
        <f t="shared" si="63"/>
        <v/>
      </c>
      <c r="EO53" s="452" t="str">
        <f t="shared" si="64"/>
        <v/>
      </c>
      <c r="EP53" s="452" t="str">
        <f t="shared" si="65"/>
        <v/>
      </c>
      <c r="EQ53" s="452" t="str">
        <f t="shared" si="66"/>
        <v/>
      </c>
      <c r="ER53" s="452" t="str">
        <f t="shared" si="67"/>
        <v/>
      </c>
      <c r="ES53" s="452" t="str">
        <f t="shared" si="106"/>
        <v/>
      </c>
      <c r="ET53" s="458" t="str">
        <f t="shared" si="68"/>
        <v/>
      </c>
      <c r="EU53" s="527" t="str">
        <f>IF(OR(ISNA(VLOOKUP($B53,'TICH LUY'!$B$11:$BY$85,54,0)),$B53=""),"",VLOOKUP($B53,'TICH LUY'!$B$11:$BY$85,54,0))</f>
        <v/>
      </c>
      <c r="EV53" s="507" t="str">
        <f>IF(OR(ISNA(VLOOKUP($B53,'TICH LUY'!$B$11:$BY$85,55,0)),$B53=""),"",VLOOKUP($B53,'TICH LUY'!$B$11:$BY$85,55,0))</f>
        <v/>
      </c>
      <c r="EW53" s="507" t="str">
        <f>IF(OR(ISNA(VLOOKUP($B53,'TICH LUY'!$B$11:$BY$85,56,0)),$B53=""),"",VLOOKUP($B53,'TICH LUY'!$B$11:$BY$85,56,0))</f>
        <v/>
      </c>
      <c r="EX53" s="507" t="str">
        <f>IF(OR(ISNA(VLOOKUP($B53,'TICH LUY'!$B$11:$BY$85,57,0)),$B53=""),"",VLOOKUP($B53,'TICH LUY'!$B$11:$BY$85,57,0))</f>
        <v/>
      </c>
      <c r="EY53" s="507" t="str">
        <f>IF(OR(ISNA(VLOOKUP($B53,'TICH LUY'!$B$11:$BY$85,58,0)),$B53=""),"",VLOOKUP($B53,'TICH LUY'!$B$11:$BY$85,58,0))</f>
        <v/>
      </c>
      <c r="EZ53" s="507" t="str">
        <f>IF(OR(ISNA(VLOOKUP($B53,'TICH LUY'!$B$11:$BY$85,59,0)),$B53=""),"",VLOOKUP($B53,'TICH LUY'!$B$11:$BY$85,59,0))</f>
        <v/>
      </c>
      <c r="FA53" s="507" t="str">
        <f>IF(OR(ISNA(VLOOKUP($B53,'TICH LUY'!$B$11:$BY$85,60,0)),$B53=""),"",VLOOKUP($B53,'TICH LUY'!$B$11:$BY$85,60,0))</f>
        <v/>
      </c>
      <c r="FB53" s="507" t="str">
        <f>IF(OR(ISNA(VLOOKUP($B53,'TICH LUY'!$B$11:$BY$85,61,0)),$B53=""),"",VLOOKUP($B53,'TICH LUY'!$B$11:$BY$85,61,0))</f>
        <v/>
      </c>
      <c r="FC53" s="507" t="str">
        <f>IF(OR(ISNA(VLOOKUP($B53,'TICH LUY'!$B$11:$BY$85,62,0)),$B53=""),"",VLOOKUP($B53,'TICH LUY'!$B$11:$BY$85,62,0))</f>
        <v/>
      </c>
      <c r="FD53" s="507" t="str">
        <f>IF(OR(ISNA(VLOOKUP($B53,'TICH LUY'!$B$11:$BY$85,63,0)),$B53=""),"",VLOOKUP($B53,'TICH LUY'!$B$11:$BY$85,63,0))</f>
        <v/>
      </c>
      <c r="FE53" s="507" t="str">
        <f>IF(OR(ISNA(VLOOKUP($B53,'TICH LUY'!$B$11:$BY$85,64,0)),$B53=""),"",VLOOKUP($B53,'TICH LUY'!$B$11:$BY$85,64,0))</f>
        <v/>
      </c>
      <c r="FF53" s="507" t="str">
        <f>IF(OR(ISNA(VLOOKUP($B53,'TICH LUY'!$B$11:$BY$85,65,0)),$B53=""),"",VLOOKUP($B53,'TICH LUY'!$B$11:$BY$85,65,0))</f>
        <v/>
      </c>
      <c r="FG53" s="507" t="str">
        <f>IF(OR(ISNA(VLOOKUP($B53,'TICH LUY'!$B$11:$BY$85,66,0)),$B53=""),"",VLOOKUP($B53,'TICH LUY'!$B$11:$BY$85,66,0))</f>
        <v/>
      </c>
      <c r="FH53" s="507" t="str">
        <f>IF(OR(ISNA(VLOOKUP($B53,'TICH LUY'!$B$11:$BY$85,67,0)),$B53=""),"",VLOOKUP($B53,'TICH LUY'!$B$11:$BY$85,67,0))</f>
        <v/>
      </c>
      <c r="FI53" s="507" t="str">
        <f>IF(OR(ISNA(VLOOKUP($B53,'TICH LUY'!$B$11:$BY$85,68,0)),$B53=""),"",VLOOKUP($B53,'TICH LUY'!$B$11:$BY$85,68,0))</f>
        <v/>
      </c>
      <c r="FJ53" s="507" t="str">
        <f>IF(OR(ISNA(VLOOKUP($B53,'TICH LUY'!$B$11:$BY$85,69,0)),$B53=""),"",VLOOKUP($B53,'TICH LUY'!$B$11:$BY$85,69,0))</f>
        <v/>
      </c>
      <c r="FK53" s="507" t="str">
        <f>IF(OR(ISNA(VLOOKUP($B53,'TICH LUY'!$B$11:$BY$85,70,0)),$B53=""),"",VLOOKUP($B53,'TICH LUY'!$B$11:$BY$85,70,0))</f>
        <v/>
      </c>
      <c r="FL53" s="507" t="str">
        <f>IF(OR(ISNA(VLOOKUP($B53,'TICH LUY'!$B$11:$BY$85,71,0)),$B53=""),"",VLOOKUP($B53,'TICH LUY'!$B$11:$BY$85,71,0))</f>
        <v/>
      </c>
      <c r="FM53" s="507" t="str">
        <f>IF(OR(ISNA(VLOOKUP($B53,'TICH LUY'!$B$11:$BY$85,72,0)),$B53=""),"",VLOOKUP($B53,'TICH LUY'!$B$11:$BY$85,72,0))</f>
        <v/>
      </c>
      <c r="FN53" s="507" t="str">
        <f>IF(OR(ISNA(VLOOKUP($B53,'TICH LUY'!$B$11:$BY$85,73,0)),$B53=""),"",VLOOKUP($B53,'TICH LUY'!$B$11:$BY$85,73,0))</f>
        <v/>
      </c>
      <c r="FO53" s="507" t="str">
        <f>IF(OR(ISNA(VLOOKUP($B53,'TICH LUY'!$B$11:$BY$85,74,0)),$B53=""),"",VLOOKUP($B53,'TICH LUY'!$B$11:$BY$85,74,0))</f>
        <v/>
      </c>
      <c r="FP53" s="507" t="str">
        <f>IF(OR(ISNA(VLOOKUP($B53,'TICH LUY'!$B$11:$BY$85,75,0)),$B53=""),"",VLOOKUP($B53,'TICH LUY'!$B$11:$BY$85,75,0))</f>
        <v/>
      </c>
      <c r="FQ53" s="529" t="str">
        <f>IF(OR(ISNA(VLOOKUP($B53,'TICH LUY'!$B$11:$BY$85,76,0)),$B53=""),"",VLOOKUP($B53,'TICH LUY'!$B$11:$BY$85,76,0))</f>
        <v/>
      </c>
      <c r="FR53" s="455" t="str">
        <f t="shared" si="69"/>
        <v/>
      </c>
      <c r="FS53" s="456" t="str">
        <f t="shared" si="70"/>
        <v/>
      </c>
      <c r="FT53" s="456" t="str">
        <f t="shared" si="71"/>
        <v/>
      </c>
      <c r="FU53" s="456" t="str">
        <f t="shared" si="72"/>
        <v/>
      </c>
      <c r="FV53" s="456" t="str">
        <f t="shared" si="73"/>
        <v/>
      </c>
      <c r="FW53" s="456" t="str">
        <f t="shared" si="74"/>
        <v/>
      </c>
      <c r="FX53" s="456" t="str">
        <f t="shared" si="75"/>
        <v/>
      </c>
      <c r="FY53" s="456" t="str">
        <f t="shared" si="76"/>
        <v/>
      </c>
      <c r="FZ53" s="456" t="str">
        <f t="shared" si="77"/>
        <v/>
      </c>
      <c r="GA53" s="456" t="str">
        <f t="shared" si="78"/>
        <v/>
      </c>
      <c r="GB53" s="459" t="str">
        <f t="shared" si="79"/>
        <v/>
      </c>
      <c r="GC53" s="457" t="str">
        <f t="shared" si="107"/>
        <v/>
      </c>
    </row>
    <row r="54" spans="1:185" s="221" customFormat="1" ht="15.75">
      <c r="A54" s="449" t="str">
        <f>IF(B54="","",SUBTOTAL(3,$B$11:B54))</f>
        <v/>
      </c>
      <c r="B54" s="198"/>
      <c r="C54" s="450" t="str">
        <f>IF($B54="","",VLOOKUP($B54,'DS LOP HKI'!$B$2:$F$2642,2,0))</f>
        <v/>
      </c>
      <c r="D54" s="451" t="str">
        <f>IF($B54="","",VLOOKUP($B54,'DS LOP HKI'!$B$2:$F$2642,3,0))</f>
        <v/>
      </c>
      <c r="E54" s="154"/>
      <c r="F54" s="152"/>
      <c r="G54" s="156"/>
      <c r="H54" s="181" t="str">
        <f>IF(OR($H$6="",$H$7=""),"",IF($B54="","",IF(ISNA(VLOOKUP($B54,'LT01'!$B$11:$R$75,13,FALSE)),"",IF(VLOOKUP($B54,'LT01'!$B$11:$R$75,13,FALSE)="","",VLOOKUP($B54,'LT01'!$B$11:$R$75,13,FALSE)))))</f>
        <v/>
      </c>
      <c r="I54" s="182" t="str">
        <f>IF(OR($H$6="",$H$7=""),"",IF($B54="","",IF(ISNA(VLOOKUP($B54,'LT01'!$B$11:$R$75,14,FALSE)),"",VLOOKUP($B54,'LT01'!$B$11:$R$75,14,FALSE))))</f>
        <v/>
      </c>
      <c r="J54" s="183"/>
      <c r="K54" s="182" t="str">
        <f>IF(OR($H$6="",$H$7=""),"",IF($B54="","",IF(ISNA(VLOOKUP($B54,'LT01'!$B$11:$R$75,17,FALSE)),"",VLOOKUP($B54,'LT01'!$B$11:$R$75,17,FALSE))))</f>
        <v/>
      </c>
      <c r="L54" s="185" t="str">
        <f>IF(OR($H$6="",$H$7=""),"",IF($B54="","",IF(ISNA(VLOOKUP($B54,'LT02'!$B$11:$R$75,13,FALSE)),"",IF(VLOOKUP($B54,'LT02'!$B$11:$R$75,13,FALSE)="","",VLOOKUP($B54,'LT02'!$B$11:$R$75,13,FALSE)))))</f>
        <v/>
      </c>
      <c r="M54" s="182" t="str">
        <f>IF(OR($H$6="",$H$7=""),"",IF($B54="","",IF(ISNA(VLOOKUP($B54,'LT02'!$B$11:$R$75,14,FALSE)),"",VLOOKUP($B54,'LT02'!$B$11:$R$75,14,FALSE))))</f>
        <v/>
      </c>
      <c r="N54" s="183"/>
      <c r="O54" s="182" t="str">
        <f>IF(OR($H$6="",$H$7=""),"",IF($B54="","",IF(ISNA(VLOOKUP($B54,'LT02'!$B$11:$R$75,17,FALSE)),"",VLOOKUP($B54,'LT02'!$B$11:$R$75,17,FALSE))))</f>
        <v/>
      </c>
      <c r="P54" s="185" t="str">
        <f>IF(OR($H$6="",$H$7=""),"",IF($B54="","",IF(ISNA(VLOOKUP($B54,'LT03'!$B$11:$R$75,13,FALSE)),"",IF(VLOOKUP($B54,'LT03'!$B$11:$R$75,13,FALSE)="","",VLOOKUP($B54,'LT03'!$B$11:$R$75,13,FALSE)))))</f>
        <v/>
      </c>
      <c r="Q54" s="182" t="str">
        <f>IF(OR($H$6="",$H$7=""),"",IF($B54="","",IF(ISNA(VLOOKUP($B54,'LT03'!$B$11:$R$75,14,FALSE)),"",VLOOKUP($B54,'LT03'!$B$11:$R$75,14,FALSE))))</f>
        <v/>
      </c>
      <c r="R54" s="183"/>
      <c r="S54" s="182" t="str">
        <f>IF(OR($H$6="",$H$7=""),"",IF($B54="","",IF(ISNA(VLOOKUP($B54,'LT03'!$B$11:$R$75,17,FALSE)),"",VLOOKUP($B54,'LT03'!$B$11:$R$75,17,FALSE))))</f>
        <v/>
      </c>
      <c r="T54" s="185" t="str">
        <f>IF(OR($H$6="",$H$7=""),"",IF($B54="","",IF(ISNA(VLOOKUP($B54,'LT04'!$B$11:$R$75,13,FALSE)),"",IF(VLOOKUP($B54,'LT04'!$B$11:$R$75,13,FALSE)="","",VLOOKUP($B54,'LT04'!$B$11:$R$75,13,FALSE)))))</f>
        <v/>
      </c>
      <c r="U54" s="182" t="str">
        <f>IF(OR($H$6="",$H$7=""),"",IF($B54="","",IF(ISNA(VLOOKUP($B54,'LT04'!$B$11:$R$75,14,FALSE)),"",VLOOKUP($B54,'LT04'!$B$11:$R$75,14,FALSE))))</f>
        <v/>
      </c>
      <c r="V54" s="183"/>
      <c r="W54" s="184" t="str">
        <f>IF(OR($H$6="",$H$7=""),"",IF($B54="","",IF(ISNA(VLOOKUP($B54,'LT04'!$B$11:$R$75,17,FALSE)),"",VLOOKUP($B54,'LT04'!$B$11:$R$75,17,FALSE))))</f>
        <v/>
      </c>
      <c r="X54" s="185" t="str">
        <f>IF(OR($H$6="",$H$7=""),"",IF($B54="","",IF(ISNA(VLOOKUP($B54,'LT05'!$B$11:$R$75,13,FALSE)),"",IF(VLOOKUP($B54,'LT05'!$B$11:$R$75,13,FALSE)="","",VLOOKUP($B54,'LT05'!$B$11:$R$75,13,FALSE)))))</f>
        <v/>
      </c>
      <c r="Y54" s="182" t="str">
        <f>IF(OR($H$6="",$H$7=""),"",IF($B54="","",IF(ISNA(VLOOKUP($B54,'LT05'!$B$11:$R$75,14,FALSE)),"",VLOOKUP($B54,'LT05'!$B$11:$R$75,14,FALSE))))</f>
        <v/>
      </c>
      <c r="Z54" s="183"/>
      <c r="AA54" s="182" t="str">
        <f>IF(OR($H$6="",$H$7=""),"",IF($B54="","",IF(ISNA(VLOOKUP($B54,'LT05'!$B$11:$R$75,17,FALSE)),"",VLOOKUP($B54,'LT05'!$B$11:$R$75,17,FALSE))))</f>
        <v/>
      </c>
      <c r="AB54" s="185" t="str">
        <f>IF(OR($H$6="",$H$7=""),"",IF($B54="","",IF(ISNA(VLOOKUP($B54,'LT06'!$B$11:$R$75,13,FALSE)),"",IF(VLOOKUP($B54,'LT06'!$B$11:$R$75,13,FALSE)="","",VLOOKUP($B54,'LT06'!$B$11:$R$75,13,FALSE)))))</f>
        <v/>
      </c>
      <c r="AC54" s="182" t="str">
        <f>IF(OR($H$6="",$H$7=""),"",IF($B54="","",IF(ISNA(VLOOKUP($B54,'LT06'!$B$11:$R$75,14,FALSE)),"",VLOOKUP($B54,'LT06'!$B$11:$R$75,14,FALSE))))</f>
        <v/>
      </c>
      <c r="AD54" s="183"/>
      <c r="AE54" s="182" t="str">
        <f>IF(OR($H$6="",$H$7=""),"",IF($B54="","",IF(ISNA(VLOOKUP($B54,'LT06'!$B$11:$R$75,17,FALSE)),"",VLOOKUP($B54,'LT06'!$B$11:$R$75,17,FALSE))))</f>
        <v/>
      </c>
      <c r="AF54" s="185" t="str">
        <f>IF(OR($H$6="",$H$7=""),"",IF($B54="","",IF(ISNA(VLOOKUP($B54,'LT07'!$B$11:$R$75,13,FALSE)),"",IF(VLOOKUP($B54,'LT07'!$B$11:$R$75,13,FALSE)="","",VLOOKUP($B54,'LT07'!$B$11:$R$75,13,FALSE)))))</f>
        <v/>
      </c>
      <c r="AG54" s="182" t="str">
        <f>IF(OR($H$6="",$H$7=""),"",IF($B54="","",IF(ISNA(VLOOKUP($B54,'LT07'!$B$11:$R$75,14,FALSE)),"",VLOOKUP($B54,'LT07'!$B$11:$R$75,14,FALSE))))</f>
        <v/>
      </c>
      <c r="AH54" s="183"/>
      <c r="AI54" s="182" t="str">
        <f>IF(OR($H$6="",$H$7=""),"",IF($B54="","",IF(ISNA(VLOOKUP($B54,'LT07'!$B$11:$R$75,17,FALSE)),"",VLOOKUP($B54,'LT07'!$B$11:$R$75,17,FALSE))))</f>
        <v/>
      </c>
      <c r="AJ54" s="185" t="str">
        <f>IF(OR($H$6="",$H$7=""),"",IF($B54="","",IF(ISNA(VLOOKUP($B54,'LT08'!$B$11:$R$75,13,FALSE)),"",IF(VLOOKUP($B54,'LT08'!$B$11:$R$75,13,FALSE)="","",VLOOKUP($B54,'LT08'!$B$11:$R$75,13,FALSE)))))</f>
        <v/>
      </c>
      <c r="AK54" s="182" t="str">
        <f>IF(OR($H$6="",$H$7=""),"",IF($B54="","",IF(ISNA(VLOOKUP($B54,'LT08'!$B$11:$R$75,14,FALSE)),"",VLOOKUP($B54,'LT08'!$B$11:$R$75,14,FALSE))))</f>
        <v/>
      </c>
      <c r="AL54" s="183"/>
      <c r="AM54" s="182" t="str">
        <f>IF(OR($H$6="",$H$7=""),"",IF($B54="","",IF(ISNA(VLOOKUP($B54,'LT08'!$B$11:$R$75,17,FALSE)),"",VLOOKUP($B54,'LT08'!$B$11:$R$75,17,FALSE))))</f>
        <v/>
      </c>
      <c r="AN54" s="185" t="str">
        <f>IF(OR($H$6="",$H$7=""),"",IF($B54="","",IF(ISNA(VLOOKUP($B54,'LT09'!$B$11:$R$75,13,FALSE)),"",IF(VLOOKUP($B54,'LT09'!$B$11:$R$75,13,FALSE)="","",VLOOKUP($B54,'LT09'!$B$11:$R$75,13,FALSE)))))</f>
        <v/>
      </c>
      <c r="AO54" s="182" t="str">
        <f>IF(OR($H$6="",$H$7=""),"",IF($B54="","",IF(ISNA(VLOOKUP($B54,'LT09'!$B$11:$R$75,14,FALSE)),"",VLOOKUP($B54,'LT09'!$B$11:$R$75,14,FALSE))))</f>
        <v/>
      </c>
      <c r="AP54" s="183"/>
      <c r="AQ54" s="182" t="str">
        <f>IF(OR($H$6="",$H$7=""),"",IF($B54="","",IF(ISNA(VLOOKUP($B54,'LT09'!$B$11:$R$75,17,FALSE)),"",VLOOKUP($B54,'LT09'!$B$11:$R$75,17,FALSE))))</f>
        <v/>
      </c>
      <c r="AR54" s="186"/>
      <c r="AS54" s="182" t="str">
        <f>IF(OR($H$6="",$H$7=""),"",IF($B54="","",IF(ISNA(VLOOKUP($B54,'TH01'!$B$11:$R$75,14,FALSE)),"",VLOOKUP($B54,'TH01'!$B$11:$R$75,14,FALSE))))</f>
        <v/>
      </c>
      <c r="AT54" s="183"/>
      <c r="AU54" s="187"/>
      <c r="AV54" s="186"/>
      <c r="AW54" s="182" t="str">
        <f>IF(OR($H$6="",$H$7=""),"",IF($B54="","",IF(ISNA(VLOOKUP($B54,'TH02'!$B$11:$R$75,14,FALSE)),"",VLOOKUP($B54,'TH02'!$B$11:$R$75,14,FALSE))))</f>
        <v/>
      </c>
      <c r="AX54" s="183"/>
      <c r="AY54" s="187"/>
      <c r="AZ54" s="54" t="str">
        <f t="shared" si="24"/>
        <v/>
      </c>
      <c r="BA54" s="54" t="str">
        <f t="shared" si="0"/>
        <v/>
      </c>
      <c r="BB54" s="70"/>
      <c r="BC54" s="52" t="str">
        <f t="shared" si="25"/>
        <v/>
      </c>
      <c r="BD54" s="52" t="str">
        <f t="shared" si="26"/>
        <v/>
      </c>
      <c r="BE54" s="52" t="str">
        <f t="shared" si="86"/>
        <v/>
      </c>
      <c r="BF54" s="149" t="str">
        <f t="shared" si="87"/>
        <v/>
      </c>
      <c r="BG54" s="52" t="str">
        <f t="shared" si="88"/>
        <v/>
      </c>
      <c r="BH54" s="52" t="str">
        <f t="shared" si="89"/>
        <v/>
      </c>
      <c r="BI54" s="52" t="str">
        <f t="shared" si="90"/>
        <v/>
      </c>
      <c r="BJ54" s="52" t="str">
        <f t="shared" si="91"/>
        <v/>
      </c>
      <c r="BK54" s="54" t="str">
        <f t="shared" si="92"/>
        <v/>
      </c>
      <c r="BL54" s="54" t="str">
        <f t="shared" si="93"/>
        <v/>
      </c>
      <c r="BM54" s="54" t="str">
        <f t="shared" si="94"/>
        <v/>
      </c>
      <c r="BN54" s="54" t="str">
        <f t="shared" si="95"/>
        <v/>
      </c>
      <c r="BO54" s="70"/>
      <c r="BP54" s="52" t="str">
        <f>IF(ISNA(VLOOKUP(B54,'TICH LUY'!B:D,2,0)),"",VLOOKUP(B54,'TICH LUY'!B:D,2,0)+BI54)</f>
        <v/>
      </c>
      <c r="BQ54" s="52" t="str">
        <f>IF(ISNA(VLOOKUP(B54,'TICH LUY'!B:D,3,0)),"",VLOOKUP(B54,'TICH LUY'!B:D,3,0)+BJ54)</f>
        <v/>
      </c>
      <c r="BR54" s="40" t="str">
        <f t="shared" si="96"/>
        <v/>
      </c>
      <c r="BS54" s="452" t="str">
        <f t="shared" si="97"/>
        <v/>
      </c>
      <c r="BT54" s="452" t="str">
        <f t="shared" si="98"/>
        <v/>
      </c>
      <c r="BU54" s="452" t="str">
        <f t="shared" si="99"/>
        <v/>
      </c>
      <c r="BV54" s="452" t="str">
        <f t="shared" si="100"/>
        <v/>
      </c>
      <c r="BW54" s="452" t="str">
        <f t="shared" si="101"/>
        <v/>
      </c>
      <c r="BX54" s="452" t="str">
        <f t="shared" si="102"/>
        <v/>
      </c>
      <c r="BY54" s="452" t="str">
        <f t="shared" si="103"/>
        <v/>
      </c>
      <c r="BZ54" s="452" t="str">
        <f t="shared" si="28"/>
        <v/>
      </c>
      <c r="CA54" s="452" t="str">
        <f t="shared" si="29"/>
        <v/>
      </c>
      <c r="CB54" s="452" t="str">
        <f t="shared" si="30"/>
        <v/>
      </c>
      <c r="CC54" s="452" t="str">
        <f t="shared" si="104"/>
        <v/>
      </c>
      <c r="CD54" s="40" t="str">
        <f t="shared" si="31"/>
        <v/>
      </c>
      <c r="CE54" s="453" t="str">
        <f t="shared" si="80"/>
        <v/>
      </c>
      <c r="CF54" s="452" t="str">
        <f t="shared" si="32"/>
        <v/>
      </c>
      <c r="CG54" s="452" t="str">
        <f t="shared" si="81"/>
        <v/>
      </c>
      <c r="CH54" s="452" t="str">
        <f t="shared" si="82"/>
        <v/>
      </c>
      <c r="CI54" s="452" t="str">
        <f t="shared" si="83"/>
        <v/>
      </c>
      <c r="CJ54" s="452" t="str">
        <f t="shared" si="84"/>
        <v/>
      </c>
      <c r="CK54" s="452" t="str">
        <f t="shared" si="85"/>
        <v/>
      </c>
      <c r="CL54" s="452" t="str">
        <f t="shared" si="33"/>
        <v/>
      </c>
      <c r="CM54" s="452" t="str">
        <f t="shared" si="34"/>
        <v/>
      </c>
      <c r="CN54" s="452" t="str">
        <f t="shared" si="35"/>
        <v/>
      </c>
      <c r="CO54" s="452" t="str">
        <f t="shared" si="105"/>
        <v/>
      </c>
      <c r="CP54" s="454" t="str">
        <f t="shared" si="36"/>
        <v/>
      </c>
      <c r="CQ54" s="527" t="str">
        <f>IF(OR(ISNA(VLOOKUP($B54,'TICH LUY'!$B$11:$BY$85,54,0)),$B54=""),"",VLOOKUP($B54,'TICH LUY'!$B$11:$BY$85,54,0))</f>
        <v/>
      </c>
      <c r="CR54" s="507" t="str">
        <f>IF(OR(ISNA(VLOOKUP($B54,'TICH LUY'!$B$11:$BY$85,55,0)),$B54=""),"",VLOOKUP($B54,'TICH LUY'!$B$11:$BY$85,55,0))</f>
        <v/>
      </c>
      <c r="CS54" s="507" t="str">
        <f>IF(OR(ISNA(VLOOKUP($B54,'TICH LUY'!$B$11:$BY$85,56,0)),$B54=""),"",VLOOKUP($B54,'TICH LUY'!$B$11:$BY$85,56,0))</f>
        <v/>
      </c>
      <c r="CT54" s="507" t="str">
        <f>IF(OR(ISNA(VLOOKUP($B54,'TICH LUY'!$B$11:$BY$85,57,0)),$B54=""),"",VLOOKUP($B54,'TICH LUY'!$B$11:$BY$85,57,0))</f>
        <v/>
      </c>
      <c r="CU54" s="507" t="str">
        <f>IF(OR(ISNA(VLOOKUP($B54,'TICH LUY'!$B$11:$BY$85,58,0)),$B54=""),"",VLOOKUP($B54,'TICH LUY'!$B$11:$BY$85,58,0))</f>
        <v/>
      </c>
      <c r="CV54" s="507" t="str">
        <f>IF(OR(ISNA(VLOOKUP($B54,'TICH LUY'!$B$11:$BY$85,59,0)),$B54=""),"",VLOOKUP($B54,'TICH LUY'!$B$11:$BY$85,59,0))</f>
        <v/>
      </c>
      <c r="CW54" s="507" t="str">
        <f>IF(OR(ISNA(VLOOKUP($B54,'TICH LUY'!$B$11:$BY$85,60,0)),$B54=""),"",VLOOKUP($B54,'TICH LUY'!$B$11:$BY$85,60,0))</f>
        <v/>
      </c>
      <c r="CX54" s="507" t="str">
        <f>IF(OR(ISNA(VLOOKUP($B54,'TICH LUY'!$B$11:$BY$85,61,0)),$B54=""),"",VLOOKUP($B54,'TICH LUY'!$B$11:$BY$85,61,0))</f>
        <v/>
      </c>
      <c r="CY54" s="507" t="str">
        <f>IF(OR(ISNA(VLOOKUP($B54,'TICH LUY'!$B$11:$BY$85,62,0)),$B54=""),"",VLOOKUP($B54,'TICH LUY'!$B$11:$BY$85,62,0))</f>
        <v/>
      </c>
      <c r="CZ54" s="507" t="str">
        <f>IF(OR(ISNA(VLOOKUP($B54,'TICH LUY'!$B$11:$BY$85,63,0)),$B54=""),"",VLOOKUP($B54,'TICH LUY'!$B$11:$BY$85,63,0))</f>
        <v/>
      </c>
      <c r="DA54" s="507" t="str">
        <f>IF(OR(ISNA(VLOOKUP($B54,'TICH LUY'!$B$11:$BY$85,64,0)),$B54=""),"",VLOOKUP($B54,'TICH LUY'!$B$11:$BY$85,64,0))</f>
        <v/>
      </c>
      <c r="DB54" s="507" t="str">
        <f>IF(OR(ISNA(VLOOKUP($B54,'TICH LUY'!$B$11:$BY$85,65,0)),$B54=""),"",VLOOKUP($B54,'TICH LUY'!$B$11:$BY$85,65,0))</f>
        <v/>
      </c>
      <c r="DC54" s="507" t="str">
        <f>IF(OR(ISNA(VLOOKUP($B54,'TICH LUY'!$B$11:$BY$85,66,0)),$B54=""),"",VLOOKUP($B54,'TICH LUY'!$B$11:$BY$85,66,0))</f>
        <v/>
      </c>
      <c r="DD54" s="507" t="str">
        <f>IF(OR(ISNA(VLOOKUP($B54,'TICH LUY'!$B$11:$BY$85,67,0)),$B54=""),"",VLOOKUP($B54,'TICH LUY'!$B$11:$BY$85,67,0))</f>
        <v/>
      </c>
      <c r="DE54" s="507" t="str">
        <f>IF(OR(ISNA(VLOOKUP($B54,'TICH LUY'!$B$11:$BY$85,68,0)),$B54=""),"",VLOOKUP($B54,'TICH LUY'!$B$11:$BY$85,68,0))</f>
        <v/>
      </c>
      <c r="DF54" s="507" t="str">
        <f>IF(OR(ISNA(VLOOKUP($B54,'TICH LUY'!$B$11:$BY$85,69,0)),$B54=""),"",VLOOKUP($B54,'TICH LUY'!$B$11:$BY$85,69,0))</f>
        <v/>
      </c>
      <c r="DG54" s="507" t="str">
        <f>IF(OR(ISNA(VLOOKUP($B54,'TICH LUY'!$B$11:$BY$85,70,0)),$B54=""),"",VLOOKUP($B54,'TICH LUY'!$B$11:$BY$85,70,0))</f>
        <v/>
      </c>
      <c r="DH54" s="507" t="str">
        <f>IF(OR(ISNA(VLOOKUP($B54,'TICH LUY'!$B$11:$BY$85,71,0)),$B54=""),"",VLOOKUP($B54,'TICH LUY'!$B$11:$BY$85,71,0))</f>
        <v/>
      </c>
      <c r="DI54" s="507" t="str">
        <f>IF(OR(ISNA(VLOOKUP($B54,'TICH LUY'!$B$11:$BY$85,72,0)),$B54=""),"",VLOOKUP($B54,'TICH LUY'!$B$11:$BY$85,72,0))</f>
        <v/>
      </c>
      <c r="DJ54" s="507" t="str">
        <f>IF(OR(ISNA(VLOOKUP($B54,'TICH LUY'!$B$11:$BY$85,73,0)),$B54=""),"",VLOOKUP($B54,'TICH LUY'!$B$11:$BY$85,73,0))</f>
        <v/>
      </c>
      <c r="DK54" s="507" t="str">
        <f>IF(OR(ISNA(VLOOKUP($B54,'TICH LUY'!$B$11:$BY$85,74,0)),$B54=""),"",VLOOKUP($B54,'TICH LUY'!$B$11:$BY$85,74,0))</f>
        <v/>
      </c>
      <c r="DL54" s="507" t="str">
        <f>IF(OR(ISNA(VLOOKUP($B54,'TICH LUY'!$B$11:$BY$85,75,0)),$B54=""),"",VLOOKUP($B54,'TICH LUY'!$B$11:$BY$85,75,0))</f>
        <v/>
      </c>
      <c r="DM54" s="529" t="str">
        <f>IF(OR(ISNA(VLOOKUP($B54,'TICH LUY'!$B$11:$BY$85,76,0)),$B54=""),"",VLOOKUP($B54,'TICH LUY'!$B$11:$BY$85,76,0))</f>
        <v/>
      </c>
      <c r="DN54" s="455" t="str">
        <f t="shared" si="37"/>
        <v/>
      </c>
      <c r="DO54" s="456" t="str">
        <f t="shared" si="38"/>
        <v/>
      </c>
      <c r="DP54" s="456" t="str">
        <f t="shared" si="39"/>
        <v/>
      </c>
      <c r="DQ54" s="456" t="str">
        <f t="shared" si="40"/>
        <v/>
      </c>
      <c r="DR54" s="456" t="str">
        <f t="shared" si="41"/>
        <v/>
      </c>
      <c r="DS54" s="456" t="str">
        <f t="shared" si="42"/>
        <v/>
      </c>
      <c r="DT54" s="456" t="str">
        <f t="shared" si="43"/>
        <v/>
      </c>
      <c r="DU54" s="456" t="str">
        <f t="shared" si="44"/>
        <v/>
      </c>
      <c r="DV54" s="456" t="str">
        <f t="shared" si="45"/>
        <v/>
      </c>
      <c r="DW54" s="456" t="str">
        <f t="shared" si="46"/>
        <v/>
      </c>
      <c r="DX54" s="456" t="str">
        <f t="shared" si="47"/>
        <v/>
      </c>
      <c r="DY54" s="457" t="str">
        <f t="shared" si="48"/>
        <v/>
      </c>
      <c r="DZ54" s="453" t="str">
        <f t="shared" si="49"/>
        <v/>
      </c>
      <c r="EA54" s="452" t="str">
        <f t="shared" si="50"/>
        <v/>
      </c>
      <c r="EB54" s="452" t="str">
        <f t="shared" si="51"/>
        <v/>
      </c>
      <c r="EC54" s="452" t="str">
        <f t="shared" si="52"/>
        <v/>
      </c>
      <c r="ED54" s="452" t="str">
        <f t="shared" si="53"/>
        <v/>
      </c>
      <c r="EE54" s="452" t="str">
        <f t="shared" si="54"/>
        <v/>
      </c>
      <c r="EF54" s="452" t="str">
        <f t="shared" si="55"/>
        <v/>
      </c>
      <c r="EG54" s="452" t="str">
        <f t="shared" si="56"/>
        <v/>
      </c>
      <c r="EH54" s="452" t="str">
        <f t="shared" si="57"/>
        <v/>
      </c>
      <c r="EI54" s="453" t="str">
        <f t="shared" si="58"/>
        <v/>
      </c>
      <c r="EJ54" s="452" t="str">
        <f t="shared" si="59"/>
        <v/>
      </c>
      <c r="EK54" s="452" t="str">
        <f t="shared" si="60"/>
        <v/>
      </c>
      <c r="EL54" s="452" t="str">
        <f t="shared" si="61"/>
        <v/>
      </c>
      <c r="EM54" s="452" t="str">
        <f t="shared" si="62"/>
        <v/>
      </c>
      <c r="EN54" s="452" t="str">
        <f t="shared" si="63"/>
        <v/>
      </c>
      <c r="EO54" s="452" t="str">
        <f t="shared" si="64"/>
        <v/>
      </c>
      <c r="EP54" s="452" t="str">
        <f t="shared" si="65"/>
        <v/>
      </c>
      <c r="EQ54" s="452" t="str">
        <f t="shared" si="66"/>
        <v/>
      </c>
      <c r="ER54" s="452" t="str">
        <f t="shared" si="67"/>
        <v/>
      </c>
      <c r="ES54" s="452" t="str">
        <f t="shared" si="106"/>
        <v/>
      </c>
      <c r="ET54" s="458" t="str">
        <f t="shared" si="68"/>
        <v/>
      </c>
      <c r="EU54" s="527" t="str">
        <f>IF(OR(ISNA(VLOOKUP($B54,'TICH LUY'!$B$11:$BY$85,54,0)),$B54=""),"",VLOOKUP($B54,'TICH LUY'!$B$11:$BY$85,54,0))</f>
        <v/>
      </c>
      <c r="EV54" s="507" t="str">
        <f>IF(OR(ISNA(VLOOKUP($B54,'TICH LUY'!$B$11:$BY$85,55,0)),$B54=""),"",VLOOKUP($B54,'TICH LUY'!$B$11:$BY$85,55,0))</f>
        <v/>
      </c>
      <c r="EW54" s="507" t="str">
        <f>IF(OR(ISNA(VLOOKUP($B54,'TICH LUY'!$B$11:$BY$85,56,0)),$B54=""),"",VLOOKUP($B54,'TICH LUY'!$B$11:$BY$85,56,0))</f>
        <v/>
      </c>
      <c r="EX54" s="507" t="str">
        <f>IF(OR(ISNA(VLOOKUP($B54,'TICH LUY'!$B$11:$BY$85,57,0)),$B54=""),"",VLOOKUP($B54,'TICH LUY'!$B$11:$BY$85,57,0))</f>
        <v/>
      </c>
      <c r="EY54" s="507" t="str">
        <f>IF(OR(ISNA(VLOOKUP($B54,'TICH LUY'!$B$11:$BY$85,58,0)),$B54=""),"",VLOOKUP($B54,'TICH LUY'!$B$11:$BY$85,58,0))</f>
        <v/>
      </c>
      <c r="EZ54" s="507" t="str">
        <f>IF(OR(ISNA(VLOOKUP($B54,'TICH LUY'!$B$11:$BY$85,59,0)),$B54=""),"",VLOOKUP($B54,'TICH LUY'!$B$11:$BY$85,59,0))</f>
        <v/>
      </c>
      <c r="FA54" s="507" t="str">
        <f>IF(OR(ISNA(VLOOKUP($B54,'TICH LUY'!$B$11:$BY$85,60,0)),$B54=""),"",VLOOKUP($B54,'TICH LUY'!$B$11:$BY$85,60,0))</f>
        <v/>
      </c>
      <c r="FB54" s="507" t="str">
        <f>IF(OR(ISNA(VLOOKUP($B54,'TICH LUY'!$B$11:$BY$85,61,0)),$B54=""),"",VLOOKUP($B54,'TICH LUY'!$B$11:$BY$85,61,0))</f>
        <v/>
      </c>
      <c r="FC54" s="507" t="str">
        <f>IF(OR(ISNA(VLOOKUP($B54,'TICH LUY'!$B$11:$BY$85,62,0)),$B54=""),"",VLOOKUP($B54,'TICH LUY'!$B$11:$BY$85,62,0))</f>
        <v/>
      </c>
      <c r="FD54" s="507" t="str">
        <f>IF(OR(ISNA(VLOOKUP($B54,'TICH LUY'!$B$11:$BY$85,63,0)),$B54=""),"",VLOOKUP($B54,'TICH LUY'!$B$11:$BY$85,63,0))</f>
        <v/>
      </c>
      <c r="FE54" s="507" t="str">
        <f>IF(OR(ISNA(VLOOKUP($B54,'TICH LUY'!$B$11:$BY$85,64,0)),$B54=""),"",VLOOKUP($B54,'TICH LUY'!$B$11:$BY$85,64,0))</f>
        <v/>
      </c>
      <c r="FF54" s="507" t="str">
        <f>IF(OR(ISNA(VLOOKUP($B54,'TICH LUY'!$B$11:$BY$85,65,0)),$B54=""),"",VLOOKUP($B54,'TICH LUY'!$B$11:$BY$85,65,0))</f>
        <v/>
      </c>
      <c r="FG54" s="507" t="str">
        <f>IF(OR(ISNA(VLOOKUP($B54,'TICH LUY'!$B$11:$BY$85,66,0)),$B54=""),"",VLOOKUP($B54,'TICH LUY'!$B$11:$BY$85,66,0))</f>
        <v/>
      </c>
      <c r="FH54" s="507" t="str">
        <f>IF(OR(ISNA(VLOOKUP($B54,'TICH LUY'!$B$11:$BY$85,67,0)),$B54=""),"",VLOOKUP($B54,'TICH LUY'!$B$11:$BY$85,67,0))</f>
        <v/>
      </c>
      <c r="FI54" s="507" t="str">
        <f>IF(OR(ISNA(VLOOKUP($B54,'TICH LUY'!$B$11:$BY$85,68,0)),$B54=""),"",VLOOKUP($B54,'TICH LUY'!$B$11:$BY$85,68,0))</f>
        <v/>
      </c>
      <c r="FJ54" s="507" t="str">
        <f>IF(OR(ISNA(VLOOKUP($B54,'TICH LUY'!$B$11:$BY$85,69,0)),$B54=""),"",VLOOKUP($B54,'TICH LUY'!$B$11:$BY$85,69,0))</f>
        <v/>
      </c>
      <c r="FK54" s="507" t="str">
        <f>IF(OR(ISNA(VLOOKUP($B54,'TICH LUY'!$B$11:$BY$85,70,0)),$B54=""),"",VLOOKUP($B54,'TICH LUY'!$B$11:$BY$85,70,0))</f>
        <v/>
      </c>
      <c r="FL54" s="507" t="str">
        <f>IF(OR(ISNA(VLOOKUP($B54,'TICH LUY'!$B$11:$BY$85,71,0)),$B54=""),"",VLOOKUP($B54,'TICH LUY'!$B$11:$BY$85,71,0))</f>
        <v/>
      </c>
      <c r="FM54" s="507" t="str">
        <f>IF(OR(ISNA(VLOOKUP($B54,'TICH LUY'!$B$11:$BY$85,72,0)),$B54=""),"",VLOOKUP($B54,'TICH LUY'!$B$11:$BY$85,72,0))</f>
        <v/>
      </c>
      <c r="FN54" s="507" t="str">
        <f>IF(OR(ISNA(VLOOKUP($B54,'TICH LUY'!$B$11:$BY$85,73,0)),$B54=""),"",VLOOKUP($B54,'TICH LUY'!$B$11:$BY$85,73,0))</f>
        <v/>
      </c>
      <c r="FO54" s="507" t="str">
        <f>IF(OR(ISNA(VLOOKUP($B54,'TICH LUY'!$B$11:$BY$85,74,0)),$B54=""),"",VLOOKUP($B54,'TICH LUY'!$B$11:$BY$85,74,0))</f>
        <v/>
      </c>
      <c r="FP54" s="507" t="str">
        <f>IF(OR(ISNA(VLOOKUP($B54,'TICH LUY'!$B$11:$BY$85,75,0)),$B54=""),"",VLOOKUP($B54,'TICH LUY'!$B$11:$BY$85,75,0))</f>
        <v/>
      </c>
      <c r="FQ54" s="529" t="str">
        <f>IF(OR(ISNA(VLOOKUP($B54,'TICH LUY'!$B$11:$BY$85,76,0)),$B54=""),"",VLOOKUP($B54,'TICH LUY'!$B$11:$BY$85,76,0))</f>
        <v/>
      </c>
      <c r="FR54" s="455" t="str">
        <f t="shared" si="69"/>
        <v/>
      </c>
      <c r="FS54" s="456" t="str">
        <f t="shared" si="70"/>
        <v/>
      </c>
      <c r="FT54" s="456" t="str">
        <f t="shared" si="71"/>
        <v/>
      </c>
      <c r="FU54" s="456" t="str">
        <f t="shared" si="72"/>
        <v/>
      </c>
      <c r="FV54" s="456" t="str">
        <f t="shared" si="73"/>
        <v/>
      </c>
      <c r="FW54" s="456" t="str">
        <f t="shared" si="74"/>
        <v/>
      </c>
      <c r="FX54" s="456" t="str">
        <f t="shared" si="75"/>
        <v/>
      </c>
      <c r="FY54" s="456" t="str">
        <f t="shared" si="76"/>
        <v/>
      </c>
      <c r="FZ54" s="456" t="str">
        <f t="shared" si="77"/>
        <v/>
      </c>
      <c r="GA54" s="456" t="str">
        <f t="shared" si="78"/>
        <v/>
      </c>
      <c r="GB54" s="459" t="str">
        <f t="shared" si="79"/>
        <v/>
      </c>
      <c r="GC54" s="457" t="str">
        <f t="shared" si="107"/>
        <v/>
      </c>
    </row>
    <row r="55" spans="1:185" s="221" customFormat="1" ht="15.75">
      <c r="A55" s="449" t="str">
        <f>IF(B55="","",SUBTOTAL(3,$B$11:B55))</f>
        <v/>
      </c>
      <c r="B55" s="198"/>
      <c r="C55" s="450" t="str">
        <f>IF($B55="","",VLOOKUP($B55,'DS LOP HKI'!$B$2:$F$2642,2,0))</f>
        <v/>
      </c>
      <c r="D55" s="451" t="str">
        <f>IF($B55="","",VLOOKUP($B55,'DS LOP HKI'!$B$2:$F$2642,3,0))</f>
        <v/>
      </c>
      <c r="E55" s="154"/>
      <c r="F55" s="152"/>
      <c r="G55" s="156"/>
      <c r="H55" s="181" t="str">
        <f>IF(OR($H$6="",$H$7=""),"",IF($B55="","",IF(ISNA(VLOOKUP($B55,'LT01'!$B$11:$R$75,13,FALSE)),"",IF(VLOOKUP($B55,'LT01'!$B$11:$R$75,13,FALSE)="","",VLOOKUP($B55,'LT01'!$B$11:$R$75,13,FALSE)))))</f>
        <v/>
      </c>
      <c r="I55" s="182" t="str">
        <f>IF(OR($H$6="",$H$7=""),"",IF($B55="","",IF(ISNA(VLOOKUP($B55,'LT01'!$B$11:$R$75,14,FALSE)),"",VLOOKUP($B55,'LT01'!$B$11:$R$75,14,FALSE))))</f>
        <v/>
      </c>
      <c r="J55" s="183"/>
      <c r="K55" s="182" t="str">
        <f>IF(OR($H$6="",$H$7=""),"",IF($B55="","",IF(ISNA(VLOOKUP($B55,'LT01'!$B$11:$R$75,17,FALSE)),"",VLOOKUP($B55,'LT01'!$B$11:$R$75,17,FALSE))))</f>
        <v/>
      </c>
      <c r="L55" s="185" t="str">
        <f>IF(OR($H$6="",$H$7=""),"",IF($B55="","",IF(ISNA(VLOOKUP($B55,'LT02'!$B$11:$R$75,13,FALSE)),"",IF(VLOOKUP($B55,'LT02'!$B$11:$R$75,13,FALSE)="","",VLOOKUP($B55,'LT02'!$B$11:$R$75,13,FALSE)))))</f>
        <v/>
      </c>
      <c r="M55" s="182" t="str">
        <f>IF(OR($H$6="",$H$7=""),"",IF($B55="","",IF(ISNA(VLOOKUP($B55,'LT02'!$B$11:$R$75,14,FALSE)),"",VLOOKUP($B55,'LT02'!$B$11:$R$75,14,FALSE))))</f>
        <v/>
      </c>
      <c r="N55" s="183"/>
      <c r="O55" s="182" t="str">
        <f>IF(OR($H$6="",$H$7=""),"",IF($B55="","",IF(ISNA(VLOOKUP($B55,'LT02'!$B$11:$R$75,17,FALSE)),"",VLOOKUP($B55,'LT02'!$B$11:$R$75,17,FALSE))))</f>
        <v/>
      </c>
      <c r="P55" s="185" t="str">
        <f>IF(OR($H$6="",$H$7=""),"",IF($B55="","",IF(ISNA(VLOOKUP($B55,'LT03'!$B$11:$R$75,13,FALSE)),"",IF(VLOOKUP($B55,'LT03'!$B$11:$R$75,13,FALSE)="","",VLOOKUP($B55,'LT03'!$B$11:$R$75,13,FALSE)))))</f>
        <v/>
      </c>
      <c r="Q55" s="182" t="str">
        <f>IF(OR($H$6="",$H$7=""),"",IF($B55="","",IF(ISNA(VLOOKUP($B55,'LT03'!$B$11:$R$75,14,FALSE)),"",VLOOKUP($B55,'LT03'!$B$11:$R$75,14,FALSE))))</f>
        <v/>
      </c>
      <c r="R55" s="183"/>
      <c r="S55" s="182" t="str">
        <f>IF(OR($H$6="",$H$7=""),"",IF($B55="","",IF(ISNA(VLOOKUP($B55,'LT03'!$B$11:$R$75,17,FALSE)),"",VLOOKUP($B55,'LT03'!$B$11:$R$75,17,FALSE))))</f>
        <v/>
      </c>
      <c r="T55" s="185" t="str">
        <f>IF(OR($H$6="",$H$7=""),"",IF($B55="","",IF(ISNA(VLOOKUP($B55,'LT04'!$B$11:$R$75,13,FALSE)),"",IF(VLOOKUP($B55,'LT04'!$B$11:$R$75,13,FALSE)="","",VLOOKUP($B55,'LT04'!$B$11:$R$75,13,FALSE)))))</f>
        <v/>
      </c>
      <c r="U55" s="182" t="str">
        <f>IF(OR($H$6="",$H$7=""),"",IF($B55="","",IF(ISNA(VLOOKUP($B55,'LT04'!$B$11:$R$75,14,FALSE)),"",VLOOKUP($B55,'LT04'!$B$11:$R$75,14,FALSE))))</f>
        <v/>
      </c>
      <c r="V55" s="183"/>
      <c r="W55" s="184" t="str">
        <f>IF(OR($H$6="",$H$7=""),"",IF($B55="","",IF(ISNA(VLOOKUP($B55,'LT04'!$B$11:$R$75,17,FALSE)),"",VLOOKUP($B55,'LT04'!$B$11:$R$75,17,FALSE))))</f>
        <v/>
      </c>
      <c r="X55" s="185" t="str">
        <f>IF(OR($H$6="",$H$7=""),"",IF($B55="","",IF(ISNA(VLOOKUP($B55,'LT05'!$B$11:$R$75,13,FALSE)),"",IF(VLOOKUP($B55,'LT05'!$B$11:$R$75,13,FALSE)="","",VLOOKUP($B55,'LT05'!$B$11:$R$75,13,FALSE)))))</f>
        <v/>
      </c>
      <c r="Y55" s="182" t="str">
        <f>IF(OR($H$6="",$H$7=""),"",IF($B55="","",IF(ISNA(VLOOKUP($B55,'LT05'!$B$11:$R$75,14,FALSE)),"",VLOOKUP($B55,'LT05'!$B$11:$R$75,14,FALSE))))</f>
        <v/>
      </c>
      <c r="Z55" s="183"/>
      <c r="AA55" s="182" t="str">
        <f>IF(OR($H$6="",$H$7=""),"",IF($B55="","",IF(ISNA(VLOOKUP($B55,'LT05'!$B$11:$R$75,17,FALSE)),"",VLOOKUP($B55,'LT05'!$B$11:$R$75,17,FALSE))))</f>
        <v/>
      </c>
      <c r="AB55" s="185" t="str">
        <f>IF(OR($H$6="",$H$7=""),"",IF($B55="","",IF(ISNA(VLOOKUP($B55,'LT06'!$B$11:$R$75,13,FALSE)),"",IF(VLOOKUP($B55,'LT06'!$B$11:$R$75,13,FALSE)="","",VLOOKUP($B55,'LT06'!$B$11:$R$75,13,FALSE)))))</f>
        <v/>
      </c>
      <c r="AC55" s="182" t="str">
        <f>IF(OR($H$6="",$H$7=""),"",IF($B55="","",IF(ISNA(VLOOKUP($B55,'LT06'!$B$11:$R$75,14,FALSE)),"",VLOOKUP($B55,'LT06'!$B$11:$R$75,14,FALSE))))</f>
        <v/>
      </c>
      <c r="AD55" s="183"/>
      <c r="AE55" s="182" t="str">
        <f>IF(OR($H$6="",$H$7=""),"",IF($B55="","",IF(ISNA(VLOOKUP($B55,'LT06'!$B$11:$R$75,17,FALSE)),"",VLOOKUP($B55,'LT06'!$B$11:$R$75,17,FALSE))))</f>
        <v/>
      </c>
      <c r="AF55" s="185" t="str">
        <f>IF(OR($H$6="",$H$7=""),"",IF($B55="","",IF(ISNA(VLOOKUP($B55,'LT07'!$B$11:$R$75,13,FALSE)),"",IF(VLOOKUP($B55,'LT07'!$B$11:$R$75,13,FALSE)="","",VLOOKUP($B55,'LT07'!$B$11:$R$75,13,FALSE)))))</f>
        <v/>
      </c>
      <c r="AG55" s="182" t="str">
        <f>IF(OR($H$6="",$H$7=""),"",IF($B55="","",IF(ISNA(VLOOKUP($B55,'LT07'!$B$11:$R$75,14,FALSE)),"",VLOOKUP($B55,'LT07'!$B$11:$R$75,14,FALSE))))</f>
        <v/>
      </c>
      <c r="AH55" s="183"/>
      <c r="AI55" s="182" t="str">
        <f>IF(OR($H$6="",$H$7=""),"",IF($B55="","",IF(ISNA(VLOOKUP($B55,'LT07'!$B$11:$R$75,17,FALSE)),"",VLOOKUP($B55,'LT07'!$B$11:$R$75,17,FALSE))))</f>
        <v/>
      </c>
      <c r="AJ55" s="185" t="str">
        <f>IF(OR($H$6="",$H$7=""),"",IF($B55="","",IF(ISNA(VLOOKUP($B55,'LT08'!$B$11:$R$75,13,FALSE)),"",IF(VLOOKUP($B55,'LT08'!$B$11:$R$75,13,FALSE)="","",VLOOKUP($B55,'LT08'!$B$11:$R$75,13,FALSE)))))</f>
        <v/>
      </c>
      <c r="AK55" s="182" t="str">
        <f>IF(OR($H$6="",$H$7=""),"",IF($B55="","",IF(ISNA(VLOOKUP($B55,'LT08'!$B$11:$R$75,14,FALSE)),"",VLOOKUP($B55,'LT08'!$B$11:$R$75,14,FALSE))))</f>
        <v/>
      </c>
      <c r="AL55" s="183"/>
      <c r="AM55" s="182" t="str">
        <f>IF(OR($H$6="",$H$7=""),"",IF($B55="","",IF(ISNA(VLOOKUP($B55,'LT08'!$B$11:$R$75,17,FALSE)),"",VLOOKUP($B55,'LT08'!$B$11:$R$75,17,FALSE))))</f>
        <v/>
      </c>
      <c r="AN55" s="185" t="str">
        <f>IF(OR($H$6="",$H$7=""),"",IF($B55="","",IF(ISNA(VLOOKUP($B55,'LT09'!$B$11:$R$75,13,FALSE)),"",IF(VLOOKUP($B55,'LT09'!$B$11:$R$75,13,FALSE)="","",VLOOKUP($B55,'LT09'!$B$11:$R$75,13,FALSE)))))</f>
        <v/>
      </c>
      <c r="AO55" s="182" t="str">
        <f>IF(OR($H$6="",$H$7=""),"",IF($B55="","",IF(ISNA(VLOOKUP($B55,'LT09'!$B$11:$R$75,14,FALSE)),"",VLOOKUP($B55,'LT09'!$B$11:$R$75,14,FALSE))))</f>
        <v/>
      </c>
      <c r="AP55" s="183"/>
      <c r="AQ55" s="182" t="str">
        <f>IF(OR($H$6="",$H$7=""),"",IF($B55="","",IF(ISNA(VLOOKUP($B55,'LT09'!$B$11:$R$75,17,FALSE)),"",VLOOKUP($B55,'LT09'!$B$11:$R$75,17,FALSE))))</f>
        <v/>
      </c>
      <c r="AR55" s="186"/>
      <c r="AS55" s="182" t="str">
        <f>IF(OR($H$6="",$H$7=""),"",IF($B55="","",IF(ISNA(VLOOKUP($B55,'TH01'!$B$11:$R$75,14,FALSE)),"",VLOOKUP($B55,'TH01'!$B$11:$R$75,14,FALSE))))</f>
        <v/>
      </c>
      <c r="AT55" s="183"/>
      <c r="AU55" s="187"/>
      <c r="AV55" s="186"/>
      <c r="AW55" s="182" t="str">
        <f>IF(OR($H$6="",$H$7=""),"",IF($B55="","",IF(ISNA(VLOOKUP($B55,'TH02'!$B$11:$R$75,14,FALSE)),"",VLOOKUP($B55,'TH02'!$B$11:$R$75,14,FALSE))))</f>
        <v/>
      </c>
      <c r="AX55" s="183"/>
      <c r="AY55" s="187"/>
      <c r="AZ55" s="54" t="str">
        <f t="shared" si="24"/>
        <v/>
      </c>
      <c r="BA55" s="54" t="str">
        <f t="shared" si="0"/>
        <v/>
      </c>
      <c r="BB55" s="70"/>
      <c r="BC55" s="52" t="str">
        <f t="shared" si="25"/>
        <v/>
      </c>
      <c r="BD55" s="52" t="str">
        <f t="shared" si="26"/>
        <v/>
      </c>
      <c r="BE55" s="52" t="str">
        <f t="shared" si="86"/>
        <v/>
      </c>
      <c r="BF55" s="149" t="str">
        <f t="shared" si="87"/>
        <v/>
      </c>
      <c r="BG55" s="52" t="str">
        <f t="shared" si="88"/>
        <v/>
      </c>
      <c r="BH55" s="52" t="str">
        <f t="shared" si="89"/>
        <v/>
      </c>
      <c r="BI55" s="52" t="str">
        <f t="shared" si="90"/>
        <v/>
      </c>
      <c r="BJ55" s="52" t="str">
        <f t="shared" si="91"/>
        <v/>
      </c>
      <c r="BK55" s="54" t="str">
        <f t="shared" si="92"/>
        <v/>
      </c>
      <c r="BL55" s="54" t="str">
        <f t="shared" si="93"/>
        <v/>
      </c>
      <c r="BM55" s="54" t="str">
        <f t="shared" si="94"/>
        <v/>
      </c>
      <c r="BN55" s="54" t="str">
        <f t="shared" si="95"/>
        <v/>
      </c>
      <c r="BO55" s="70"/>
      <c r="BP55" s="52" t="str">
        <f>IF(ISNA(VLOOKUP(B55,'TICH LUY'!B:D,2,0)),"",VLOOKUP(B55,'TICH LUY'!B:D,2,0)+BI55)</f>
        <v/>
      </c>
      <c r="BQ55" s="52" t="str">
        <f>IF(ISNA(VLOOKUP(B55,'TICH LUY'!B:D,3,0)),"",VLOOKUP(B55,'TICH LUY'!B:D,3,0)+BJ55)</f>
        <v/>
      </c>
      <c r="BR55" s="40" t="str">
        <f t="shared" si="96"/>
        <v/>
      </c>
      <c r="BS55" s="452" t="str">
        <f t="shared" si="97"/>
        <v/>
      </c>
      <c r="BT55" s="452" t="str">
        <f t="shared" si="98"/>
        <v/>
      </c>
      <c r="BU55" s="452" t="str">
        <f t="shared" si="99"/>
        <v/>
      </c>
      <c r="BV55" s="452" t="str">
        <f t="shared" si="100"/>
        <v/>
      </c>
      <c r="BW55" s="452" t="str">
        <f t="shared" si="101"/>
        <v/>
      </c>
      <c r="BX55" s="452" t="str">
        <f t="shared" si="102"/>
        <v/>
      </c>
      <c r="BY55" s="452" t="str">
        <f t="shared" si="103"/>
        <v/>
      </c>
      <c r="BZ55" s="452" t="str">
        <f t="shared" si="28"/>
        <v/>
      </c>
      <c r="CA55" s="452" t="str">
        <f t="shared" si="29"/>
        <v/>
      </c>
      <c r="CB55" s="452" t="str">
        <f t="shared" si="30"/>
        <v/>
      </c>
      <c r="CC55" s="452" t="str">
        <f t="shared" si="104"/>
        <v/>
      </c>
      <c r="CD55" s="40" t="str">
        <f t="shared" si="31"/>
        <v/>
      </c>
      <c r="CE55" s="453" t="str">
        <f t="shared" si="80"/>
        <v/>
      </c>
      <c r="CF55" s="452" t="str">
        <f t="shared" si="32"/>
        <v/>
      </c>
      <c r="CG55" s="452" t="str">
        <f t="shared" si="81"/>
        <v/>
      </c>
      <c r="CH55" s="452" t="str">
        <f t="shared" si="82"/>
        <v/>
      </c>
      <c r="CI55" s="452" t="str">
        <f t="shared" si="83"/>
        <v/>
      </c>
      <c r="CJ55" s="452" t="str">
        <f t="shared" si="84"/>
        <v/>
      </c>
      <c r="CK55" s="452" t="str">
        <f t="shared" si="85"/>
        <v/>
      </c>
      <c r="CL55" s="452" t="str">
        <f t="shared" si="33"/>
        <v/>
      </c>
      <c r="CM55" s="452" t="str">
        <f t="shared" si="34"/>
        <v/>
      </c>
      <c r="CN55" s="452" t="str">
        <f t="shared" si="35"/>
        <v/>
      </c>
      <c r="CO55" s="452" t="str">
        <f t="shared" si="105"/>
        <v/>
      </c>
      <c r="CP55" s="454" t="str">
        <f t="shared" si="36"/>
        <v/>
      </c>
      <c r="CQ55" s="527" t="str">
        <f>IF(OR(ISNA(VLOOKUP($B55,'TICH LUY'!$B$11:$BY$85,54,0)),$B55=""),"",VLOOKUP($B55,'TICH LUY'!$B$11:$BY$85,54,0))</f>
        <v/>
      </c>
      <c r="CR55" s="507" t="str">
        <f>IF(OR(ISNA(VLOOKUP($B55,'TICH LUY'!$B$11:$BY$85,55,0)),$B55=""),"",VLOOKUP($B55,'TICH LUY'!$B$11:$BY$85,55,0))</f>
        <v/>
      </c>
      <c r="CS55" s="507" t="str">
        <f>IF(OR(ISNA(VLOOKUP($B55,'TICH LUY'!$B$11:$BY$85,56,0)),$B55=""),"",VLOOKUP($B55,'TICH LUY'!$B$11:$BY$85,56,0))</f>
        <v/>
      </c>
      <c r="CT55" s="507" t="str">
        <f>IF(OR(ISNA(VLOOKUP($B55,'TICH LUY'!$B$11:$BY$85,57,0)),$B55=""),"",VLOOKUP($B55,'TICH LUY'!$B$11:$BY$85,57,0))</f>
        <v/>
      </c>
      <c r="CU55" s="507" t="str">
        <f>IF(OR(ISNA(VLOOKUP($B55,'TICH LUY'!$B$11:$BY$85,58,0)),$B55=""),"",VLOOKUP($B55,'TICH LUY'!$B$11:$BY$85,58,0))</f>
        <v/>
      </c>
      <c r="CV55" s="507" t="str">
        <f>IF(OR(ISNA(VLOOKUP($B55,'TICH LUY'!$B$11:$BY$85,59,0)),$B55=""),"",VLOOKUP($B55,'TICH LUY'!$B$11:$BY$85,59,0))</f>
        <v/>
      </c>
      <c r="CW55" s="507" t="str">
        <f>IF(OR(ISNA(VLOOKUP($B55,'TICH LUY'!$B$11:$BY$85,60,0)),$B55=""),"",VLOOKUP($B55,'TICH LUY'!$B$11:$BY$85,60,0))</f>
        <v/>
      </c>
      <c r="CX55" s="507" t="str">
        <f>IF(OR(ISNA(VLOOKUP($B55,'TICH LUY'!$B$11:$BY$85,61,0)),$B55=""),"",VLOOKUP($B55,'TICH LUY'!$B$11:$BY$85,61,0))</f>
        <v/>
      </c>
      <c r="CY55" s="507" t="str">
        <f>IF(OR(ISNA(VLOOKUP($B55,'TICH LUY'!$B$11:$BY$85,62,0)),$B55=""),"",VLOOKUP($B55,'TICH LUY'!$B$11:$BY$85,62,0))</f>
        <v/>
      </c>
      <c r="CZ55" s="507" t="str">
        <f>IF(OR(ISNA(VLOOKUP($B55,'TICH LUY'!$B$11:$BY$85,63,0)),$B55=""),"",VLOOKUP($B55,'TICH LUY'!$B$11:$BY$85,63,0))</f>
        <v/>
      </c>
      <c r="DA55" s="507" t="str">
        <f>IF(OR(ISNA(VLOOKUP($B55,'TICH LUY'!$B$11:$BY$85,64,0)),$B55=""),"",VLOOKUP($B55,'TICH LUY'!$B$11:$BY$85,64,0))</f>
        <v/>
      </c>
      <c r="DB55" s="507" t="str">
        <f>IF(OR(ISNA(VLOOKUP($B55,'TICH LUY'!$B$11:$BY$85,65,0)),$B55=""),"",VLOOKUP($B55,'TICH LUY'!$B$11:$BY$85,65,0))</f>
        <v/>
      </c>
      <c r="DC55" s="507" t="str">
        <f>IF(OR(ISNA(VLOOKUP($B55,'TICH LUY'!$B$11:$BY$85,66,0)),$B55=""),"",VLOOKUP($B55,'TICH LUY'!$B$11:$BY$85,66,0))</f>
        <v/>
      </c>
      <c r="DD55" s="507" t="str">
        <f>IF(OR(ISNA(VLOOKUP($B55,'TICH LUY'!$B$11:$BY$85,67,0)),$B55=""),"",VLOOKUP($B55,'TICH LUY'!$B$11:$BY$85,67,0))</f>
        <v/>
      </c>
      <c r="DE55" s="507" t="str">
        <f>IF(OR(ISNA(VLOOKUP($B55,'TICH LUY'!$B$11:$BY$85,68,0)),$B55=""),"",VLOOKUP($B55,'TICH LUY'!$B$11:$BY$85,68,0))</f>
        <v/>
      </c>
      <c r="DF55" s="507" t="str">
        <f>IF(OR(ISNA(VLOOKUP($B55,'TICH LUY'!$B$11:$BY$85,69,0)),$B55=""),"",VLOOKUP($B55,'TICH LUY'!$B$11:$BY$85,69,0))</f>
        <v/>
      </c>
      <c r="DG55" s="507" t="str">
        <f>IF(OR(ISNA(VLOOKUP($B55,'TICH LUY'!$B$11:$BY$85,70,0)),$B55=""),"",VLOOKUP($B55,'TICH LUY'!$B$11:$BY$85,70,0))</f>
        <v/>
      </c>
      <c r="DH55" s="507" t="str">
        <f>IF(OR(ISNA(VLOOKUP($B55,'TICH LUY'!$B$11:$BY$85,71,0)),$B55=""),"",VLOOKUP($B55,'TICH LUY'!$B$11:$BY$85,71,0))</f>
        <v/>
      </c>
      <c r="DI55" s="507" t="str">
        <f>IF(OR(ISNA(VLOOKUP($B55,'TICH LUY'!$B$11:$BY$85,72,0)),$B55=""),"",VLOOKUP($B55,'TICH LUY'!$B$11:$BY$85,72,0))</f>
        <v/>
      </c>
      <c r="DJ55" s="507" t="str">
        <f>IF(OR(ISNA(VLOOKUP($B55,'TICH LUY'!$B$11:$BY$85,73,0)),$B55=""),"",VLOOKUP($B55,'TICH LUY'!$B$11:$BY$85,73,0))</f>
        <v/>
      </c>
      <c r="DK55" s="507" t="str">
        <f>IF(OR(ISNA(VLOOKUP($B55,'TICH LUY'!$B$11:$BY$85,74,0)),$B55=""),"",VLOOKUP($B55,'TICH LUY'!$B$11:$BY$85,74,0))</f>
        <v/>
      </c>
      <c r="DL55" s="507" t="str">
        <f>IF(OR(ISNA(VLOOKUP($B55,'TICH LUY'!$B$11:$BY$85,75,0)),$B55=""),"",VLOOKUP($B55,'TICH LUY'!$B$11:$BY$85,75,0))</f>
        <v/>
      </c>
      <c r="DM55" s="529" t="str">
        <f>IF(OR(ISNA(VLOOKUP($B55,'TICH LUY'!$B$11:$BY$85,76,0)),$B55=""),"",VLOOKUP($B55,'TICH LUY'!$B$11:$BY$85,76,0))</f>
        <v/>
      </c>
      <c r="DN55" s="455" t="str">
        <f t="shared" si="37"/>
        <v/>
      </c>
      <c r="DO55" s="456" t="str">
        <f t="shared" si="38"/>
        <v/>
      </c>
      <c r="DP55" s="456" t="str">
        <f t="shared" si="39"/>
        <v/>
      </c>
      <c r="DQ55" s="456" t="str">
        <f t="shared" si="40"/>
        <v/>
      </c>
      <c r="DR55" s="456" t="str">
        <f t="shared" si="41"/>
        <v/>
      </c>
      <c r="DS55" s="456" t="str">
        <f t="shared" si="42"/>
        <v/>
      </c>
      <c r="DT55" s="456" t="str">
        <f t="shared" si="43"/>
        <v/>
      </c>
      <c r="DU55" s="456" t="str">
        <f t="shared" si="44"/>
        <v/>
      </c>
      <c r="DV55" s="456" t="str">
        <f t="shared" si="45"/>
        <v/>
      </c>
      <c r="DW55" s="456" t="str">
        <f t="shared" si="46"/>
        <v/>
      </c>
      <c r="DX55" s="456" t="str">
        <f t="shared" si="47"/>
        <v/>
      </c>
      <c r="DY55" s="457" t="str">
        <f t="shared" si="48"/>
        <v/>
      </c>
      <c r="DZ55" s="453" t="str">
        <f t="shared" si="49"/>
        <v/>
      </c>
      <c r="EA55" s="452" t="str">
        <f t="shared" si="50"/>
        <v/>
      </c>
      <c r="EB55" s="452" t="str">
        <f t="shared" si="51"/>
        <v/>
      </c>
      <c r="EC55" s="452" t="str">
        <f t="shared" si="52"/>
        <v/>
      </c>
      <c r="ED55" s="452" t="str">
        <f t="shared" si="53"/>
        <v/>
      </c>
      <c r="EE55" s="452" t="str">
        <f t="shared" si="54"/>
        <v/>
      </c>
      <c r="EF55" s="452" t="str">
        <f t="shared" si="55"/>
        <v/>
      </c>
      <c r="EG55" s="452" t="str">
        <f t="shared" si="56"/>
        <v/>
      </c>
      <c r="EH55" s="452" t="str">
        <f t="shared" si="57"/>
        <v/>
      </c>
      <c r="EI55" s="453" t="str">
        <f t="shared" si="58"/>
        <v/>
      </c>
      <c r="EJ55" s="452" t="str">
        <f t="shared" si="59"/>
        <v/>
      </c>
      <c r="EK55" s="452" t="str">
        <f t="shared" si="60"/>
        <v/>
      </c>
      <c r="EL55" s="452" t="str">
        <f t="shared" si="61"/>
        <v/>
      </c>
      <c r="EM55" s="452" t="str">
        <f t="shared" si="62"/>
        <v/>
      </c>
      <c r="EN55" s="452" t="str">
        <f t="shared" si="63"/>
        <v/>
      </c>
      <c r="EO55" s="452" t="str">
        <f t="shared" si="64"/>
        <v/>
      </c>
      <c r="EP55" s="452" t="str">
        <f t="shared" si="65"/>
        <v/>
      </c>
      <c r="EQ55" s="452" t="str">
        <f t="shared" si="66"/>
        <v/>
      </c>
      <c r="ER55" s="452" t="str">
        <f t="shared" si="67"/>
        <v/>
      </c>
      <c r="ES55" s="452" t="str">
        <f t="shared" si="106"/>
        <v/>
      </c>
      <c r="ET55" s="458" t="str">
        <f t="shared" si="68"/>
        <v/>
      </c>
      <c r="EU55" s="527" t="str">
        <f>IF(OR(ISNA(VLOOKUP($B55,'TICH LUY'!$B$11:$BY$85,54,0)),$B55=""),"",VLOOKUP($B55,'TICH LUY'!$B$11:$BY$85,54,0))</f>
        <v/>
      </c>
      <c r="EV55" s="507" t="str">
        <f>IF(OR(ISNA(VLOOKUP($B55,'TICH LUY'!$B$11:$BY$85,55,0)),$B55=""),"",VLOOKUP($B55,'TICH LUY'!$B$11:$BY$85,55,0))</f>
        <v/>
      </c>
      <c r="EW55" s="507" t="str">
        <f>IF(OR(ISNA(VLOOKUP($B55,'TICH LUY'!$B$11:$BY$85,56,0)),$B55=""),"",VLOOKUP($B55,'TICH LUY'!$B$11:$BY$85,56,0))</f>
        <v/>
      </c>
      <c r="EX55" s="507" t="str">
        <f>IF(OR(ISNA(VLOOKUP($B55,'TICH LUY'!$B$11:$BY$85,57,0)),$B55=""),"",VLOOKUP($B55,'TICH LUY'!$B$11:$BY$85,57,0))</f>
        <v/>
      </c>
      <c r="EY55" s="507" t="str">
        <f>IF(OR(ISNA(VLOOKUP($B55,'TICH LUY'!$B$11:$BY$85,58,0)),$B55=""),"",VLOOKUP($B55,'TICH LUY'!$B$11:$BY$85,58,0))</f>
        <v/>
      </c>
      <c r="EZ55" s="507" t="str">
        <f>IF(OR(ISNA(VLOOKUP($B55,'TICH LUY'!$B$11:$BY$85,59,0)),$B55=""),"",VLOOKUP($B55,'TICH LUY'!$B$11:$BY$85,59,0))</f>
        <v/>
      </c>
      <c r="FA55" s="507" t="str">
        <f>IF(OR(ISNA(VLOOKUP($B55,'TICH LUY'!$B$11:$BY$85,60,0)),$B55=""),"",VLOOKUP($B55,'TICH LUY'!$B$11:$BY$85,60,0))</f>
        <v/>
      </c>
      <c r="FB55" s="507" t="str">
        <f>IF(OR(ISNA(VLOOKUP($B55,'TICH LUY'!$B$11:$BY$85,61,0)),$B55=""),"",VLOOKUP($B55,'TICH LUY'!$B$11:$BY$85,61,0))</f>
        <v/>
      </c>
      <c r="FC55" s="507" t="str">
        <f>IF(OR(ISNA(VLOOKUP($B55,'TICH LUY'!$B$11:$BY$85,62,0)),$B55=""),"",VLOOKUP($B55,'TICH LUY'!$B$11:$BY$85,62,0))</f>
        <v/>
      </c>
      <c r="FD55" s="507" t="str">
        <f>IF(OR(ISNA(VLOOKUP($B55,'TICH LUY'!$B$11:$BY$85,63,0)),$B55=""),"",VLOOKUP($B55,'TICH LUY'!$B$11:$BY$85,63,0))</f>
        <v/>
      </c>
      <c r="FE55" s="507" t="str">
        <f>IF(OR(ISNA(VLOOKUP($B55,'TICH LUY'!$B$11:$BY$85,64,0)),$B55=""),"",VLOOKUP($B55,'TICH LUY'!$B$11:$BY$85,64,0))</f>
        <v/>
      </c>
      <c r="FF55" s="507" t="str">
        <f>IF(OR(ISNA(VLOOKUP($B55,'TICH LUY'!$B$11:$BY$85,65,0)),$B55=""),"",VLOOKUP($B55,'TICH LUY'!$B$11:$BY$85,65,0))</f>
        <v/>
      </c>
      <c r="FG55" s="507" t="str">
        <f>IF(OR(ISNA(VLOOKUP($B55,'TICH LUY'!$B$11:$BY$85,66,0)),$B55=""),"",VLOOKUP($B55,'TICH LUY'!$B$11:$BY$85,66,0))</f>
        <v/>
      </c>
      <c r="FH55" s="507" t="str">
        <f>IF(OR(ISNA(VLOOKUP($B55,'TICH LUY'!$B$11:$BY$85,67,0)),$B55=""),"",VLOOKUP($B55,'TICH LUY'!$B$11:$BY$85,67,0))</f>
        <v/>
      </c>
      <c r="FI55" s="507" t="str">
        <f>IF(OR(ISNA(VLOOKUP($B55,'TICH LUY'!$B$11:$BY$85,68,0)),$B55=""),"",VLOOKUP($B55,'TICH LUY'!$B$11:$BY$85,68,0))</f>
        <v/>
      </c>
      <c r="FJ55" s="507" t="str">
        <f>IF(OR(ISNA(VLOOKUP($B55,'TICH LUY'!$B$11:$BY$85,69,0)),$B55=""),"",VLOOKUP($B55,'TICH LUY'!$B$11:$BY$85,69,0))</f>
        <v/>
      </c>
      <c r="FK55" s="507" t="str">
        <f>IF(OR(ISNA(VLOOKUP($B55,'TICH LUY'!$B$11:$BY$85,70,0)),$B55=""),"",VLOOKUP($B55,'TICH LUY'!$B$11:$BY$85,70,0))</f>
        <v/>
      </c>
      <c r="FL55" s="507" t="str">
        <f>IF(OR(ISNA(VLOOKUP($B55,'TICH LUY'!$B$11:$BY$85,71,0)),$B55=""),"",VLOOKUP($B55,'TICH LUY'!$B$11:$BY$85,71,0))</f>
        <v/>
      </c>
      <c r="FM55" s="507" t="str">
        <f>IF(OR(ISNA(VLOOKUP($B55,'TICH LUY'!$B$11:$BY$85,72,0)),$B55=""),"",VLOOKUP($B55,'TICH LUY'!$B$11:$BY$85,72,0))</f>
        <v/>
      </c>
      <c r="FN55" s="507" t="str">
        <f>IF(OR(ISNA(VLOOKUP($B55,'TICH LUY'!$B$11:$BY$85,73,0)),$B55=""),"",VLOOKUP($B55,'TICH LUY'!$B$11:$BY$85,73,0))</f>
        <v/>
      </c>
      <c r="FO55" s="507" t="str">
        <f>IF(OR(ISNA(VLOOKUP($B55,'TICH LUY'!$B$11:$BY$85,74,0)),$B55=""),"",VLOOKUP($B55,'TICH LUY'!$B$11:$BY$85,74,0))</f>
        <v/>
      </c>
      <c r="FP55" s="507" t="str">
        <f>IF(OR(ISNA(VLOOKUP($B55,'TICH LUY'!$B$11:$BY$85,75,0)),$B55=""),"",VLOOKUP($B55,'TICH LUY'!$B$11:$BY$85,75,0))</f>
        <v/>
      </c>
      <c r="FQ55" s="529" t="str">
        <f>IF(OR(ISNA(VLOOKUP($B55,'TICH LUY'!$B$11:$BY$85,76,0)),$B55=""),"",VLOOKUP($B55,'TICH LUY'!$B$11:$BY$85,76,0))</f>
        <v/>
      </c>
      <c r="FR55" s="455" t="str">
        <f t="shared" si="69"/>
        <v/>
      </c>
      <c r="FS55" s="456" t="str">
        <f t="shared" si="70"/>
        <v/>
      </c>
      <c r="FT55" s="456" t="str">
        <f t="shared" si="71"/>
        <v/>
      </c>
      <c r="FU55" s="456" t="str">
        <f t="shared" si="72"/>
        <v/>
      </c>
      <c r="FV55" s="456" t="str">
        <f t="shared" si="73"/>
        <v/>
      </c>
      <c r="FW55" s="456" t="str">
        <f t="shared" si="74"/>
        <v/>
      </c>
      <c r="FX55" s="456" t="str">
        <f t="shared" si="75"/>
        <v/>
      </c>
      <c r="FY55" s="456" t="str">
        <f t="shared" si="76"/>
        <v/>
      </c>
      <c r="FZ55" s="456" t="str">
        <f t="shared" si="77"/>
        <v/>
      </c>
      <c r="GA55" s="456" t="str">
        <f t="shared" si="78"/>
        <v/>
      </c>
      <c r="GB55" s="459" t="str">
        <f t="shared" si="79"/>
        <v/>
      </c>
      <c r="GC55" s="457" t="str">
        <f t="shared" si="107"/>
        <v/>
      </c>
    </row>
    <row r="56" spans="1:185" s="221" customFormat="1" ht="15.75">
      <c r="A56" s="449" t="str">
        <f>IF(B56="","",SUBTOTAL(3,$B$11:B56))</f>
        <v/>
      </c>
      <c r="B56" s="198"/>
      <c r="C56" s="450" t="str">
        <f>IF($B56="","",VLOOKUP($B56,'DS LOP HKI'!$B$2:$F$2642,2,0))</f>
        <v/>
      </c>
      <c r="D56" s="451" t="str">
        <f>IF($B56="","",VLOOKUP($B56,'DS LOP HKI'!$B$2:$F$2642,3,0))</f>
        <v/>
      </c>
      <c r="E56" s="154"/>
      <c r="F56" s="152"/>
      <c r="G56" s="156"/>
      <c r="H56" s="181" t="str">
        <f>IF(OR($H$6="",$H$7=""),"",IF($B56="","",IF(ISNA(VLOOKUP($B56,'LT01'!$B$11:$R$75,13,FALSE)),"",IF(VLOOKUP($B56,'LT01'!$B$11:$R$75,13,FALSE)="","",VLOOKUP($B56,'LT01'!$B$11:$R$75,13,FALSE)))))</f>
        <v/>
      </c>
      <c r="I56" s="182" t="str">
        <f>IF(OR($H$6="",$H$7=""),"",IF($B56="","",IF(ISNA(VLOOKUP($B56,'LT01'!$B$11:$R$75,14,FALSE)),"",VLOOKUP($B56,'LT01'!$B$11:$R$75,14,FALSE))))</f>
        <v/>
      </c>
      <c r="J56" s="183"/>
      <c r="K56" s="182" t="str">
        <f>IF(OR($H$6="",$H$7=""),"",IF($B56="","",IF(ISNA(VLOOKUP($B56,'LT01'!$B$11:$R$75,17,FALSE)),"",VLOOKUP($B56,'LT01'!$B$11:$R$75,17,FALSE))))</f>
        <v/>
      </c>
      <c r="L56" s="185" t="str">
        <f>IF(OR($H$6="",$H$7=""),"",IF($B56="","",IF(ISNA(VLOOKUP($B56,'LT02'!$B$11:$R$75,13,FALSE)),"",IF(VLOOKUP($B56,'LT02'!$B$11:$R$75,13,FALSE)="","",VLOOKUP($B56,'LT02'!$B$11:$R$75,13,FALSE)))))</f>
        <v/>
      </c>
      <c r="M56" s="182" t="str">
        <f>IF(OR($H$6="",$H$7=""),"",IF($B56="","",IF(ISNA(VLOOKUP($B56,'LT02'!$B$11:$R$75,14,FALSE)),"",VLOOKUP($B56,'LT02'!$B$11:$R$75,14,FALSE))))</f>
        <v/>
      </c>
      <c r="N56" s="183"/>
      <c r="O56" s="182" t="str">
        <f>IF(OR($H$6="",$H$7=""),"",IF($B56="","",IF(ISNA(VLOOKUP($B56,'LT02'!$B$11:$R$75,17,FALSE)),"",VLOOKUP($B56,'LT02'!$B$11:$R$75,17,FALSE))))</f>
        <v/>
      </c>
      <c r="P56" s="185" t="str">
        <f>IF(OR($H$6="",$H$7=""),"",IF($B56="","",IF(ISNA(VLOOKUP($B56,'LT03'!$B$11:$R$75,13,FALSE)),"",IF(VLOOKUP($B56,'LT03'!$B$11:$R$75,13,FALSE)="","",VLOOKUP($B56,'LT03'!$B$11:$R$75,13,FALSE)))))</f>
        <v/>
      </c>
      <c r="Q56" s="182" t="str">
        <f>IF(OR($H$6="",$H$7=""),"",IF($B56="","",IF(ISNA(VLOOKUP($B56,'LT03'!$B$11:$R$75,14,FALSE)),"",VLOOKUP($B56,'LT03'!$B$11:$R$75,14,FALSE))))</f>
        <v/>
      </c>
      <c r="R56" s="183"/>
      <c r="S56" s="182" t="str">
        <f>IF(OR($H$6="",$H$7=""),"",IF($B56="","",IF(ISNA(VLOOKUP($B56,'LT03'!$B$11:$R$75,17,FALSE)),"",VLOOKUP($B56,'LT03'!$B$11:$R$75,17,FALSE))))</f>
        <v/>
      </c>
      <c r="T56" s="185" t="str">
        <f>IF(OR($H$6="",$H$7=""),"",IF($B56="","",IF(ISNA(VLOOKUP($B56,'LT04'!$B$11:$R$75,13,FALSE)),"",IF(VLOOKUP($B56,'LT04'!$B$11:$R$75,13,FALSE)="","",VLOOKUP($B56,'LT04'!$B$11:$R$75,13,FALSE)))))</f>
        <v/>
      </c>
      <c r="U56" s="182" t="str">
        <f>IF(OR($H$6="",$H$7=""),"",IF($B56="","",IF(ISNA(VLOOKUP($B56,'LT04'!$B$11:$R$75,14,FALSE)),"",VLOOKUP($B56,'LT04'!$B$11:$R$75,14,FALSE))))</f>
        <v/>
      </c>
      <c r="V56" s="183"/>
      <c r="W56" s="184" t="str">
        <f>IF(OR($H$6="",$H$7=""),"",IF($B56="","",IF(ISNA(VLOOKUP($B56,'LT04'!$B$11:$R$75,17,FALSE)),"",VLOOKUP($B56,'LT04'!$B$11:$R$75,17,FALSE))))</f>
        <v/>
      </c>
      <c r="X56" s="185" t="str">
        <f>IF(OR($H$6="",$H$7=""),"",IF($B56="","",IF(ISNA(VLOOKUP($B56,'LT05'!$B$11:$R$75,13,FALSE)),"",IF(VLOOKUP($B56,'LT05'!$B$11:$R$75,13,FALSE)="","",VLOOKUP($B56,'LT05'!$B$11:$R$75,13,FALSE)))))</f>
        <v/>
      </c>
      <c r="Y56" s="182" t="str">
        <f>IF(OR($H$6="",$H$7=""),"",IF($B56="","",IF(ISNA(VLOOKUP($B56,'LT05'!$B$11:$R$75,14,FALSE)),"",VLOOKUP($B56,'LT05'!$B$11:$R$75,14,FALSE))))</f>
        <v/>
      </c>
      <c r="Z56" s="183"/>
      <c r="AA56" s="182" t="str">
        <f>IF(OR($H$6="",$H$7=""),"",IF($B56="","",IF(ISNA(VLOOKUP($B56,'LT05'!$B$11:$R$75,17,FALSE)),"",VLOOKUP($B56,'LT05'!$B$11:$R$75,17,FALSE))))</f>
        <v/>
      </c>
      <c r="AB56" s="185" t="str">
        <f>IF(OR($H$6="",$H$7=""),"",IF($B56="","",IF(ISNA(VLOOKUP($B56,'LT06'!$B$11:$R$75,13,FALSE)),"",IF(VLOOKUP($B56,'LT06'!$B$11:$R$75,13,FALSE)="","",VLOOKUP($B56,'LT06'!$B$11:$R$75,13,FALSE)))))</f>
        <v/>
      </c>
      <c r="AC56" s="182" t="str">
        <f>IF(OR($H$6="",$H$7=""),"",IF($B56="","",IF(ISNA(VLOOKUP($B56,'LT06'!$B$11:$R$75,14,FALSE)),"",VLOOKUP($B56,'LT06'!$B$11:$R$75,14,FALSE))))</f>
        <v/>
      </c>
      <c r="AD56" s="183"/>
      <c r="AE56" s="182" t="str">
        <f>IF(OR($H$6="",$H$7=""),"",IF($B56="","",IF(ISNA(VLOOKUP($B56,'LT06'!$B$11:$R$75,17,FALSE)),"",VLOOKUP($B56,'LT06'!$B$11:$R$75,17,FALSE))))</f>
        <v/>
      </c>
      <c r="AF56" s="185" t="str">
        <f>IF(OR($H$6="",$H$7=""),"",IF($B56="","",IF(ISNA(VLOOKUP($B56,'LT07'!$B$11:$R$75,13,FALSE)),"",IF(VLOOKUP($B56,'LT07'!$B$11:$R$75,13,FALSE)="","",VLOOKUP($B56,'LT07'!$B$11:$R$75,13,FALSE)))))</f>
        <v/>
      </c>
      <c r="AG56" s="182" t="str">
        <f>IF(OR($H$6="",$H$7=""),"",IF($B56="","",IF(ISNA(VLOOKUP($B56,'LT07'!$B$11:$R$75,14,FALSE)),"",VLOOKUP($B56,'LT07'!$B$11:$R$75,14,FALSE))))</f>
        <v/>
      </c>
      <c r="AH56" s="183"/>
      <c r="AI56" s="182" t="str">
        <f>IF(OR($H$6="",$H$7=""),"",IF($B56="","",IF(ISNA(VLOOKUP($B56,'LT07'!$B$11:$R$75,17,FALSE)),"",VLOOKUP($B56,'LT07'!$B$11:$R$75,17,FALSE))))</f>
        <v/>
      </c>
      <c r="AJ56" s="185" t="str">
        <f>IF(OR($H$6="",$H$7=""),"",IF($B56="","",IF(ISNA(VLOOKUP($B56,'LT08'!$B$11:$R$75,13,FALSE)),"",IF(VLOOKUP($B56,'LT08'!$B$11:$R$75,13,FALSE)="","",VLOOKUP($B56,'LT08'!$B$11:$R$75,13,FALSE)))))</f>
        <v/>
      </c>
      <c r="AK56" s="182" t="str">
        <f>IF(OR($H$6="",$H$7=""),"",IF($B56="","",IF(ISNA(VLOOKUP($B56,'LT08'!$B$11:$R$75,14,FALSE)),"",VLOOKUP($B56,'LT08'!$B$11:$R$75,14,FALSE))))</f>
        <v/>
      </c>
      <c r="AL56" s="183"/>
      <c r="AM56" s="182" t="str">
        <f>IF(OR($H$6="",$H$7=""),"",IF($B56="","",IF(ISNA(VLOOKUP($B56,'LT08'!$B$11:$R$75,17,FALSE)),"",VLOOKUP($B56,'LT08'!$B$11:$R$75,17,FALSE))))</f>
        <v/>
      </c>
      <c r="AN56" s="185" t="str">
        <f>IF(OR($H$6="",$H$7=""),"",IF($B56="","",IF(ISNA(VLOOKUP($B56,'LT09'!$B$11:$R$75,13,FALSE)),"",IF(VLOOKUP($B56,'LT09'!$B$11:$R$75,13,FALSE)="","",VLOOKUP($B56,'LT09'!$B$11:$R$75,13,FALSE)))))</f>
        <v/>
      </c>
      <c r="AO56" s="182" t="str">
        <f>IF(OR($H$6="",$H$7=""),"",IF($B56="","",IF(ISNA(VLOOKUP($B56,'LT09'!$B$11:$R$75,14,FALSE)),"",VLOOKUP($B56,'LT09'!$B$11:$R$75,14,FALSE))))</f>
        <v/>
      </c>
      <c r="AP56" s="183"/>
      <c r="AQ56" s="182" t="str">
        <f>IF(OR($H$6="",$H$7=""),"",IF($B56="","",IF(ISNA(VLOOKUP($B56,'LT09'!$B$11:$R$75,17,FALSE)),"",VLOOKUP($B56,'LT09'!$B$11:$R$75,17,FALSE))))</f>
        <v/>
      </c>
      <c r="AR56" s="186"/>
      <c r="AS56" s="182" t="str">
        <f>IF(OR($H$6="",$H$7=""),"",IF($B56="","",IF(ISNA(VLOOKUP($B56,'TH01'!$B$11:$R$75,14,FALSE)),"",VLOOKUP($B56,'TH01'!$B$11:$R$75,14,FALSE))))</f>
        <v/>
      </c>
      <c r="AT56" s="183"/>
      <c r="AU56" s="187"/>
      <c r="AV56" s="186"/>
      <c r="AW56" s="182" t="str">
        <f>IF(OR($H$6="",$H$7=""),"",IF($B56="","",IF(ISNA(VLOOKUP($B56,'TH02'!$B$11:$R$75,14,FALSE)),"",VLOOKUP($B56,'TH02'!$B$11:$R$75,14,FALSE))))</f>
        <v/>
      </c>
      <c r="AX56" s="183"/>
      <c r="AY56" s="187"/>
      <c r="AZ56" s="54" t="str">
        <f t="shared" si="24"/>
        <v/>
      </c>
      <c r="BA56" s="54" t="str">
        <f t="shared" si="0"/>
        <v/>
      </c>
      <c r="BB56" s="70"/>
      <c r="BC56" s="52" t="str">
        <f t="shared" si="25"/>
        <v/>
      </c>
      <c r="BD56" s="52" t="str">
        <f t="shared" si="26"/>
        <v/>
      </c>
      <c r="BE56" s="52" t="str">
        <f t="shared" si="86"/>
        <v/>
      </c>
      <c r="BF56" s="149" t="str">
        <f t="shared" si="87"/>
        <v/>
      </c>
      <c r="BG56" s="52" t="str">
        <f t="shared" si="88"/>
        <v/>
      </c>
      <c r="BH56" s="52" t="str">
        <f t="shared" si="89"/>
        <v/>
      </c>
      <c r="BI56" s="52" t="str">
        <f t="shared" si="90"/>
        <v/>
      </c>
      <c r="BJ56" s="52" t="str">
        <f t="shared" si="91"/>
        <v/>
      </c>
      <c r="BK56" s="54" t="str">
        <f t="shared" si="92"/>
        <v/>
      </c>
      <c r="BL56" s="54" t="str">
        <f t="shared" si="93"/>
        <v/>
      </c>
      <c r="BM56" s="54" t="str">
        <f t="shared" si="94"/>
        <v/>
      </c>
      <c r="BN56" s="54" t="str">
        <f t="shared" si="95"/>
        <v/>
      </c>
      <c r="BO56" s="70"/>
      <c r="BP56" s="52" t="str">
        <f>IF(ISNA(VLOOKUP(B56,'TICH LUY'!B:D,2,0)),"",VLOOKUP(B56,'TICH LUY'!B:D,2,0)+BI56)</f>
        <v/>
      </c>
      <c r="BQ56" s="52" t="str">
        <f>IF(ISNA(VLOOKUP(B56,'TICH LUY'!B:D,3,0)),"",VLOOKUP(B56,'TICH LUY'!B:D,3,0)+BJ56)</f>
        <v/>
      </c>
      <c r="BR56" s="40" t="str">
        <f t="shared" si="96"/>
        <v/>
      </c>
      <c r="BS56" s="452" t="str">
        <f t="shared" si="97"/>
        <v/>
      </c>
      <c r="BT56" s="452" t="str">
        <f t="shared" si="98"/>
        <v/>
      </c>
      <c r="BU56" s="452" t="str">
        <f t="shared" si="99"/>
        <v/>
      </c>
      <c r="BV56" s="452" t="str">
        <f t="shared" si="100"/>
        <v/>
      </c>
      <c r="BW56" s="452" t="str">
        <f t="shared" si="101"/>
        <v/>
      </c>
      <c r="BX56" s="452" t="str">
        <f t="shared" si="102"/>
        <v/>
      </c>
      <c r="BY56" s="452" t="str">
        <f t="shared" si="103"/>
        <v/>
      </c>
      <c r="BZ56" s="452" t="str">
        <f t="shared" si="28"/>
        <v/>
      </c>
      <c r="CA56" s="452" t="str">
        <f t="shared" si="29"/>
        <v/>
      </c>
      <c r="CB56" s="452" t="str">
        <f t="shared" si="30"/>
        <v/>
      </c>
      <c r="CC56" s="452" t="str">
        <f t="shared" si="104"/>
        <v/>
      </c>
      <c r="CD56" s="40" t="str">
        <f t="shared" si="31"/>
        <v/>
      </c>
      <c r="CE56" s="453" t="str">
        <f t="shared" si="80"/>
        <v/>
      </c>
      <c r="CF56" s="452" t="str">
        <f t="shared" si="32"/>
        <v/>
      </c>
      <c r="CG56" s="452" t="str">
        <f t="shared" si="81"/>
        <v/>
      </c>
      <c r="CH56" s="452" t="str">
        <f t="shared" si="82"/>
        <v/>
      </c>
      <c r="CI56" s="452" t="str">
        <f t="shared" si="83"/>
        <v/>
      </c>
      <c r="CJ56" s="452" t="str">
        <f t="shared" si="84"/>
        <v/>
      </c>
      <c r="CK56" s="452" t="str">
        <f t="shared" si="85"/>
        <v/>
      </c>
      <c r="CL56" s="452" t="str">
        <f t="shared" si="33"/>
        <v/>
      </c>
      <c r="CM56" s="452" t="str">
        <f t="shared" si="34"/>
        <v/>
      </c>
      <c r="CN56" s="452" t="str">
        <f t="shared" si="35"/>
        <v/>
      </c>
      <c r="CO56" s="452" t="str">
        <f t="shared" si="105"/>
        <v/>
      </c>
      <c r="CP56" s="454" t="str">
        <f t="shared" si="36"/>
        <v/>
      </c>
      <c r="CQ56" s="527" t="str">
        <f>IF(OR(ISNA(VLOOKUP($B56,'TICH LUY'!$B$11:$BY$85,54,0)),$B56=""),"",VLOOKUP($B56,'TICH LUY'!$B$11:$BY$85,54,0))</f>
        <v/>
      </c>
      <c r="CR56" s="507" t="str">
        <f>IF(OR(ISNA(VLOOKUP($B56,'TICH LUY'!$B$11:$BY$85,55,0)),$B56=""),"",VLOOKUP($B56,'TICH LUY'!$B$11:$BY$85,55,0))</f>
        <v/>
      </c>
      <c r="CS56" s="507" t="str">
        <f>IF(OR(ISNA(VLOOKUP($B56,'TICH LUY'!$B$11:$BY$85,56,0)),$B56=""),"",VLOOKUP($B56,'TICH LUY'!$B$11:$BY$85,56,0))</f>
        <v/>
      </c>
      <c r="CT56" s="507" t="str">
        <f>IF(OR(ISNA(VLOOKUP($B56,'TICH LUY'!$B$11:$BY$85,57,0)),$B56=""),"",VLOOKUP($B56,'TICH LUY'!$B$11:$BY$85,57,0))</f>
        <v/>
      </c>
      <c r="CU56" s="507" t="str">
        <f>IF(OR(ISNA(VLOOKUP($B56,'TICH LUY'!$B$11:$BY$85,58,0)),$B56=""),"",VLOOKUP($B56,'TICH LUY'!$B$11:$BY$85,58,0))</f>
        <v/>
      </c>
      <c r="CV56" s="507" t="str">
        <f>IF(OR(ISNA(VLOOKUP($B56,'TICH LUY'!$B$11:$BY$85,59,0)),$B56=""),"",VLOOKUP($B56,'TICH LUY'!$B$11:$BY$85,59,0))</f>
        <v/>
      </c>
      <c r="CW56" s="507" t="str">
        <f>IF(OR(ISNA(VLOOKUP($B56,'TICH LUY'!$B$11:$BY$85,60,0)),$B56=""),"",VLOOKUP($B56,'TICH LUY'!$B$11:$BY$85,60,0))</f>
        <v/>
      </c>
      <c r="CX56" s="507" t="str">
        <f>IF(OR(ISNA(VLOOKUP($B56,'TICH LUY'!$B$11:$BY$85,61,0)),$B56=""),"",VLOOKUP($B56,'TICH LUY'!$B$11:$BY$85,61,0))</f>
        <v/>
      </c>
      <c r="CY56" s="507" t="str">
        <f>IF(OR(ISNA(VLOOKUP($B56,'TICH LUY'!$B$11:$BY$85,62,0)),$B56=""),"",VLOOKUP($B56,'TICH LUY'!$B$11:$BY$85,62,0))</f>
        <v/>
      </c>
      <c r="CZ56" s="507" t="str">
        <f>IF(OR(ISNA(VLOOKUP($B56,'TICH LUY'!$B$11:$BY$85,63,0)),$B56=""),"",VLOOKUP($B56,'TICH LUY'!$B$11:$BY$85,63,0))</f>
        <v/>
      </c>
      <c r="DA56" s="507" t="str">
        <f>IF(OR(ISNA(VLOOKUP($B56,'TICH LUY'!$B$11:$BY$85,64,0)),$B56=""),"",VLOOKUP($B56,'TICH LUY'!$B$11:$BY$85,64,0))</f>
        <v/>
      </c>
      <c r="DB56" s="507" t="str">
        <f>IF(OR(ISNA(VLOOKUP($B56,'TICH LUY'!$B$11:$BY$85,65,0)),$B56=""),"",VLOOKUP($B56,'TICH LUY'!$B$11:$BY$85,65,0))</f>
        <v/>
      </c>
      <c r="DC56" s="507" t="str">
        <f>IF(OR(ISNA(VLOOKUP($B56,'TICH LUY'!$B$11:$BY$85,66,0)),$B56=""),"",VLOOKUP($B56,'TICH LUY'!$B$11:$BY$85,66,0))</f>
        <v/>
      </c>
      <c r="DD56" s="507" t="str">
        <f>IF(OR(ISNA(VLOOKUP($B56,'TICH LUY'!$B$11:$BY$85,67,0)),$B56=""),"",VLOOKUP($B56,'TICH LUY'!$B$11:$BY$85,67,0))</f>
        <v/>
      </c>
      <c r="DE56" s="507" t="str">
        <f>IF(OR(ISNA(VLOOKUP($B56,'TICH LUY'!$B$11:$BY$85,68,0)),$B56=""),"",VLOOKUP($B56,'TICH LUY'!$B$11:$BY$85,68,0))</f>
        <v/>
      </c>
      <c r="DF56" s="507" t="str">
        <f>IF(OR(ISNA(VLOOKUP($B56,'TICH LUY'!$B$11:$BY$85,69,0)),$B56=""),"",VLOOKUP($B56,'TICH LUY'!$B$11:$BY$85,69,0))</f>
        <v/>
      </c>
      <c r="DG56" s="507" t="str">
        <f>IF(OR(ISNA(VLOOKUP($B56,'TICH LUY'!$B$11:$BY$85,70,0)),$B56=""),"",VLOOKUP($B56,'TICH LUY'!$B$11:$BY$85,70,0))</f>
        <v/>
      </c>
      <c r="DH56" s="507" t="str">
        <f>IF(OR(ISNA(VLOOKUP($B56,'TICH LUY'!$B$11:$BY$85,71,0)),$B56=""),"",VLOOKUP($B56,'TICH LUY'!$B$11:$BY$85,71,0))</f>
        <v/>
      </c>
      <c r="DI56" s="507" t="str">
        <f>IF(OR(ISNA(VLOOKUP($B56,'TICH LUY'!$B$11:$BY$85,72,0)),$B56=""),"",VLOOKUP($B56,'TICH LUY'!$B$11:$BY$85,72,0))</f>
        <v/>
      </c>
      <c r="DJ56" s="507" t="str">
        <f>IF(OR(ISNA(VLOOKUP($B56,'TICH LUY'!$B$11:$BY$85,73,0)),$B56=""),"",VLOOKUP($B56,'TICH LUY'!$B$11:$BY$85,73,0))</f>
        <v/>
      </c>
      <c r="DK56" s="507" t="str">
        <f>IF(OR(ISNA(VLOOKUP($B56,'TICH LUY'!$B$11:$BY$85,74,0)),$B56=""),"",VLOOKUP($B56,'TICH LUY'!$B$11:$BY$85,74,0))</f>
        <v/>
      </c>
      <c r="DL56" s="507" t="str">
        <f>IF(OR(ISNA(VLOOKUP($B56,'TICH LUY'!$B$11:$BY$85,75,0)),$B56=""),"",VLOOKUP($B56,'TICH LUY'!$B$11:$BY$85,75,0))</f>
        <v/>
      </c>
      <c r="DM56" s="529" t="str">
        <f>IF(OR(ISNA(VLOOKUP($B56,'TICH LUY'!$B$11:$BY$85,76,0)),$B56=""),"",VLOOKUP($B56,'TICH LUY'!$B$11:$BY$85,76,0))</f>
        <v/>
      </c>
      <c r="DN56" s="455" t="str">
        <f t="shared" si="37"/>
        <v/>
      </c>
      <c r="DO56" s="456" t="str">
        <f t="shared" si="38"/>
        <v/>
      </c>
      <c r="DP56" s="456" t="str">
        <f t="shared" si="39"/>
        <v/>
      </c>
      <c r="DQ56" s="456" t="str">
        <f t="shared" si="40"/>
        <v/>
      </c>
      <c r="DR56" s="456" t="str">
        <f t="shared" si="41"/>
        <v/>
      </c>
      <c r="DS56" s="456" t="str">
        <f t="shared" si="42"/>
        <v/>
      </c>
      <c r="DT56" s="456" t="str">
        <f t="shared" si="43"/>
        <v/>
      </c>
      <c r="DU56" s="456" t="str">
        <f t="shared" si="44"/>
        <v/>
      </c>
      <c r="DV56" s="456" t="str">
        <f t="shared" si="45"/>
        <v/>
      </c>
      <c r="DW56" s="456" t="str">
        <f t="shared" si="46"/>
        <v/>
      </c>
      <c r="DX56" s="456" t="str">
        <f t="shared" si="47"/>
        <v/>
      </c>
      <c r="DY56" s="457" t="str">
        <f t="shared" si="48"/>
        <v/>
      </c>
      <c r="DZ56" s="453" t="str">
        <f t="shared" si="49"/>
        <v/>
      </c>
      <c r="EA56" s="452" t="str">
        <f t="shared" si="50"/>
        <v/>
      </c>
      <c r="EB56" s="452" t="str">
        <f t="shared" si="51"/>
        <v/>
      </c>
      <c r="EC56" s="452" t="str">
        <f t="shared" si="52"/>
        <v/>
      </c>
      <c r="ED56" s="452" t="str">
        <f t="shared" si="53"/>
        <v/>
      </c>
      <c r="EE56" s="452" t="str">
        <f t="shared" si="54"/>
        <v/>
      </c>
      <c r="EF56" s="452" t="str">
        <f t="shared" si="55"/>
        <v/>
      </c>
      <c r="EG56" s="452" t="str">
        <f t="shared" si="56"/>
        <v/>
      </c>
      <c r="EH56" s="452" t="str">
        <f t="shared" si="57"/>
        <v/>
      </c>
      <c r="EI56" s="453" t="str">
        <f t="shared" si="58"/>
        <v/>
      </c>
      <c r="EJ56" s="452" t="str">
        <f t="shared" si="59"/>
        <v/>
      </c>
      <c r="EK56" s="452" t="str">
        <f t="shared" si="60"/>
        <v/>
      </c>
      <c r="EL56" s="452" t="str">
        <f t="shared" si="61"/>
        <v/>
      </c>
      <c r="EM56" s="452" t="str">
        <f t="shared" si="62"/>
        <v/>
      </c>
      <c r="EN56" s="452" t="str">
        <f t="shared" si="63"/>
        <v/>
      </c>
      <c r="EO56" s="452" t="str">
        <f t="shared" si="64"/>
        <v/>
      </c>
      <c r="EP56" s="452" t="str">
        <f t="shared" si="65"/>
        <v/>
      </c>
      <c r="EQ56" s="452" t="str">
        <f t="shared" si="66"/>
        <v/>
      </c>
      <c r="ER56" s="452" t="str">
        <f t="shared" si="67"/>
        <v/>
      </c>
      <c r="ES56" s="452" t="str">
        <f t="shared" si="106"/>
        <v/>
      </c>
      <c r="ET56" s="458" t="str">
        <f t="shared" si="68"/>
        <v/>
      </c>
      <c r="EU56" s="527" t="str">
        <f>IF(OR(ISNA(VLOOKUP($B56,'TICH LUY'!$B$11:$BY$85,54,0)),$B56=""),"",VLOOKUP($B56,'TICH LUY'!$B$11:$BY$85,54,0))</f>
        <v/>
      </c>
      <c r="EV56" s="507" t="str">
        <f>IF(OR(ISNA(VLOOKUP($B56,'TICH LUY'!$B$11:$BY$85,55,0)),$B56=""),"",VLOOKUP($B56,'TICH LUY'!$B$11:$BY$85,55,0))</f>
        <v/>
      </c>
      <c r="EW56" s="507" t="str">
        <f>IF(OR(ISNA(VLOOKUP($B56,'TICH LUY'!$B$11:$BY$85,56,0)),$B56=""),"",VLOOKUP($B56,'TICH LUY'!$B$11:$BY$85,56,0))</f>
        <v/>
      </c>
      <c r="EX56" s="507" t="str">
        <f>IF(OR(ISNA(VLOOKUP($B56,'TICH LUY'!$B$11:$BY$85,57,0)),$B56=""),"",VLOOKUP($B56,'TICH LUY'!$B$11:$BY$85,57,0))</f>
        <v/>
      </c>
      <c r="EY56" s="507" t="str">
        <f>IF(OR(ISNA(VLOOKUP($B56,'TICH LUY'!$B$11:$BY$85,58,0)),$B56=""),"",VLOOKUP($B56,'TICH LUY'!$B$11:$BY$85,58,0))</f>
        <v/>
      </c>
      <c r="EZ56" s="507" t="str">
        <f>IF(OR(ISNA(VLOOKUP($B56,'TICH LUY'!$B$11:$BY$85,59,0)),$B56=""),"",VLOOKUP($B56,'TICH LUY'!$B$11:$BY$85,59,0))</f>
        <v/>
      </c>
      <c r="FA56" s="507" t="str">
        <f>IF(OR(ISNA(VLOOKUP($B56,'TICH LUY'!$B$11:$BY$85,60,0)),$B56=""),"",VLOOKUP($B56,'TICH LUY'!$B$11:$BY$85,60,0))</f>
        <v/>
      </c>
      <c r="FB56" s="507" t="str">
        <f>IF(OR(ISNA(VLOOKUP($B56,'TICH LUY'!$B$11:$BY$85,61,0)),$B56=""),"",VLOOKUP($B56,'TICH LUY'!$B$11:$BY$85,61,0))</f>
        <v/>
      </c>
      <c r="FC56" s="507" t="str">
        <f>IF(OR(ISNA(VLOOKUP($B56,'TICH LUY'!$B$11:$BY$85,62,0)),$B56=""),"",VLOOKUP($B56,'TICH LUY'!$B$11:$BY$85,62,0))</f>
        <v/>
      </c>
      <c r="FD56" s="507" t="str">
        <f>IF(OR(ISNA(VLOOKUP($B56,'TICH LUY'!$B$11:$BY$85,63,0)),$B56=""),"",VLOOKUP($B56,'TICH LUY'!$B$11:$BY$85,63,0))</f>
        <v/>
      </c>
      <c r="FE56" s="507" t="str">
        <f>IF(OR(ISNA(VLOOKUP($B56,'TICH LUY'!$B$11:$BY$85,64,0)),$B56=""),"",VLOOKUP($B56,'TICH LUY'!$B$11:$BY$85,64,0))</f>
        <v/>
      </c>
      <c r="FF56" s="507" t="str">
        <f>IF(OR(ISNA(VLOOKUP($B56,'TICH LUY'!$B$11:$BY$85,65,0)),$B56=""),"",VLOOKUP($B56,'TICH LUY'!$B$11:$BY$85,65,0))</f>
        <v/>
      </c>
      <c r="FG56" s="507" t="str">
        <f>IF(OR(ISNA(VLOOKUP($B56,'TICH LUY'!$B$11:$BY$85,66,0)),$B56=""),"",VLOOKUP($B56,'TICH LUY'!$B$11:$BY$85,66,0))</f>
        <v/>
      </c>
      <c r="FH56" s="507" t="str">
        <f>IF(OR(ISNA(VLOOKUP($B56,'TICH LUY'!$B$11:$BY$85,67,0)),$B56=""),"",VLOOKUP($B56,'TICH LUY'!$B$11:$BY$85,67,0))</f>
        <v/>
      </c>
      <c r="FI56" s="507" t="str">
        <f>IF(OR(ISNA(VLOOKUP($B56,'TICH LUY'!$B$11:$BY$85,68,0)),$B56=""),"",VLOOKUP($B56,'TICH LUY'!$B$11:$BY$85,68,0))</f>
        <v/>
      </c>
      <c r="FJ56" s="507" t="str">
        <f>IF(OR(ISNA(VLOOKUP($B56,'TICH LUY'!$B$11:$BY$85,69,0)),$B56=""),"",VLOOKUP($B56,'TICH LUY'!$B$11:$BY$85,69,0))</f>
        <v/>
      </c>
      <c r="FK56" s="507" t="str">
        <f>IF(OR(ISNA(VLOOKUP($B56,'TICH LUY'!$B$11:$BY$85,70,0)),$B56=""),"",VLOOKUP($B56,'TICH LUY'!$B$11:$BY$85,70,0))</f>
        <v/>
      </c>
      <c r="FL56" s="507" t="str">
        <f>IF(OR(ISNA(VLOOKUP($B56,'TICH LUY'!$B$11:$BY$85,71,0)),$B56=""),"",VLOOKUP($B56,'TICH LUY'!$B$11:$BY$85,71,0))</f>
        <v/>
      </c>
      <c r="FM56" s="507" t="str">
        <f>IF(OR(ISNA(VLOOKUP($B56,'TICH LUY'!$B$11:$BY$85,72,0)),$B56=""),"",VLOOKUP($B56,'TICH LUY'!$B$11:$BY$85,72,0))</f>
        <v/>
      </c>
      <c r="FN56" s="507" t="str">
        <f>IF(OR(ISNA(VLOOKUP($B56,'TICH LUY'!$B$11:$BY$85,73,0)),$B56=""),"",VLOOKUP($B56,'TICH LUY'!$B$11:$BY$85,73,0))</f>
        <v/>
      </c>
      <c r="FO56" s="507" t="str">
        <f>IF(OR(ISNA(VLOOKUP($B56,'TICH LUY'!$B$11:$BY$85,74,0)),$B56=""),"",VLOOKUP($B56,'TICH LUY'!$B$11:$BY$85,74,0))</f>
        <v/>
      </c>
      <c r="FP56" s="507" t="str">
        <f>IF(OR(ISNA(VLOOKUP($B56,'TICH LUY'!$B$11:$BY$85,75,0)),$B56=""),"",VLOOKUP($B56,'TICH LUY'!$B$11:$BY$85,75,0))</f>
        <v/>
      </c>
      <c r="FQ56" s="529" t="str">
        <f>IF(OR(ISNA(VLOOKUP($B56,'TICH LUY'!$B$11:$BY$85,76,0)),$B56=""),"",VLOOKUP($B56,'TICH LUY'!$B$11:$BY$85,76,0))</f>
        <v/>
      </c>
      <c r="FR56" s="455" t="str">
        <f t="shared" si="69"/>
        <v/>
      </c>
      <c r="FS56" s="456" t="str">
        <f t="shared" si="70"/>
        <v/>
      </c>
      <c r="FT56" s="456" t="str">
        <f t="shared" si="71"/>
        <v/>
      </c>
      <c r="FU56" s="456" t="str">
        <f t="shared" si="72"/>
        <v/>
      </c>
      <c r="FV56" s="456" t="str">
        <f t="shared" si="73"/>
        <v/>
      </c>
      <c r="FW56" s="456" t="str">
        <f t="shared" si="74"/>
        <v/>
      </c>
      <c r="FX56" s="456" t="str">
        <f t="shared" si="75"/>
        <v/>
      </c>
      <c r="FY56" s="456" t="str">
        <f t="shared" si="76"/>
        <v/>
      </c>
      <c r="FZ56" s="456" t="str">
        <f t="shared" si="77"/>
        <v/>
      </c>
      <c r="GA56" s="456" t="str">
        <f t="shared" si="78"/>
        <v/>
      </c>
      <c r="GB56" s="459" t="str">
        <f t="shared" si="79"/>
        <v/>
      </c>
      <c r="GC56" s="457" t="str">
        <f t="shared" si="107"/>
        <v/>
      </c>
    </row>
    <row r="57" spans="1:185" s="221" customFormat="1" ht="15.75">
      <c r="A57" s="449" t="str">
        <f>IF(B57="","",SUBTOTAL(3,$B$11:B57))</f>
        <v/>
      </c>
      <c r="B57" s="198"/>
      <c r="C57" s="450" t="str">
        <f>IF($B57="","",VLOOKUP($B57,'DS LOP HKI'!$B$2:$F$2642,2,0))</f>
        <v/>
      </c>
      <c r="D57" s="451" t="str">
        <f>IF($B57="","",VLOOKUP($B57,'DS LOP HKI'!$B$2:$F$2642,3,0))</f>
        <v/>
      </c>
      <c r="E57" s="154"/>
      <c r="F57" s="152"/>
      <c r="G57" s="156"/>
      <c r="H57" s="181" t="str">
        <f>IF(OR($H$6="",$H$7=""),"",IF($B57="","",IF(ISNA(VLOOKUP($B57,'LT01'!$B$11:$R$75,13,FALSE)),"",IF(VLOOKUP($B57,'LT01'!$B$11:$R$75,13,FALSE)="","",VLOOKUP($B57,'LT01'!$B$11:$R$75,13,FALSE)))))</f>
        <v/>
      </c>
      <c r="I57" s="182" t="str">
        <f>IF(OR($H$6="",$H$7=""),"",IF($B57="","",IF(ISNA(VLOOKUP($B57,'LT01'!$B$11:$R$75,14,FALSE)),"",VLOOKUP($B57,'LT01'!$B$11:$R$75,14,FALSE))))</f>
        <v/>
      </c>
      <c r="J57" s="183"/>
      <c r="K57" s="182" t="str">
        <f>IF(OR($H$6="",$H$7=""),"",IF($B57="","",IF(ISNA(VLOOKUP($B57,'LT01'!$B$11:$R$75,17,FALSE)),"",VLOOKUP($B57,'LT01'!$B$11:$R$75,17,FALSE))))</f>
        <v/>
      </c>
      <c r="L57" s="185" t="str">
        <f>IF(OR($H$6="",$H$7=""),"",IF($B57="","",IF(ISNA(VLOOKUP($B57,'LT02'!$B$11:$R$75,13,FALSE)),"",IF(VLOOKUP($B57,'LT02'!$B$11:$R$75,13,FALSE)="","",VLOOKUP($B57,'LT02'!$B$11:$R$75,13,FALSE)))))</f>
        <v/>
      </c>
      <c r="M57" s="182" t="str">
        <f>IF(OR($H$6="",$H$7=""),"",IF($B57="","",IF(ISNA(VLOOKUP($B57,'LT02'!$B$11:$R$75,14,FALSE)),"",VLOOKUP($B57,'LT02'!$B$11:$R$75,14,FALSE))))</f>
        <v/>
      </c>
      <c r="N57" s="183"/>
      <c r="O57" s="182" t="str">
        <f>IF(OR($H$6="",$H$7=""),"",IF($B57="","",IF(ISNA(VLOOKUP($B57,'LT02'!$B$11:$R$75,17,FALSE)),"",VLOOKUP($B57,'LT02'!$B$11:$R$75,17,FALSE))))</f>
        <v/>
      </c>
      <c r="P57" s="185" t="str">
        <f>IF(OR($H$6="",$H$7=""),"",IF($B57="","",IF(ISNA(VLOOKUP($B57,'LT03'!$B$11:$R$75,13,FALSE)),"",IF(VLOOKUP($B57,'LT03'!$B$11:$R$75,13,FALSE)="","",VLOOKUP($B57,'LT03'!$B$11:$R$75,13,FALSE)))))</f>
        <v/>
      </c>
      <c r="Q57" s="182" t="str">
        <f>IF(OR($H$6="",$H$7=""),"",IF($B57="","",IF(ISNA(VLOOKUP($B57,'LT03'!$B$11:$R$75,14,FALSE)),"",VLOOKUP($B57,'LT03'!$B$11:$R$75,14,FALSE))))</f>
        <v/>
      </c>
      <c r="R57" s="183"/>
      <c r="S57" s="182" t="str">
        <f>IF(OR($H$6="",$H$7=""),"",IF($B57="","",IF(ISNA(VLOOKUP($B57,'LT03'!$B$11:$R$75,17,FALSE)),"",VLOOKUP($B57,'LT03'!$B$11:$R$75,17,FALSE))))</f>
        <v/>
      </c>
      <c r="T57" s="185" t="str">
        <f>IF(OR($H$6="",$H$7=""),"",IF($B57="","",IF(ISNA(VLOOKUP($B57,'LT04'!$B$11:$R$75,13,FALSE)),"",IF(VLOOKUP($B57,'LT04'!$B$11:$R$75,13,FALSE)="","",VLOOKUP($B57,'LT04'!$B$11:$R$75,13,FALSE)))))</f>
        <v/>
      </c>
      <c r="U57" s="182" t="str">
        <f>IF(OR($H$6="",$H$7=""),"",IF($B57="","",IF(ISNA(VLOOKUP($B57,'LT04'!$B$11:$R$75,14,FALSE)),"",VLOOKUP($B57,'LT04'!$B$11:$R$75,14,FALSE))))</f>
        <v/>
      </c>
      <c r="V57" s="183"/>
      <c r="W57" s="184" t="str">
        <f>IF(OR($H$6="",$H$7=""),"",IF($B57="","",IF(ISNA(VLOOKUP($B57,'LT04'!$B$11:$R$75,17,FALSE)),"",VLOOKUP($B57,'LT04'!$B$11:$R$75,17,FALSE))))</f>
        <v/>
      </c>
      <c r="X57" s="185" t="str">
        <f>IF(OR($H$6="",$H$7=""),"",IF($B57="","",IF(ISNA(VLOOKUP($B57,'LT05'!$B$11:$R$75,13,FALSE)),"",IF(VLOOKUP($B57,'LT05'!$B$11:$R$75,13,FALSE)="","",VLOOKUP($B57,'LT05'!$B$11:$R$75,13,FALSE)))))</f>
        <v/>
      </c>
      <c r="Y57" s="182" t="str">
        <f>IF(OR($H$6="",$H$7=""),"",IF($B57="","",IF(ISNA(VLOOKUP($B57,'LT05'!$B$11:$R$75,14,FALSE)),"",VLOOKUP($B57,'LT05'!$B$11:$R$75,14,FALSE))))</f>
        <v/>
      </c>
      <c r="Z57" s="183"/>
      <c r="AA57" s="182" t="str">
        <f>IF(OR($H$6="",$H$7=""),"",IF($B57="","",IF(ISNA(VLOOKUP($B57,'LT05'!$B$11:$R$75,17,FALSE)),"",VLOOKUP($B57,'LT05'!$B$11:$R$75,17,FALSE))))</f>
        <v/>
      </c>
      <c r="AB57" s="185" t="str">
        <f>IF(OR($H$6="",$H$7=""),"",IF($B57="","",IF(ISNA(VLOOKUP($B57,'LT06'!$B$11:$R$75,13,FALSE)),"",IF(VLOOKUP($B57,'LT06'!$B$11:$R$75,13,FALSE)="","",VLOOKUP($B57,'LT06'!$B$11:$R$75,13,FALSE)))))</f>
        <v/>
      </c>
      <c r="AC57" s="182" t="str">
        <f>IF(OR($H$6="",$H$7=""),"",IF($B57="","",IF(ISNA(VLOOKUP($B57,'LT06'!$B$11:$R$75,14,FALSE)),"",VLOOKUP($B57,'LT06'!$B$11:$R$75,14,FALSE))))</f>
        <v/>
      </c>
      <c r="AD57" s="183"/>
      <c r="AE57" s="182" t="str">
        <f>IF(OR($H$6="",$H$7=""),"",IF($B57="","",IF(ISNA(VLOOKUP($B57,'LT06'!$B$11:$R$75,17,FALSE)),"",VLOOKUP($B57,'LT06'!$B$11:$R$75,17,FALSE))))</f>
        <v/>
      </c>
      <c r="AF57" s="185" t="str">
        <f>IF(OR($H$6="",$H$7=""),"",IF($B57="","",IF(ISNA(VLOOKUP($B57,'LT07'!$B$11:$R$75,13,FALSE)),"",IF(VLOOKUP($B57,'LT07'!$B$11:$R$75,13,FALSE)="","",VLOOKUP($B57,'LT07'!$B$11:$R$75,13,FALSE)))))</f>
        <v/>
      </c>
      <c r="AG57" s="182" t="str">
        <f>IF(OR($H$6="",$H$7=""),"",IF($B57="","",IF(ISNA(VLOOKUP($B57,'LT07'!$B$11:$R$75,14,FALSE)),"",VLOOKUP($B57,'LT07'!$B$11:$R$75,14,FALSE))))</f>
        <v/>
      </c>
      <c r="AH57" s="183"/>
      <c r="AI57" s="182" t="str">
        <f>IF(OR($H$6="",$H$7=""),"",IF($B57="","",IF(ISNA(VLOOKUP($B57,'LT07'!$B$11:$R$75,17,FALSE)),"",VLOOKUP($B57,'LT07'!$B$11:$R$75,17,FALSE))))</f>
        <v/>
      </c>
      <c r="AJ57" s="185" t="str">
        <f>IF(OR($H$6="",$H$7=""),"",IF($B57="","",IF(ISNA(VLOOKUP($B57,'LT08'!$B$11:$R$75,13,FALSE)),"",IF(VLOOKUP($B57,'LT08'!$B$11:$R$75,13,FALSE)="","",VLOOKUP($B57,'LT08'!$B$11:$R$75,13,FALSE)))))</f>
        <v/>
      </c>
      <c r="AK57" s="182" t="str">
        <f>IF(OR($H$6="",$H$7=""),"",IF($B57="","",IF(ISNA(VLOOKUP($B57,'LT08'!$B$11:$R$75,14,FALSE)),"",VLOOKUP($B57,'LT08'!$B$11:$R$75,14,FALSE))))</f>
        <v/>
      </c>
      <c r="AL57" s="183"/>
      <c r="AM57" s="182" t="str">
        <f>IF(OR($H$6="",$H$7=""),"",IF($B57="","",IF(ISNA(VLOOKUP($B57,'LT08'!$B$11:$R$75,17,FALSE)),"",VLOOKUP($B57,'LT08'!$B$11:$R$75,17,FALSE))))</f>
        <v/>
      </c>
      <c r="AN57" s="185" t="str">
        <f>IF(OR($H$6="",$H$7=""),"",IF($B57="","",IF(ISNA(VLOOKUP($B57,'LT09'!$B$11:$R$75,13,FALSE)),"",IF(VLOOKUP($B57,'LT09'!$B$11:$R$75,13,FALSE)="","",VLOOKUP($B57,'LT09'!$B$11:$R$75,13,FALSE)))))</f>
        <v/>
      </c>
      <c r="AO57" s="182" t="str">
        <f>IF(OR($H$6="",$H$7=""),"",IF($B57="","",IF(ISNA(VLOOKUP($B57,'LT09'!$B$11:$R$75,14,FALSE)),"",VLOOKUP($B57,'LT09'!$B$11:$R$75,14,FALSE))))</f>
        <v/>
      </c>
      <c r="AP57" s="183"/>
      <c r="AQ57" s="182" t="str">
        <f>IF(OR($H$6="",$H$7=""),"",IF($B57="","",IF(ISNA(VLOOKUP($B57,'LT09'!$B$11:$R$75,17,FALSE)),"",VLOOKUP($B57,'LT09'!$B$11:$R$75,17,FALSE))))</f>
        <v/>
      </c>
      <c r="AR57" s="186"/>
      <c r="AS57" s="182" t="str">
        <f>IF(OR($H$6="",$H$7=""),"",IF($B57="","",IF(ISNA(VLOOKUP($B57,'TH01'!$B$11:$R$75,14,FALSE)),"",VLOOKUP($B57,'TH01'!$B$11:$R$75,14,FALSE))))</f>
        <v/>
      </c>
      <c r="AT57" s="183"/>
      <c r="AU57" s="187"/>
      <c r="AV57" s="186"/>
      <c r="AW57" s="182" t="str">
        <f>IF(OR($H$6="",$H$7=""),"",IF($B57="","",IF(ISNA(VLOOKUP($B57,'TH02'!$B$11:$R$75,14,FALSE)),"",VLOOKUP($B57,'TH02'!$B$11:$R$75,14,FALSE))))</f>
        <v/>
      </c>
      <c r="AX57" s="183"/>
      <c r="AY57" s="187"/>
      <c r="AZ57" s="54" t="str">
        <f t="shared" si="24"/>
        <v/>
      </c>
      <c r="BA57" s="54" t="str">
        <f t="shared" si="0"/>
        <v/>
      </c>
      <c r="BB57" s="70"/>
      <c r="BC57" s="52" t="str">
        <f t="shared" si="25"/>
        <v/>
      </c>
      <c r="BD57" s="52" t="str">
        <f t="shared" si="26"/>
        <v/>
      </c>
      <c r="BE57" s="52" t="str">
        <f t="shared" si="86"/>
        <v/>
      </c>
      <c r="BF57" s="149" t="str">
        <f t="shared" si="87"/>
        <v/>
      </c>
      <c r="BG57" s="52" t="str">
        <f t="shared" si="88"/>
        <v/>
      </c>
      <c r="BH57" s="52" t="str">
        <f t="shared" si="89"/>
        <v/>
      </c>
      <c r="BI57" s="52" t="str">
        <f t="shared" si="90"/>
        <v/>
      </c>
      <c r="BJ57" s="52" t="str">
        <f t="shared" si="91"/>
        <v/>
      </c>
      <c r="BK57" s="54" t="str">
        <f t="shared" si="92"/>
        <v/>
      </c>
      <c r="BL57" s="54" t="str">
        <f t="shared" si="93"/>
        <v/>
      </c>
      <c r="BM57" s="54" t="str">
        <f t="shared" si="94"/>
        <v/>
      </c>
      <c r="BN57" s="54" t="str">
        <f t="shared" si="95"/>
        <v/>
      </c>
      <c r="BO57" s="70"/>
      <c r="BP57" s="52" t="str">
        <f>IF(ISNA(VLOOKUP(B57,'TICH LUY'!B:D,2,0)),"",VLOOKUP(B57,'TICH LUY'!B:D,2,0)+BI57)</f>
        <v/>
      </c>
      <c r="BQ57" s="52" t="str">
        <f>IF(ISNA(VLOOKUP(B57,'TICH LUY'!B:D,3,0)),"",VLOOKUP(B57,'TICH LUY'!B:D,3,0)+BJ57)</f>
        <v/>
      </c>
      <c r="BR57" s="40" t="str">
        <f t="shared" si="96"/>
        <v/>
      </c>
      <c r="BS57" s="452" t="str">
        <f t="shared" si="97"/>
        <v/>
      </c>
      <c r="BT57" s="452" t="str">
        <f t="shared" si="98"/>
        <v/>
      </c>
      <c r="BU57" s="452" t="str">
        <f t="shared" si="99"/>
        <v/>
      </c>
      <c r="BV57" s="452" t="str">
        <f t="shared" si="100"/>
        <v/>
      </c>
      <c r="BW57" s="452" t="str">
        <f t="shared" si="101"/>
        <v/>
      </c>
      <c r="BX57" s="452" t="str">
        <f t="shared" si="102"/>
        <v/>
      </c>
      <c r="BY57" s="452" t="str">
        <f t="shared" si="103"/>
        <v/>
      </c>
      <c r="BZ57" s="452" t="str">
        <f t="shared" si="28"/>
        <v/>
      </c>
      <c r="CA57" s="452" t="str">
        <f t="shared" si="29"/>
        <v/>
      </c>
      <c r="CB57" s="452" t="str">
        <f t="shared" si="30"/>
        <v/>
      </c>
      <c r="CC57" s="452" t="str">
        <f t="shared" si="104"/>
        <v/>
      </c>
      <c r="CD57" s="40" t="str">
        <f t="shared" si="31"/>
        <v/>
      </c>
      <c r="CE57" s="453" t="str">
        <f t="shared" si="80"/>
        <v/>
      </c>
      <c r="CF57" s="452" t="str">
        <f t="shared" si="32"/>
        <v/>
      </c>
      <c r="CG57" s="452" t="str">
        <f t="shared" si="81"/>
        <v/>
      </c>
      <c r="CH57" s="452" t="str">
        <f t="shared" si="82"/>
        <v/>
      </c>
      <c r="CI57" s="452" t="str">
        <f t="shared" si="83"/>
        <v/>
      </c>
      <c r="CJ57" s="452" t="str">
        <f t="shared" si="84"/>
        <v/>
      </c>
      <c r="CK57" s="452" t="str">
        <f t="shared" si="85"/>
        <v/>
      </c>
      <c r="CL57" s="452" t="str">
        <f t="shared" si="33"/>
        <v/>
      </c>
      <c r="CM57" s="452" t="str">
        <f t="shared" si="34"/>
        <v/>
      </c>
      <c r="CN57" s="452" t="str">
        <f t="shared" si="35"/>
        <v/>
      </c>
      <c r="CO57" s="452" t="str">
        <f t="shared" si="105"/>
        <v/>
      </c>
      <c r="CP57" s="454" t="str">
        <f t="shared" si="36"/>
        <v/>
      </c>
      <c r="CQ57" s="527" t="str">
        <f>IF(OR(ISNA(VLOOKUP($B57,'TICH LUY'!$B$11:$BY$85,54,0)),$B57=""),"",VLOOKUP($B57,'TICH LUY'!$B$11:$BY$85,54,0))</f>
        <v/>
      </c>
      <c r="CR57" s="507" t="str">
        <f>IF(OR(ISNA(VLOOKUP($B57,'TICH LUY'!$B$11:$BY$85,55,0)),$B57=""),"",VLOOKUP($B57,'TICH LUY'!$B$11:$BY$85,55,0))</f>
        <v/>
      </c>
      <c r="CS57" s="507" t="str">
        <f>IF(OR(ISNA(VLOOKUP($B57,'TICH LUY'!$B$11:$BY$85,56,0)),$B57=""),"",VLOOKUP($B57,'TICH LUY'!$B$11:$BY$85,56,0))</f>
        <v/>
      </c>
      <c r="CT57" s="507" t="str">
        <f>IF(OR(ISNA(VLOOKUP($B57,'TICH LUY'!$B$11:$BY$85,57,0)),$B57=""),"",VLOOKUP($B57,'TICH LUY'!$B$11:$BY$85,57,0))</f>
        <v/>
      </c>
      <c r="CU57" s="507" t="str">
        <f>IF(OR(ISNA(VLOOKUP($B57,'TICH LUY'!$B$11:$BY$85,58,0)),$B57=""),"",VLOOKUP($B57,'TICH LUY'!$B$11:$BY$85,58,0))</f>
        <v/>
      </c>
      <c r="CV57" s="507" t="str">
        <f>IF(OR(ISNA(VLOOKUP($B57,'TICH LUY'!$B$11:$BY$85,59,0)),$B57=""),"",VLOOKUP($B57,'TICH LUY'!$B$11:$BY$85,59,0))</f>
        <v/>
      </c>
      <c r="CW57" s="507" t="str">
        <f>IF(OR(ISNA(VLOOKUP($B57,'TICH LUY'!$B$11:$BY$85,60,0)),$B57=""),"",VLOOKUP($B57,'TICH LUY'!$B$11:$BY$85,60,0))</f>
        <v/>
      </c>
      <c r="CX57" s="507" t="str">
        <f>IF(OR(ISNA(VLOOKUP($B57,'TICH LUY'!$B$11:$BY$85,61,0)),$B57=""),"",VLOOKUP($B57,'TICH LUY'!$B$11:$BY$85,61,0))</f>
        <v/>
      </c>
      <c r="CY57" s="507" t="str">
        <f>IF(OR(ISNA(VLOOKUP($B57,'TICH LUY'!$B$11:$BY$85,62,0)),$B57=""),"",VLOOKUP($B57,'TICH LUY'!$B$11:$BY$85,62,0))</f>
        <v/>
      </c>
      <c r="CZ57" s="507" t="str">
        <f>IF(OR(ISNA(VLOOKUP($B57,'TICH LUY'!$B$11:$BY$85,63,0)),$B57=""),"",VLOOKUP($B57,'TICH LUY'!$B$11:$BY$85,63,0))</f>
        <v/>
      </c>
      <c r="DA57" s="507" t="str">
        <f>IF(OR(ISNA(VLOOKUP($B57,'TICH LUY'!$B$11:$BY$85,64,0)),$B57=""),"",VLOOKUP($B57,'TICH LUY'!$B$11:$BY$85,64,0))</f>
        <v/>
      </c>
      <c r="DB57" s="507" t="str">
        <f>IF(OR(ISNA(VLOOKUP($B57,'TICH LUY'!$B$11:$BY$85,65,0)),$B57=""),"",VLOOKUP($B57,'TICH LUY'!$B$11:$BY$85,65,0))</f>
        <v/>
      </c>
      <c r="DC57" s="507" t="str">
        <f>IF(OR(ISNA(VLOOKUP($B57,'TICH LUY'!$B$11:$BY$85,66,0)),$B57=""),"",VLOOKUP($B57,'TICH LUY'!$B$11:$BY$85,66,0))</f>
        <v/>
      </c>
      <c r="DD57" s="507" t="str">
        <f>IF(OR(ISNA(VLOOKUP($B57,'TICH LUY'!$B$11:$BY$85,67,0)),$B57=""),"",VLOOKUP($B57,'TICH LUY'!$B$11:$BY$85,67,0))</f>
        <v/>
      </c>
      <c r="DE57" s="507" t="str">
        <f>IF(OR(ISNA(VLOOKUP($B57,'TICH LUY'!$B$11:$BY$85,68,0)),$B57=""),"",VLOOKUP($B57,'TICH LUY'!$B$11:$BY$85,68,0))</f>
        <v/>
      </c>
      <c r="DF57" s="507" t="str">
        <f>IF(OR(ISNA(VLOOKUP($B57,'TICH LUY'!$B$11:$BY$85,69,0)),$B57=""),"",VLOOKUP($B57,'TICH LUY'!$B$11:$BY$85,69,0))</f>
        <v/>
      </c>
      <c r="DG57" s="507" t="str">
        <f>IF(OR(ISNA(VLOOKUP($B57,'TICH LUY'!$B$11:$BY$85,70,0)),$B57=""),"",VLOOKUP($B57,'TICH LUY'!$B$11:$BY$85,70,0))</f>
        <v/>
      </c>
      <c r="DH57" s="507" t="str">
        <f>IF(OR(ISNA(VLOOKUP($B57,'TICH LUY'!$B$11:$BY$85,71,0)),$B57=""),"",VLOOKUP($B57,'TICH LUY'!$B$11:$BY$85,71,0))</f>
        <v/>
      </c>
      <c r="DI57" s="507" t="str">
        <f>IF(OR(ISNA(VLOOKUP($B57,'TICH LUY'!$B$11:$BY$85,72,0)),$B57=""),"",VLOOKUP($B57,'TICH LUY'!$B$11:$BY$85,72,0))</f>
        <v/>
      </c>
      <c r="DJ57" s="507" t="str">
        <f>IF(OR(ISNA(VLOOKUP($B57,'TICH LUY'!$B$11:$BY$85,73,0)),$B57=""),"",VLOOKUP($B57,'TICH LUY'!$B$11:$BY$85,73,0))</f>
        <v/>
      </c>
      <c r="DK57" s="507" t="str">
        <f>IF(OR(ISNA(VLOOKUP($B57,'TICH LUY'!$B$11:$BY$85,74,0)),$B57=""),"",VLOOKUP($B57,'TICH LUY'!$B$11:$BY$85,74,0))</f>
        <v/>
      </c>
      <c r="DL57" s="507" t="str">
        <f>IF(OR(ISNA(VLOOKUP($B57,'TICH LUY'!$B$11:$BY$85,75,0)),$B57=""),"",VLOOKUP($B57,'TICH LUY'!$B$11:$BY$85,75,0))</f>
        <v/>
      </c>
      <c r="DM57" s="529" t="str">
        <f>IF(OR(ISNA(VLOOKUP($B57,'TICH LUY'!$B$11:$BY$85,76,0)),$B57=""),"",VLOOKUP($B57,'TICH LUY'!$B$11:$BY$85,76,0))</f>
        <v/>
      </c>
      <c r="DN57" s="455" t="str">
        <f t="shared" si="37"/>
        <v/>
      </c>
      <c r="DO57" s="456" t="str">
        <f t="shared" si="38"/>
        <v/>
      </c>
      <c r="DP57" s="456" t="str">
        <f t="shared" si="39"/>
        <v/>
      </c>
      <c r="DQ57" s="456" t="str">
        <f t="shared" si="40"/>
        <v/>
      </c>
      <c r="DR57" s="456" t="str">
        <f t="shared" si="41"/>
        <v/>
      </c>
      <c r="DS57" s="456" t="str">
        <f t="shared" si="42"/>
        <v/>
      </c>
      <c r="DT57" s="456" t="str">
        <f t="shared" si="43"/>
        <v/>
      </c>
      <c r="DU57" s="456" t="str">
        <f t="shared" si="44"/>
        <v/>
      </c>
      <c r="DV57" s="456" t="str">
        <f t="shared" si="45"/>
        <v/>
      </c>
      <c r="DW57" s="456" t="str">
        <f t="shared" si="46"/>
        <v/>
      </c>
      <c r="DX57" s="456" t="str">
        <f t="shared" si="47"/>
        <v/>
      </c>
      <c r="DY57" s="457" t="str">
        <f t="shared" si="48"/>
        <v/>
      </c>
      <c r="DZ57" s="453" t="str">
        <f t="shared" si="49"/>
        <v/>
      </c>
      <c r="EA57" s="452" t="str">
        <f t="shared" si="50"/>
        <v/>
      </c>
      <c r="EB57" s="452" t="str">
        <f t="shared" si="51"/>
        <v/>
      </c>
      <c r="EC57" s="452" t="str">
        <f t="shared" si="52"/>
        <v/>
      </c>
      <c r="ED57" s="452" t="str">
        <f t="shared" si="53"/>
        <v/>
      </c>
      <c r="EE57" s="452" t="str">
        <f t="shared" si="54"/>
        <v/>
      </c>
      <c r="EF57" s="452" t="str">
        <f t="shared" si="55"/>
        <v/>
      </c>
      <c r="EG57" s="452" t="str">
        <f t="shared" si="56"/>
        <v/>
      </c>
      <c r="EH57" s="452" t="str">
        <f t="shared" si="57"/>
        <v/>
      </c>
      <c r="EI57" s="453" t="str">
        <f t="shared" si="58"/>
        <v/>
      </c>
      <c r="EJ57" s="452" t="str">
        <f t="shared" si="59"/>
        <v/>
      </c>
      <c r="EK57" s="452" t="str">
        <f t="shared" si="60"/>
        <v/>
      </c>
      <c r="EL57" s="452" t="str">
        <f t="shared" si="61"/>
        <v/>
      </c>
      <c r="EM57" s="452" t="str">
        <f t="shared" si="62"/>
        <v/>
      </c>
      <c r="EN57" s="452" t="str">
        <f t="shared" si="63"/>
        <v/>
      </c>
      <c r="EO57" s="452" t="str">
        <f t="shared" si="64"/>
        <v/>
      </c>
      <c r="EP57" s="452" t="str">
        <f t="shared" si="65"/>
        <v/>
      </c>
      <c r="EQ57" s="452" t="str">
        <f t="shared" si="66"/>
        <v/>
      </c>
      <c r="ER57" s="452" t="str">
        <f t="shared" si="67"/>
        <v/>
      </c>
      <c r="ES57" s="452" t="str">
        <f t="shared" si="106"/>
        <v/>
      </c>
      <c r="ET57" s="458" t="str">
        <f t="shared" si="68"/>
        <v/>
      </c>
      <c r="EU57" s="527" t="str">
        <f>IF(OR(ISNA(VLOOKUP($B57,'TICH LUY'!$B$11:$BY$85,54,0)),$B57=""),"",VLOOKUP($B57,'TICH LUY'!$B$11:$BY$85,54,0))</f>
        <v/>
      </c>
      <c r="EV57" s="507" t="str">
        <f>IF(OR(ISNA(VLOOKUP($B57,'TICH LUY'!$B$11:$BY$85,55,0)),$B57=""),"",VLOOKUP($B57,'TICH LUY'!$B$11:$BY$85,55,0))</f>
        <v/>
      </c>
      <c r="EW57" s="507" t="str">
        <f>IF(OR(ISNA(VLOOKUP($B57,'TICH LUY'!$B$11:$BY$85,56,0)),$B57=""),"",VLOOKUP($B57,'TICH LUY'!$B$11:$BY$85,56,0))</f>
        <v/>
      </c>
      <c r="EX57" s="507" t="str">
        <f>IF(OR(ISNA(VLOOKUP($B57,'TICH LUY'!$B$11:$BY$85,57,0)),$B57=""),"",VLOOKUP($B57,'TICH LUY'!$B$11:$BY$85,57,0))</f>
        <v/>
      </c>
      <c r="EY57" s="507" t="str">
        <f>IF(OR(ISNA(VLOOKUP($B57,'TICH LUY'!$B$11:$BY$85,58,0)),$B57=""),"",VLOOKUP($B57,'TICH LUY'!$B$11:$BY$85,58,0))</f>
        <v/>
      </c>
      <c r="EZ57" s="507" t="str">
        <f>IF(OR(ISNA(VLOOKUP($B57,'TICH LUY'!$B$11:$BY$85,59,0)),$B57=""),"",VLOOKUP($B57,'TICH LUY'!$B$11:$BY$85,59,0))</f>
        <v/>
      </c>
      <c r="FA57" s="507" t="str">
        <f>IF(OR(ISNA(VLOOKUP($B57,'TICH LUY'!$B$11:$BY$85,60,0)),$B57=""),"",VLOOKUP($B57,'TICH LUY'!$B$11:$BY$85,60,0))</f>
        <v/>
      </c>
      <c r="FB57" s="507" t="str">
        <f>IF(OR(ISNA(VLOOKUP($B57,'TICH LUY'!$B$11:$BY$85,61,0)),$B57=""),"",VLOOKUP($B57,'TICH LUY'!$B$11:$BY$85,61,0))</f>
        <v/>
      </c>
      <c r="FC57" s="507" t="str">
        <f>IF(OR(ISNA(VLOOKUP($B57,'TICH LUY'!$B$11:$BY$85,62,0)),$B57=""),"",VLOOKUP($B57,'TICH LUY'!$B$11:$BY$85,62,0))</f>
        <v/>
      </c>
      <c r="FD57" s="507" t="str">
        <f>IF(OR(ISNA(VLOOKUP($B57,'TICH LUY'!$B$11:$BY$85,63,0)),$B57=""),"",VLOOKUP($B57,'TICH LUY'!$B$11:$BY$85,63,0))</f>
        <v/>
      </c>
      <c r="FE57" s="507" t="str">
        <f>IF(OR(ISNA(VLOOKUP($B57,'TICH LUY'!$B$11:$BY$85,64,0)),$B57=""),"",VLOOKUP($B57,'TICH LUY'!$B$11:$BY$85,64,0))</f>
        <v/>
      </c>
      <c r="FF57" s="507" t="str">
        <f>IF(OR(ISNA(VLOOKUP($B57,'TICH LUY'!$B$11:$BY$85,65,0)),$B57=""),"",VLOOKUP($B57,'TICH LUY'!$B$11:$BY$85,65,0))</f>
        <v/>
      </c>
      <c r="FG57" s="507" t="str">
        <f>IF(OR(ISNA(VLOOKUP($B57,'TICH LUY'!$B$11:$BY$85,66,0)),$B57=""),"",VLOOKUP($B57,'TICH LUY'!$B$11:$BY$85,66,0))</f>
        <v/>
      </c>
      <c r="FH57" s="507" t="str">
        <f>IF(OR(ISNA(VLOOKUP($B57,'TICH LUY'!$B$11:$BY$85,67,0)),$B57=""),"",VLOOKUP($B57,'TICH LUY'!$B$11:$BY$85,67,0))</f>
        <v/>
      </c>
      <c r="FI57" s="507" t="str">
        <f>IF(OR(ISNA(VLOOKUP($B57,'TICH LUY'!$B$11:$BY$85,68,0)),$B57=""),"",VLOOKUP($B57,'TICH LUY'!$B$11:$BY$85,68,0))</f>
        <v/>
      </c>
      <c r="FJ57" s="507" t="str">
        <f>IF(OR(ISNA(VLOOKUP($B57,'TICH LUY'!$B$11:$BY$85,69,0)),$B57=""),"",VLOOKUP($B57,'TICH LUY'!$B$11:$BY$85,69,0))</f>
        <v/>
      </c>
      <c r="FK57" s="507" t="str">
        <f>IF(OR(ISNA(VLOOKUP($B57,'TICH LUY'!$B$11:$BY$85,70,0)),$B57=""),"",VLOOKUP($B57,'TICH LUY'!$B$11:$BY$85,70,0))</f>
        <v/>
      </c>
      <c r="FL57" s="507" t="str">
        <f>IF(OR(ISNA(VLOOKUP($B57,'TICH LUY'!$B$11:$BY$85,71,0)),$B57=""),"",VLOOKUP($B57,'TICH LUY'!$B$11:$BY$85,71,0))</f>
        <v/>
      </c>
      <c r="FM57" s="507" t="str">
        <f>IF(OR(ISNA(VLOOKUP($B57,'TICH LUY'!$B$11:$BY$85,72,0)),$B57=""),"",VLOOKUP($B57,'TICH LUY'!$B$11:$BY$85,72,0))</f>
        <v/>
      </c>
      <c r="FN57" s="507" t="str">
        <f>IF(OR(ISNA(VLOOKUP($B57,'TICH LUY'!$B$11:$BY$85,73,0)),$B57=""),"",VLOOKUP($B57,'TICH LUY'!$B$11:$BY$85,73,0))</f>
        <v/>
      </c>
      <c r="FO57" s="507" t="str">
        <f>IF(OR(ISNA(VLOOKUP($B57,'TICH LUY'!$B$11:$BY$85,74,0)),$B57=""),"",VLOOKUP($B57,'TICH LUY'!$B$11:$BY$85,74,0))</f>
        <v/>
      </c>
      <c r="FP57" s="507" t="str">
        <f>IF(OR(ISNA(VLOOKUP($B57,'TICH LUY'!$B$11:$BY$85,75,0)),$B57=""),"",VLOOKUP($B57,'TICH LUY'!$B$11:$BY$85,75,0))</f>
        <v/>
      </c>
      <c r="FQ57" s="529" t="str">
        <f>IF(OR(ISNA(VLOOKUP($B57,'TICH LUY'!$B$11:$BY$85,76,0)),$B57=""),"",VLOOKUP($B57,'TICH LUY'!$B$11:$BY$85,76,0))</f>
        <v/>
      </c>
      <c r="FR57" s="455" t="str">
        <f t="shared" si="69"/>
        <v/>
      </c>
      <c r="FS57" s="456" t="str">
        <f t="shared" si="70"/>
        <v/>
      </c>
      <c r="FT57" s="456" t="str">
        <f t="shared" si="71"/>
        <v/>
      </c>
      <c r="FU57" s="456" t="str">
        <f t="shared" si="72"/>
        <v/>
      </c>
      <c r="FV57" s="456" t="str">
        <f t="shared" si="73"/>
        <v/>
      </c>
      <c r="FW57" s="456" t="str">
        <f t="shared" si="74"/>
        <v/>
      </c>
      <c r="FX57" s="456" t="str">
        <f t="shared" si="75"/>
        <v/>
      </c>
      <c r="FY57" s="456" t="str">
        <f t="shared" si="76"/>
        <v/>
      </c>
      <c r="FZ57" s="456" t="str">
        <f t="shared" si="77"/>
        <v/>
      </c>
      <c r="GA57" s="456" t="str">
        <f t="shared" si="78"/>
        <v/>
      </c>
      <c r="GB57" s="459" t="str">
        <f t="shared" si="79"/>
        <v/>
      </c>
      <c r="GC57" s="457" t="str">
        <f t="shared" si="107"/>
        <v/>
      </c>
    </row>
    <row r="58" spans="1:185" s="221" customFormat="1" ht="15.75">
      <c r="A58" s="449" t="str">
        <f>IF(B58="","",SUBTOTAL(3,$B$11:B58))</f>
        <v/>
      </c>
      <c r="B58" s="198"/>
      <c r="C58" s="450" t="str">
        <f>IF($B58="","",VLOOKUP($B58,'DS LOP HKI'!$B$2:$F$2642,2,0))</f>
        <v/>
      </c>
      <c r="D58" s="451" t="str">
        <f>IF($B58="","",VLOOKUP($B58,'DS LOP HKI'!$B$2:$F$2642,3,0))</f>
        <v/>
      </c>
      <c r="E58" s="154"/>
      <c r="F58" s="152"/>
      <c r="G58" s="156"/>
      <c r="H58" s="181" t="str">
        <f>IF(OR($H$6="",$H$7=""),"",IF($B58="","",IF(ISNA(VLOOKUP($B58,'LT01'!$B$11:$R$75,13,FALSE)),"",IF(VLOOKUP($B58,'LT01'!$B$11:$R$75,13,FALSE)="","",VLOOKUP($B58,'LT01'!$B$11:$R$75,13,FALSE)))))</f>
        <v/>
      </c>
      <c r="I58" s="182" t="str">
        <f>IF(OR($H$6="",$H$7=""),"",IF($B58="","",IF(ISNA(VLOOKUP($B58,'LT01'!$B$11:$R$75,14,FALSE)),"",VLOOKUP($B58,'LT01'!$B$11:$R$75,14,FALSE))))</f>
        <v/>
      </c>
      <c r="J58" s="183"/>
      <c r="K58" s="182" t="str">
        <f>IF(OR($H$6="",$H$7=""),"",IF($B58="","",IF(ISNA(VLOOKUP($B58,'LT01'!$B$11:$R$75,17,FALSE)),"",VLOOKUP($B58,'LT01'!$B$11:$R$75,17,FALSE))))</f>
        <v/>
      </c>
      <c r="L58" s="185" t="str">
        <f>IF(OR($H$6="",$H$7=""),"",IF($B58="","",IF(ISNA(VLOOKUP($B58,'LT02'!$B$11:$R$75,13,FALSE)),"",IF(VLOOKUP($B58,'LT02'!$B$11:$R$75,13,FALSE)="","",VLOOKUP($B58,'LT02'!$B$11:$R$75,13,FALSE)))))</f>
        <v/>
      </c>
      <c r="M58" s="182" t="str">
        <f>IF(OR($H$6="",$H$7=""),"",IF($B58="","",IF(ISNA(VLOOKUP($B58,'LT02'!$B$11:$R$75,14,FALSE)),"",VLOOKUP($B58,'LT02'!$B$11:$R$75,14,FALSE))))</f>
        <v/>
      </c>
      <c r="N58" s="183"/>
      <c r="O58" s="182" t="str">
        <f>IF(OR($H$6="",$H$7=""),"",IF($B58="","",IF(ISNA(VLOOKUP($B58,'LT02'!$B$11:$R$75,17,FALSE)),"",VLOOKUP($B58,'LT02'!$B$11:$R$75,17,FALSE))))</f>
        <v/>
      </c>
      <c r="P58" s="185" t="str">
        <f>IF(OR($H$6="",$H$7=""),"",IF($B58="","",IF(ISNA(VLOOKUP($B58,'LT03'!$B$11:$R$75,13,FALSE)),"",IF(VLOOKUP($B58,'LT03'!$B$11:$R$75,13,FALSE)="","",VLOOKUP($B58,'LT03'!$B$11:$R$75,13,FALSE)))))</f>
        <v/>
      </c>
      <c r="Q58" s="182" t="str">
        <f>IF(OR($H$6="",$H$7=""),"",IF($B58="","",IF(ISNA(VLOOKUP($B58,'LT03'!$B$11:$R$75,14,FALSE)),"",VLOOKUP($B58,'LT03'!$B$11:$R$75,14,FALSE))))</f>
        <v/>
      </c>
      <c r="R58" s="183"/>
      <c r="S58" s="182" t="str">
        <f>IF(OR($H$6="",$H$7=""),"",IF($B58="","",IF(ISNA(VLOOKUP($B58,'LT03'!$B$11:$R$75,17,FALSE)),"",VLOOKUP($B58,'LT03'!$B$11:$R$75,17,FALSE))))</f>
        <v/>
      </c>
      <c r="T58" s="185" t="str">
        <f>IF(OR($H$6="",$H$7=""),"",IF($B58="","",IF(ISNA(VLOOKUP($B58,'LT04'!$B$11:$R$75,13,FALSE)),"",IF(VLOOKUP($B58,'LT04'!$B$11:$R$75,13,FALSE)="","",VLOOKUP($B58,'LT04'!$B$11:$R$75,13,FALSE)))))</f>
        <v/>
      </c>
      <c r="U58" s="182" t="str">
        <f>IF(OR($H$6="",$H$7=""),"",IF($B58="","",IF(ISNA(VLOOKUP($B58,'LT04'!$B$11:$R$75,14,FALSE)),"",VLOOKUP($B58,'LT04'!$B$11:$R$75,14,FALSE))))</f>
        <v/>
      </c>
      <c r="V58" s="183"/>
      <c r="W58" s="184" t="str">
        <f>IF(OR($H$6="",$H$7=""),"",IF($B58="","",IF(ISNA(VLOOKUP($B58,'LT04'!$B$11:$R$75,17,FALSE)),"",VLOOKUP($B58,'LT04'!$B$11:$R$75,17,FALSE))))</f>
        <v/>
      </c>
      <c r="X58" s="185" t="str">
        <f>IF(OR($H$6="",$H$7=""),"",IF($B58="","",IF(ISNA(VLOOKUP($B58,'LT05'!$B$11:$R$75,13,FALSE)),"",IF(VLOOKUP($B58,'LT05'!$B$11:$R$75,13,FALSE)="","",VLOOKUP($B58,'LT05'!$B$11:$R$75,13,FALSE)))))</f>
        <v/>
      </c>
      <c r="Y58" s="182" t="str">
        <f>IF(OR($H$6="",$H$7=""),"",IF($B58="","",IF(ISNA(VLOOKUP($B58,'LT05'!$B$11:$R$75,14,FALSE)),"",VLOOKUP($B58,'LT05'!$B$11:$R$75,14,FALSE))))</f>
        <v/>
      </c>
      <c r="Z58" s="183"/>
      <c r="AA58" s="182" t="str">
        <f>IF(OR($H$6="",$H$7=""),"",IF($B58="","",IF(ISNA(VLOOKUP($B58,'LT05'!$B$11:$R$75,17,FALSE)),"",VLOOKUP($B58,'LT05'!$B$11:$R$75,17,FALSE))))</f>
        <v/>
      </c>
      <c r="AB58" s="185" t="str">
        <f>IF(OR($H$6="",$H$7=""),"",IF($B58="","",IF(ISNA(VLOOKUP($B58,'LT06'!$B$11:$R$75,13,FALSE)),"",IF(VLOOKUP($B58,'LT06'!$B$11:$R$75,13,FALSE)="","",VLOOKUP($B58,'LT06'!$B$11:$R$75,13,FALSE)))))</f>
        <v/>
      </c>
      <c r="AC58" s="182" t="str">
        <f>IF(OR($H$6="",$H$7=""),"",IF($B58="","",IF(ISNA(VLOOKUP($B58,'LT06'!$B$11:$R$75,14,FALSE)),"",VLOOKUP($B58,'LT06'!$B$11:$R$75,14,FALSE))))</f>
        <v/>
      </c>
      <c r="AD58" s="183"/>
      <c r="AE58" s="182" t="str">
        <f>IF(OR($H$6="",$H$7=""),"",IF($B58="","",IF(ISNA(VLOOKUP($B58,'LT06'!$B$11:$R$75,17,FALSE)),"",VLOOKUP($B58,'LT06'!$B$11:$R$75,17,FALSE))))</f>
        <v/>
      </c>
      <c r="AF58" s="185" t="str">
        <f>IF(OR($H$6="",$H$7=""),"",IF($B58="","",IF(ISNA(VLOOKUP($B58,'LT07'!$B$11:$R$75,13,FALSE)),"",IF(VLOOKUP($B58,'LT07'!$B$11:$R$75,13,FALSE)="","",VLOOKUP($B58,'LT07'!$B$11:$R$75,13,FALSE)))))</f>
        <v/>
      </c>
      <c r="AG58" s="182" t="str">
        <f>IF(OR($H$6="",$H$7=""),"",IF($B58="","",IF(ISNA(VLOOKUP($B58,'LT07'!$B$11:$R$75,14,FALSE)),"",VLOOKUP($B58,'LT07'!$B$11:$R$75,14,FALSE))))</f>
        <v/>
      </c>
      <c r="AH58" s="183"/>
      <c r="AI58" s="182" t="str">
        <f>IF(OR($H$6="",$H$7=""),"",IF($B58="","",IF(ISNA(VLOOKUP($B58,'LT07'!$B$11:$R$75,17,FALSE)),"",VLOOKUP($B58,'LT07'!$B$11:$R$75,17,FALSE))))</f>
        <v/>
      </c>
      <c r="AJ58" s="185" t="str">
        <f>IF(OR($H$6="",$H$7=""),"",IF($B58="","",IF(ISNA(VLOOKUP($B58,'LT08'!$B$11:$R$75,13,FALSE)),"",IF(VLOOKUP($B58,'LT08'!$B$11:$R$75,13,FALSE)="","",VLOOKUP($B58,'LT08'!$B$11:$R$75,13,FALSE)))))</f>
        <v/>
      </c>
      <c r="AK58" s="182" t="str">
        <f>IF(OR($H$6="",$H$7=""),"",IF($B58="","",IF(ISNA(VLOOKUP($B58,'LT08'!$B$11:$R$75,14,FALSE)),"",VLOOKUP($B58,'LT08'!$B$11:$R$75,14,FALSE))))</f>
        <v/>
      </c>
      <c r="AL58" s="183"/>
      <c r="AM58" s="182" t="str">
        <f>IF(OR($H$6="",$H$7=""),"",IF($B58="","",IF(ISNA(VLOOKUP($B58,'LT08'!$B$11:$R$75,17,FALSE)),"",VLOOKUP($B58,'LT08'!$B$11:$R$75,17,FALSE))))</f>
        <v/>
      </c>
      <c r="AN58" s="185" t="str">
        <f>IF(OR($H$6="",$H$7=""),"",IF($B58="","",IF(ISNA(VLOOKUP($B58,'LT09'!$B$11:$R$75,13,FALSE)),"",IF(VLOOKUP($B58,'LT09'!$B$11:$R$75,13,FALSE)="","",VLOOKUP($B58,'LT09'!$B$11:$R$75,13,FALSE)))))</f>
        <v/>
      </c>
      <c r="AO58" s="182" t="str">
        <f>IF(OR($H$6="",$H$7=""),"",IF($B58="","",IF(ISNA(VLOOKUP($B58,'LT09'!$B$11:$R$75,14,FALSE)),"",VLOOKUP($B58,'LT09'!$B$11:$R$75,14,FALSE))))</f>
        <v/>
      </c>
      <c r="AP58" s="183"/>
      <c r="AQ58" s="182" t="str">
        <f>IF(OR($H$6="",$H$7=""),"",IF($B58="","",IF(ISNA(VLOOKUP($B58,'LT09'!$B$11:$R$75,17,FALSE)),"",VLOOKUP($B58,'LT09'!$B$11:$R$75,17,FALSE))))</f>
        <v/>
      </c>
      <c r="AR58" s="186"/>
      <c r="AS58" s="182" t="str">
        <f>IF(OR($H$6="",$H$7=""),"",IF($B58="","",IF(ISNA(VLOOKUP($B58,'TH01'!$B$11:$R$75,14,FALSE)),"",VLOOKUP($B58,'TH01'!$B$11:$R$75,14,FALSE))))</f>
        <v/>
      </c>
      <c r="AT58" s="183"/>
      <c r="AU58" s="187"/>
      <c r="AV58" s="186"/>
      <c r="AW58" s="182" t="str">
        <f>IF(OR($H$6="",$H$7=""),"",IF($B58="","",IF(ISNA(VLOOKUP($B58,'TH02'!$B$11:$R$75,14,FALSE)),"",VLOOKUP($B58,'TH02'!$B$11:$R$75,14,FALSE))))</f>
        <v/>
      </c>
      <c r="AX58" s="183"/>
      <c r="AY58" s="187"/>
      <c r="AZ58" s="54" t="str">
        <f t="shared" si="24"/>
        <v/>
      </c>
      <c r="BA58" s="54" t="str">
        <f t="shared" si="0"/>
        <v/>
      </c>
      <c r="BB58" s="70"/>
      <c r="BC58" s="52" t="str">
        <f t="shared" si="25"/>
        <v/>
      </c>
      <c r="BD58" s="52" t="str">
        <f t="shared" si="26"/>
        <v/>
      </c>
      <c r="BE58" s="52" t="str">
        <f t="shared" si="86"/>
        <v/>
      </c>
      <c r="BF58" s="149" t="str">
        <f t="shared" si="87"/>
        <v/>
      </c>
      <c r="BG58" s="52" t="str">
        <f t="shared" si="88"/>
        <v/>
      </c>
      <c r="BH58" s="52" t="str">
        <f t="shared" si="89"/>
        <v/>
      </c>
      <c r="BI58" s="52" t="str">
        <f t="shared" si="90"/>
        <v/>
      </c>
      <c r="BJ58" s="52" t="str">
        <f t="shared" si="91"/>
        <v/>
      </c>
      <c r="BK58" s="54" t="str">
        <f t="shared" si="92"/>
        <v/>
      </c>
      <c r="BL58" s="54" t="str">
        <f t="shared" si="93"/>
        <v/>
      </c>
      <c r="BM58" s="54" t="str">
        <f t="shared" si="94"/>
        <v/>
      </c>
      <c r="BN58" s="54" t="str">
        <f t="shared" si="95"/>
        <v/>
      </c>
      <c r="BO58" s="70"/>
      <c r="BP58" s="52" t="str">
        <f>IF(ISNA(VLOOKUP(B58,'TICH LUY'!B:D,2,0)),"",VLOOKUP(B58,'TICH LUY'!B:D,2,0)+BI58)</f>
        <v/>
      </c>
      <c r="BQ58" s="52" t="str">
        <f>IF(ISNA(VLOOKUP(B58,'TICH LUY'!B:D,3,0)),"",VLOOKUP(B58,'TICH LUY'!B:D,3,0)+BJ58)</f>
        <v/>
      </c>
      <c r="BR58" s="40" t="str">
        <f t="shared" si="96"/>
        <v/>
      </c>
      <c r="BS58" s="452" t="str">
        <f t="shared" si="97"/>
        <v/>
      </c>
      <c r="BT58" s="452" t="str">
        <f t="shared" si="98"/>
        <v/>
      </c>
      <c r="BU58" s="452" t="str">
        <f t="shared" si="99"/>
        <v/>
      </c>
      <c r="BV58" s="452" t="str">
        <f t="shared" si="100"/>
        <v/>
      </c>
      <c r="BW58" s="452" t="str">
        <f t="shared" si="101"/>
        <v/>
      </c>
      <c r="BX58" s="452" t="str">
        <f t="shared" si="102"/>
        <v/>
      </c>
      <c r="BY58" s="452" t="str">
        <f t="shared" si="103"/>
        <v/>
      </c>
      <c r="BZ58" s="452" t="str">
        <f t="shared" si="28"/>
        <v/>
      </c>
      <c r="CA58" s="452" t="str">
        <f t="shared" si="29"/>
        <v/>
      </c>
      <c r="CB58" s="452" t="str">
        <f t="shared" si="30"/>
        <v/>
      </c>
      <c r="CC58" s="452" t="str">
        <f t="shared" si="104"/>
        <v/>
      </c>
      <c r="CD58" s="40" t="str">
        <f t="shared" si="31"/>
        <v/>
      </c>
      <c r="CE58" s="453" t="str">
        <f t="shared" si="80"/>
        <v/>
      </c>
      <c r="CF58" s="452" t="str">
        <f t="shared" si="32"/>
        <v/>
      </c>
      <c r="CG58" s="452" t="str">
        <f t="shared" si="81"/>
        <v/>
      </c>
      <c r="CH58" s="452" t="str">
        <f t="shared" si="82"/>
        <v/>
      </c>
      <c r="CI58" s="452" t="str">
        <f t="shared" si="83"/>
        <v/>
      </c>
      <c r="CJ58" s="452" t="str">
        <f t="shared" si="84"/>
        <v/>
      </c>
      <c r="CK58" s="452" t="str">
        <f t="shared" si="85"/>
        <v/>
      </c>
      <c r="CL58" s="452" t="str">
        <f t="shared" si="33"/>
        <v/>
      </c>
      <c r="CM58" s="452" t="str">
        <f t="shared" si="34"/>
        <v/>
      </c>
      <c r="CN58" s="452" t="str">
        <f t="shared" si="35"/>
        <v/>
      </c>
      <c r="CO58" s="452" t="str">
        <f t="shared" si="105"/>
        <v/>
      </c>
      <c r="CP58" s="454" t="str">
        <f t="shared" si="36"/>
        <v/>
      </c>
      <c r="CQ58" s="527" t="str">
        <f>IF(OR(ISNA(VLOOKUP($B58,'TICH LUY'!$B$11:$BY$85,54,0)),$B58=""),"",VLOOKUP($B58,'TICH LUY'!$B$11:$BY$85,54,0))</f>
        <v/>
      </c>
      <c r="CR58" s="507" t="str">
        <f>IF(OR(ISNA(VLOOKUP($B58,'TICH LUY'!$B$11:$BY$85,55,0)),$B58=""),"",VLOOKUP($B58,'TICH LUY'!$B$11:$BY$85,55,0))</f>
        <v/>
      </c>
      <c r="CS58" s="507" t="str">
        <f>IF(OR(ISNA(VLOOKUP($B58,'TICH LUY'!$B$11:$BY$85,56,0)),$B58=""),"",VLOOKUP($B58,'TICH LUY'!$B$11:$BY$85,56,0))</f>
        <v/>
      </c>
      <c r="CT58" s="507" t="str">
        <f>IF(OR(ISNA(VLOOKUP($B58,'TICH LUY'!$B$11:$BY$85,57,0)),$B58=""),"",VLOOKUP($B58,'TICH LUY'!$B$11:$BY$85,57,0))</f>
        <v/>
      </c>
      <c r="CU58" s="507" t="str">
        <f>IF(OR(ISNA(VLOOKUP($B58,'TICH LUY'!$B$11:$BY$85,58,0)),$B58=""),"",VLOOKUP($B58,'TICH LUY'!$B$11:$BY$85,58,0))</f>
        <v/>
      </c>
      <c r="CV58" s="507" t="str">
        <f>IF(OR(ISNA(VLOOKUP($B58,'TICH LUY'!$B$11:$BY$85,59,0)),$B58=""),"",VLOOKUP($B58,'TICH LUY'!$B$11:$BY$85,59,0))</f>
        <v/>
      </c>
      <c r="CW58" s="507" t="str">
        <f>IF(OR(ISNA(VLOOKUP($B58,'TICH LUY'!$B$11:$BY$85,60,0)),$B58=""),"",VLOOKUP($B58,'TICH LUY'!$B$11:$BY$85,60,0))</f>
        <v/>
      </c>
      <c r="CX58" s="507" t="str">
        <f>IF(OR(ISNA(VLOOKUP($B58,'TICH LUY'!$B$11:$BY$85,61,0)),$B58=""),"",VLOOKUP($B58,'TICH LUY'!$B$11:$BY$85,61,0))</f>
        <v/>
      </c>
      <c r="CY58" s="507" t="str">
        <f>IF(OR(ISNA(VLOOKUP($B58,'TICH LUY'!$B$11:$BY$85,62,0)),$B58=""),"",VLOOKUP($B58,'TICH LUY'!$B$11:$BY$85,62,0))</f>
        <v/>
      </c>
      <c r="CZ58" s="507" t="str">
        <f>IF(OR(ISNA(VLOOKUP($B58,'TICH LUY'!$B$11:$BY$85,63,0)),$B58=""),"",VLOOKUP($B58,'TICH LUY'!$B$11:$BY$85,63,0))</f>
        <v/>
      </c>
      <c r="DA58" s="507" t="str">
        <f>IF(OR(ISNA(VLOOKUP($B58,'TICH LUY'!$B$11:$BY$85,64,0)),$B58=""),"",VLOOKUP($B58,'TICH LUY'!$B$11:$BY$85,64,0))</f>
        <v/>
      </c>
      <c r="DB58" s="507" t="str">
        <f>IF(OR(ISNA(VLOOKUP($B58,'TICH LUY'!$B$11:$BY$85,65,0)),$B58=""),"",VLOOKUP($B58,'TICH LUY'!$B$11:$BY$85,65,0))</f>
        <v/>
      </c>
      <c r="DC58" s="507" t="str">
        <f>IF(OR(ISNA(VLOOKUP($B58,'TICH LUY'!$B$11:$BY$85,66,0)),$B58=""),"",VLOOKUP($B58,'TICH LUY'!$B$11:$BY$85,66,0))</f>
        <v/>
      </c>
      <c r="DD58" s="507" t="str">
        <f>IF(OR(ISNA(VLOOKUP($B58,'TICH LUY'!$B$11:$BY$85,67,0)),$B58=""),"",VLOOKUP($B58,'TICH LUY'!$B$11:$BY$85,67,0))</f>
        <v/>
      </c>
      <c r="DE58" s="507" t="str">
        <f>IF(OR(ISNA(VLOOKUP($B58,'TICH LUY'!$B$11:$BY$85,68,0)),$B58=""),"",VLOOKUP($B58,'TICH LUY'!$B$11:$BY$85,68,0))</f>
        <v/>
      </c>
      <c r="DF58" s="507" t="str">
        <f>IF(OR(ISNA(VLOOKUP($B58,'TICH LUY'!$B$11:$BY$85,69,0)),$B58=""),"",VLOOKUP($B58,'TICH LUY'!$B$11:$BY$85,69,0))</f>
        <v/>
      </c>
      <c r="DG58" s="507" t="str">
        <f>IF(OR(ISNA(VLOOKUP($B58,'TICH LUY'!$B$11:$BY$85,70,0)),$B58=""),"",VLOOKUP($B58,'TICH LUY'!$B$11:$BY$85,70,0))</f>
        <v/>
      </c>
      <c r="DH58" s="507" t="str">
        <f>IF(OR(ISNA(VLOOKUP($B58,'TICH LUY'!$B$11:$BY$85,71,0)),$B58=""),"",VLOOKUP($B58,'TICH LUY'!$B$11:$BY$85,71,0))</f>
        <v/>
      </c>
      <c r="DI58" s="507" t="str">
        <f>IF(OR(ISNA(VLOOKUP($B58,'TICH LUY'!$B$11:$BY$85,72,0)),$B58=""),"",VLOOKUP($B58,'TICH LUY'!$B$11:$BY$85,72,0))</f>
        <v/>
      </c>
      <c r="DJ58" s="507" t="str">
        <f>IF(OR(ISNA(VLOOKUP($B58,'TICH LUY'!$B$11:$BY$85,73,0)),$B58=""),"",VLOOKUP($B58,'TICH LUY'!$B$11:$BY$85,73,0))</f>
        <v/>
      </c>
      <c r="DK58" s="507" t="str">
        <f>IF(OR(ISNA(VLOOKUP($B58,'TICH LUY'!$B$11:$BY$85,74,0)),$B58=""),"",VLOOKUP($B58,'TICH LUY'!$B$11:$BY$85,74,0))</f>
        <v/>
      </c>
      <c r="DL58" s="507" t="str">
        <f>IF(OR(ISNA(VLOOKUP($B58,'TICH LUY'!$B$11:$BY$85,75,0)),$B58=""),"",VLOOKUP($B58,'TICH LUY'!$B$11:$BY$85,75,0))</f>
        <v/>
      </c>
      <c r="DM58" s="529" t="str">
        <f>IF(OR(ISNA(VLOOKUP($B58,'TICH LUY'!$B$11:$BY$85,76,0)),$B58=""),"",VLOOKUP($B58,'TICH LUY'!$B$11:$BY$85,76,0))</f>
        <v/>
      </c>
      <c r="DN58" s="455" t="str">
        <f t="shared" si="37"/>
        <v/>
      </c>
      <c r="DO58" s="456" t="str">
        <f t="shared" si="38"/>
        <v/>
      </c>
      <c r="DP58" s="456" t="str">
        <f t="shared" si="39"/>
        <v/>
      </c>
      <c r="DQ58" s="456" t="str">
        <f t="shared" si="40"/>
        <v/>
      </c>
      <c r="DR58" s="456" t="str">
        <f t="shared" si="41"/>
        <v/>
      </c>
      <c r="DS58" s="456" t="str">
        <f t="shared" si="42"/>
        <v/>
      </c>
      <c r="DT58" s="456" t="str">
        <f t="shared" si="43"/>
        <v/>
      </c>
      <c r="DU58" s="456" t="str">
        <f t="shared" si="44"/>
        <v/>
      </c>
      <c r="DV58" s="456" t="str">
        <f t="shared" si="45"/>
        <v/>
      </c>
      <c r="DW58" s="456" t="str">
        <f t="shared" si="46"/>
        <v/>
      </c>
      <c r="DX58" s="456" t="str">
        <f t="shared" si="47"/>
        <v/>
      </c>
      <c r="DY58" s="457" t="str">
        <f t="shared" si="48"/>
        <v/>
      </c>
      <c r="DZ58" s="453" t="str">
        <f t="shared" si="49"/>
        <v/>
      </c>
      <c r="EA58" s="452" t="str">
        <f t="shared" si="50"/>
        <v/>
      </c>
      <c r="EB58" s="452" t="str">
        <f t="shared" si="51"/>
        <v/>
      </c>
      <c r="EC58" s="452" t="str">
        <f t="shared" si="52"/>
        <v/>
      </c>
      <c r="ED58" s="452" t="str">
        <f t="shared" si="53"/>
        <v/>
      </c>
      <c r="EE58" s="452" t="str">
        <f t="shared" si="54"/>
        <v/>
      </c>
      <c r="EF58" s="452" t="str">
        <f t="shared" si="55"/>
        <v/>
      </c>
      <c r="EG58" s="452" t="str">
        <f t="shared" si="56"/>
        <v/>
      </c>
      <c r="EH58" s="452" t="str">
        <f t="shared" si="57"/>
        <v/>
      </c>
      <c r="EI58" s="453" t="str">
        <f t="shared" si="58"/>
        <v/>
      </c>
      <c r="EJ58" s="452" t="str">
        <f t="shared" si="59"/>
        <v/>
      </c>
      <c r="EK58" s="452" t="str">
        <f t="shared" si="60"/>
        <v/>
      </c>
      <c r="EL58" s="452" t="str">
        <f t="shared" si="61"/>
        <v/>
      </c>
      <c r="EM58" s="452" t="str">
        <f t="shared" si="62"/>
        <v/>
      </c>
      <c r="EN58" s="452" t="str">
        <f t="shared" si="63"/>
        <v/>
      </c>
      <c r="EO58" s="452" t="str">
        <f t="shared" si="64"/>
        <v/>
      </c>
      <c r="EP58" s="452" t="str">
        <f t="shared" si="65"/>
        <v/>
      </c>
      <c r="EQ58" s="452" t="str">
        <f t="shared" si="66"/>
        <v/>
      </c>
      <c r="ER58" s="452" t="str">
        <f t="shared" si="67"/>
        <v/>
      </c>
      <c r="ES58" s="452" t="str">
        <f t="shared" si="106"/>
        <v/>
      </c>
      <c r="ET58" s="458" t="str">
        <f t="shared" si="68"/>
        <v/>
      </c>
      <c r="EU58" s="527" t="str">
        <f>IF(OR(ISNA(VLOOKUP($B58,'TICH LUY'!$B$11:$BY$85,54,0)),$B58=""),"",VLOOKUP($B58,'TICH LUY'!$B$11:$BY$85,54,0))</f>
        <v/>
      </c>
      <c r="EV58" s="507" t="str">
        <f>IF(OR(ISNA(VLOOKUP($B58,'TICH LUY'!$B$11:$BY$85,55,0)),$B58=""),"",VLOOKUP($B58,'TICH LUY'!$B$11:$BY$85,55,0))</f>
        <v/>
      </c>
      <c r="EW58" s="507" t="str">
        <f>IF(OR(ISNA(VLOOKUP($B58,'TICH LUY'!$B$11:$BY$85,56,0)),$B58=""),"",VLOOKUP($B58,'TICH LUY'!$B$11:$BY$85,56,0))</f>
        <v/>
      </c>
      <c r="EX58" s="507" t="str">
        <f>IF(OR(ISNA(VLOOKUP($B58,'TICH LUY'!$B$11:$BY$85,57,0)),$B58=""),"",VLOOKUP($B58,'TICH LUY'!$B$11:$BY$85,57,0))</f>
        <v/>
      </c>
      <c r="EY58" s="507" t="str">
        <f>IF(OR(ISNA(VLOOKUP($B58,'TICH LUY'!$B$11:$BY$85,58,0)),$B58=""),"",VLOOKUP($B58,'TICH LUY'!$B$11:$BY$85,58,0))</f>
        <v/>
      </c>
      <c r="EZ58" s="507" t="str">
        <f>IF(OR(ISNA(VLOOKUP($B58,'TICH LUY'!$B$11:$BY$85,59,0)),$B58=""),"",VLOOKUP($B58,'TICH LUY'!$B$11:$BY$85,59,0))</f>
        <v/>
      </c>
      <c r="FA58" s="507" t="str">
        <f>IF(OR(ISNA(VLOOKUP($B58,'TICH LUY'!$B$11:$BY$85,60,0)),$B58=""),"",VLOOKUP($B58,'TICH LUY'!$B$11:$BY$85,60,0))</f>
        <v/>
      </c>
      <c r="FB58" s="507" t="str">
        <f>IF(OR(ISNA(VLOOKUP($B58,'TICH LUY'!$B$11:$BY$85,61,0)),$B58=""),"",VLOOKUP($B58,'TICH LUY'!$B$11:$BY$85,61,0))</f>
        <v/>
      </c>
      <c r="FC58" s="507" t="str">
        <f>IF(OR(ISNA(VLOOKUP($B58,'TICH LUY'!$B$11:$BY$85,62,0)),$B58=""),"",VLOOKUP($B58,'TICH LUY'!$B$11:$BY$85,62,0))</f>
        <v/>
      </c>
      <c r="FD58" s="507" t="str">
        <f>IF(OR(ISNA(VLOOKUP($B58,'TICH LUY'!$B$11:$BY$85,63,0)),$B58=""),"",VLOOKUP($B58,'TICH LUY'!$B$11:$BY$85,63,0))</f>
        <v/>
      </c>
      <c r="FE58" s="507" t="str">
        <f>IF(OR(ISNA(VLOOKUP($B58,'TICH LUY'!$B$11:$BY$85,64,0)),$B58=""),"",VLOOKUP($B58,'TICH LUY'!$B$11:$BY$85,64,0))</f>
        <v/>
      </c>
      <c r="FF58" s="507" t="str">
        <f>IF(OR(ISNA(VLOOKUP($B58,'TICH LUY'!$B$11:$BY$85,65,0)),$B58=""),"",VLOOKUP($B58,'TICH LUY'!$B$11:$BY$85,65,0))</f>
        <v/>
      </c>
      <c r="FG58" s="507" t="str">
        <f>IF(OR(ISNA(VLOOKUP($B58,'TICH LUY'!$B$11:$BY$85,66,0)),$B58=""),"",VLOOKUP($B58,'TICH LUY'!$B$11:$BY$85,66,0))</f>
        <v/>
      </c>
      <c r="FH58" s="507" t="str">
        <f>IF(OR(ISNA(VLOOKUP($B58,'TICH LUY'!$B$11:$BY$85,67,0)),$B58=""),"",VLOOKUP($B58,'TICH LUY'!$B$11:$BY$85,67,0))</f>
        <v/>
      </c>
      <c r="FI58" s="507" t="str">
        <f>IF(OR(ISNA(VLOOKUP($B58,'TICH LUY'!$B$11:$BY$85,68,0)),$B58=""),"",VLOOKUP($B58,'TICH LUY'!$B$11:$BY$85,68,0))</f>
        <v/>
      </c>
      <c r="FJ58" s="507" t="str">
        <f>IF(OR(ISNA(VLOOKUP($B58,'TICH LUY'!$B$11:$BY$85,69,0)),$B58=""),"",VLOOKUP($B58,'TICH LUY'!$B$11:$BY$85,69,0))</f>
        <v/>
      </c>
      <c r="FK58" s="507" t="str">
        <f>IF(OR(ISNA(VLOOKUP($B58,'TICH LUY'!$B$11:$BY$85,70,0)),$B58=""),"",VLOOKUP($B58,'TICH LUY'!$B$11:$BY$85,70,0))</f>
        <v/>
      </c>
      <c r="FL58" s="507" t="str">
        <f>IF(OR(ISNA(VLOOKUP($B58,'TICH LUY'!$B$11:$BY$85,71,0)),$B58=""),"",VLOOKUP($B58,'TICH LUY'!$B$11:$BY$85,71,0))</f>
        <v/>
      </c>
      <c r="FM58" s="507" t="str">
        <f>IF(OR(ISNA(VLOOKUP($B58,'TICH LUY'!$B$11:$BY$85,72,0)),$B58=""),"",VLOOKUP($B58,'TICH LUY'!$B$11:$BY$85,72,0))</f>
        <v/>
      </c>
      <c r="FN58" s="507" t="str">
        <f>IF(OR(ISNA(VLOOKUP($B58,'TICH LUY'!$B$11:$BY$85,73,0)),$B58=""),"",VLOOKUP($B58,'TICH LUY'!$B$11:$BY$85,73,0))</f>
        <v/>
      </c>
      <c r="FO58" s="507" t="str">
        <f>IF(OR(ISNA(VLOOKUP($B58,'TICH LUY'!$B$11:$BY$85,74,0)),$B58=""),"",VLOOKUP($B58,'TICH LUY'!$B$11:$BY$85,74,0))</f>
        <v/>
      </c>
      <c r="FP58" s="507" t="str">
        <f>IF(OR(ISNA(VLOOKUP($B58,'TICH LUY'!$B$11:$BY$85,75,0)),$B58=""),"",VLOOKUP($B58,'TICH LUY'!$B$11:$BY$85,75,0))</f>
        <v/>
      </c>
      <c r="FQ58" s="529" t="str">
        <f>IF(OR(ISNA(VLOOKUP($B58,'TICH LUY'!$B$11:$BY$85,76,0)),$B58=""),"",VLOOKUP($B58,'TICH LUY'!$B$11:$BY$85,76,0))</f>
        <v/>
      </c>
      <c r="FR58" s="455" t="str">
        <f t="shared" si="69"/>
        <v/>
      </c>
      <c r="FS58" s="456" t="str">
        <f t="shared" si="70"/>
        <v/>
      </c>
      <c r="FT58" s="456" t="str">
        <f t="shared" si="71"/>
        <v/>
      </c>
      <c r="FU58" s="456" t="str">
        <f t="shared" si="72"/>
        <v/>
      </c>
      <c r="FV58" s="456" t="str">
        <f t="shared" si="73"/>
        <v/>
      </c>
      <c r="FW58" s="456" t="str">
        <f t="shared" si="74"/>
        <v/>
      </c>
      <c r="FX58" s="456" t="str">
        <f t="shared" si="75"/>
        <v/>
      </c>
      <c r="FY58" s="456" t="str">
        <f t="shared" si="76"/>
        <v/>
      </c>
      <c r="FZ58" s="456" t="str">
        <f t="shared" si="77"/>
        <v/>
      </c>
      <c r="GA58" s="456" t="str">
        <f t="shared" si="78"/>
        <v/>
      </c>
      <c r="GB58" s="459" t="str">
        <f t="shared" si="79"/>
        <v/>
      </c>
      <c r="GC58" s="457" t="str">
        <f t="shared" si="107"/>
        <v/>
      </c>
    </row>
    <row r="59" spans="1:185" s="221" customFormat="1" ht="15.75">
      <c r="A59" s="449" t="str">
        <f>IF(B59="","",SUBTOTAL(3,$B$11:B59))</f>
        <v/>
      </c>
      <c r="B59" s="198"/>
      <c r="C59" s="450" t="str">
        <f>IF($B59="","",VLOOKUP($B59,'DS LOP HKI'!$B$2:$F$2642,2,0))</f>
        <v/>
      </c>
      <c r="D59" s="451" t="str">
        <f>IF($B59="","",VLOOKUP($B59,'DS LOP HKI'!$B$2:$F$2642,3,0))</f>
        <v/>
      </c>
      <c r="E59" s="154"/>
      <c r="F59" s="152"/>
      <c r="G59" s="156"/>
      <c r="H59" s="181" t="str">
        <f>IF(OR($H$6="",$H$7=""),"",IF($B59="","",IF(ISNA(VLOOKUP($B59,'LT01'!$B$11:$R$75,13,FALSE)),"",IF(VLOOKUP($B59,'LT01'!$B$11:$R$75,13,FALSE)="","",VLOOKUP($B59,'LT01'!$B$11:$R$75,13,FALSE)))))</f>
        <v/>
      </c>
      <c r="I59" s="182" t="str">
        <f>IF(OR($H$6="",$H$7=""),"",IF($B59="","",IF(ISNA(VLOOKUP($B59,'LT01'!$B$11:$R$75,14,FALSE)),"",VLOOKUP($B59,'LT01'!$B$11:$R$75,14,FALSE))))</f>
        <v/>
      </c>
      <c r="J59" s="183"/>
      <c r="K59" s="182" t="str">
        <f>IF(OR($H$6="",$H$7=""),"",IF($B59="","",IF(ISNA(VLOOKUP($B59,'LT01'!$B$11:$R$75,17,FALSE)),"",VLOOKUP($B59,'LT01'!$B$11:$R$75,17,FALSE))))</f>
        <v/>
      </c>
      <c r="L59" s="185" t="str">
        <f>IF(OR($H$6="",$H$7=""),"",IF($B59="","",IF(ISNA(VLOOKUP($B59,'LT02'!$B$11:$R$75,13,FALSE)),"",IF(VLOOKUP($B59,'LT02'!$B$11:$R$75,13,FALSE)="","",VLOOKUP($B59,'LT02'!$B$11:$R$75,13,FALSE)))))</f>
        <v/>
      </c>
      <c r="M59" s="182" t="str">
        <f>IF(OR($H$6="",$H$7=""),"",IF($B59="","",IF(ISNA(VLOOKUP($B59,'LT02'!$B$11:$R$75,14,FALSE)),"",VLOOKUP($B59,'LT02'!$B$11:$R$75,14,FALSE))))</f>
        <v/>
      </c>
      <c r="N59" s="183"/>
      <c r="O59" s="182" t="str">
        <f>IF(OR($H$6="",$H$7=""),"",IF($B59="","",IF(ISNA(VLOOKUP($B59,'LT02'!$B$11:$R$75,17,FALSE)),"",VLOOKUP($B59,'LT02'!$B$11:$R$75,17,FALSE))))</f>
        <v/>
      </c>
      <c r="P59" s="185" t="str">
        <f>IF(OR($H$6="",$H$7=""),"",IF($B59="","",IF(ISNA(VLOOKUP($B59,'LT03'!$B$11:$R$75,13,FALSE)),"",IF(VLOOKUP($B59,'LT03'!$B$11:$R$75,13,FALSE)="","",VLOOKUP($B59,'LT03'!$B$11:$R$75,13,FALSE)))))</f>
        <v/>
      </c>
      <c r="Q59" s="182" t="str">
        <f>IF(OR($H$6="",$H$7=""),"",IF($B59="","",IF(ISNA(VLOOKUP($B59,'LT03'!$B$11:$R$75,14,FALSE)),"",VLOOKUP($B59,'LT03'!$B$11:$R$75,14,FALSE))))</f>
        <v/>
      </c>
      <c r="R59" s="183"/>
      <c r="S59" s="182" t="str">
        <f>IF(OR($H$6="",$H$7=""),"",IF($B59="","",IF(ISNA(VLOOKUP($B59,'LT03'!$B$11:$R$75,17,FALSE)),"",VLOOKUP($B59,'LT03'!$B$11:$R$75,17,FALSE))))</f>
        <v/>
      </c>
      <c r="T59" s="185" t="str">
        <f>IF(OR($H$6="",$H$7=""),"",IF($B59="","",IF(ISNA(VLOOKUP($B59,'LT04'!$B$11:$R$75,13,FALSE)),"",IF(VLOOKUP($B59,'LT04'!$B$11:$R$75,13,FALSE)="","",VLOOKUP($B59,'LT04'!$B$11:$R$75,13,FALSE)))))</f>
        <v/>
      </c>
      <c r="U59" s="182" t="str">
        <f>IF(OR($H$6="",$H$7=""),"",IF($B59="","",IF(ISNA(VLOOKUP($B59,'LT04'!$B$11:$R$75,14,FALSE)),"",VLOOKUP($B59,'LT04'!$B$11:$R$75,14,FALSE))))</f>
        <v/>
      </c>
      <c r="V59" s="183"/>
      <c r="W59" s="184" t="str">
        <f>IF(OR($H$6="",$H$7=""),"",IF($B59="","",IF(ISNA(VLOOKUP($B59,'LT04'!$B$11:$R$75,17,FALSE)),"",VLOOKUP($B59,'LT04'!$B$11:$R$75,17,FALSE))))</f>
        <v/>
      </c>
      <c r="X59" s="185" t="str">
        <f>IF(OR($H$6="",$H$7=""),"",IF($B59="","",IF(ISNA(VLOOKUP($B59,'LT05'!$B$11:$R$75,13,FALSE)),"",IF(VLOOKUP($B59,'LT05'!$B$11:$R$75,13,FALSE)="","",VLOOKUP($B59,'LT05'!$B$11:$R$75,13,FALSE)))))</f>
        <v/>
      </c>
      <c r="Y59" s="182" t="str">
        <f>IF(OR($H$6="",$H$7=""),"",IF($B59="","",IF(ISNA(VLOOKUP($B59,'LT05'!$B$11:$R$75,14,FALSE)),"",VLOOKUP($B59,'LT05'!$B$11:$R$75,14,FALSE))))</f>
        <v/>
      </c>
      <c r="Z59" s="183"/>
      <c r="AA59" s="182" t="str">
        <f>IF(OR($H$6="",$H$7=""),"",IF($B59="","",IF(ISNA(VLOOKUP($B59,'LT05'!$B$11:$R$75,17,FALSE)),"",VLOOKUP($B59,'LT05'!$B$11:$R$75,17,FALSE))))</f>
        <v/>
      </c>
      <c r="AB59" s="185" t="str">
        <f>IF(OR($H$6="",$H$7=""),"",IF($B59="","",IF(ISNA(VLOOKUP($B59,'LT06'!$B$11:$R$75,13,FALSE)),"",IF(VLOOKUP($B59,'LT06'!$B$11:$R$75,13,FALSE)="","",VLOOKUP($B59,'LT06'!$B$11:$R$75,13,FALSE)))))</f>
        <v/>
      </c>
      <c r="AC59" s="182" t="str">
        <f>IF(OR($H$6="",$H$7=""),"",IF($B59="","",IF(ISNA(VLOOKUP($B59,'LT06'!$B$11:$R$75,14,FALSE)),"",VLOOKUP($B59,'LT06'!$B$11:$R$75,14,FALSE))))</f>
        <v/>
      </c>
      <c r="AD59" s="183"/>
      <c r="AE59" s="182" t="str">
        <f>IF(OR($H$6="",$H$7=""),"",IF($B59="","",IF(ISNA(VLOOKUP($B59,'LT06'!$B$11:$R$75,17,FALSE)),"",VLOOKUP($B59,'LT06'!$B$11:$R$75,17,FALSE))))</f>
        <v/>
      </c>
      <c r="AF59" s="185" t="str">
        <f>IF(OR($H$6="",$H$7=""),"",IF($B59="","",IF(ISNA(VLOOKUP($B59,'LT07'!$B$11:$R$75,13,FALSE)),"",IF(VLOOKUP($B59,'LT07'!$B$11:$R$75,13,FALSE)="","",VLOOKUP($B59,'LT07'!$B$11:$R$75,13,FALSE)))))</f>
        <v/>
      </c>
      <c r="AG59" s="182" t="str">
        <f>IF(OR($H$6="",$H$7=""),"",IF($B59="","",IF(ISNA(VLOOKUP($B59,'LT07'!$B$11:$R$75,14,FALSE)),"",VLOOKUP($B59,'LT07'!$B$11:$R$75,14,FALSE))))</f>
        <v/>
      </c>
      <c r="AH59" s="183"/>
      <c r="AI59" s="182" t="str">
        <f>IF(OR($H$6="",$H$7=""),"",IF($B59="","",IF(ISNA(VLOOKUP($B59,'LT07'!$B$11:$R$75,17,FALSE)),"",VLOOKUP($B59,'LT07'!$B$11:$R$75,17,FALSE))))</f>
        <v/>
      </c>
      <c r="AJ59" s="185" t="str">
        <f>IF(OR($H$6="",$H$7=""),"",IF($B59="","",IF(ISNA(VLOOKUP($B59,'LT08'!$B$11:$R$75,13,FALSE)),"",IF(VLOOKUP($B59,'LT08'!$B$11:$R$75,13,FALSE)="","",VLOOKUP($B59,'LT08'!$B$11:$R$75,13,FALSE)))))</f>
        <v/>
      </c>
      <c r="AK59" s="182" t="str">
        <f>IF(OR($H$6="",$H$7=""),"",IF($B59="","",IF(ISNA(VLOOKUP($B59,'LT08'!$B$11:$R$75,14,FALSE)),"",VLOOKUP($B59,'LT08'!$B$11:$R$75,14,FALSE))))</f>
        <v/>
      </c>
      <c r="AL59" s="183"/>
      <c r="AM59" s="182" t="str">
        <f>IF(OR($H$6="",$H$7=""),"",IF($B59="","",IF(ISNA(VLOOKUP($B59,'LT08'!$B$11:$R$75,17,FALSE)),"",VLOOKUP($B59,'LT08'!$B$11:$R$75,17,FALSE))))</f>
        <v/>
      </c>
      <c r="AN59" s="185" t="str">
        <f>IF(OR($H$6="",$H$7=""),"",IF($B59="","",IF(ISNA(VLOOKUP($B59,'LT09'!$B$11:$R$75,13,FALSE)),"",IF(VLOOKUP($B59,'LT09'!$B$11:$R$75,13,FALSE)="","",VLOOKUP($B59,'LT09'!$B$11:$R$75,13,FALSE)))))</f>
        <v/>
      </c>
      <c r="AO59" s="182" t="str">
        <f>IF(OR($H$6="",$H$7=""),"",IF($B59="","",IF(ISNA(VLOOKUP($B59,'LT09'!$B$11:$R$75,14,FALSE)),"",VLOOKUP($B59,'LT09'!$B$11:$R$75,14,FALSE))))</f>
        <v/>
      </c>
      <c r="AP59" s="183"/>
      <c r="AQ59" s="182" t="str">
        <f>IF(OR($H$6="",$H$7=""),"",IF($B59="","",IF(ISNA(VLOOKUP($B59,'LT09'!$B$11:$R$75,17,FALSE)),"",VLOOKUP($B59,'LT09'!$B$11:$R$75,17,FALSE))))</f>
        <v/>
      </c>
      <c r="AR59" s="186"/>
      <c r="AS59" s="182" t="str">
        <f>IF(OR($H$6="",$H$7=""),"",IF($B59="","",IF(ISNA(VLOOKUP($B59,'TH01'!$B$11:$R$75,14,FALSE)),"",VLOOKUP($B59,'TH01'!$B$11:$R$75,14,FALSE))))</f>
        <v/>
      </c>
      <c r="AT59" s="183"/>
      <c r="AU59" s="187"/>
      <c r="AV59" s="186"/>
      <c r="AW59" s="182" t="str">
        <f>IF(OR($H$6="",$H$7=""),"",IF($B59="","",IF(ISNA(VLOOKUP($B59,'TH02'!$B$11:$R$75,14,FALSE)),"",VLOOKUP($B59,'TH02'!$B$11:$R$75,14,FALSE))))</f>
        <v/>
      </c>
      <c r="AX59" s="183"/>
      <c r="AY59" s="187"/>
      <c r="AZ59" s="54" t="str">
        <f t="shared" si="24"/>
        <v/>
      </c>
      <c r="BA59" s="54" t="str">
        <f t="shared" si="0"/>
        <v/>
      </c>
      <c r="BB59" s="70"/>
      <c r="BC59" s="52" t="str">
        <f t="shared" si="25"/>
        <v/>
      </c>
      <c r="BD59" s="52" t="str">
        <f t="shared" si="26"/>
        <v/>
      </c>
      <c r="BE59" s="52" t="str">
        <f t="shared" si="86"/>
        <v/>
      </c>
      <c r="BF59" s="149" t="str">
        <f t="shared" si="87"/>
        <v/>
      </c>
      <c r="BG59" s="52" t="str">
        <f t="shared" si="88"/>
        <v/>
      </c>
      <c r="BH59" s="52" t="str">
        <f t="shared" si="89"/>
        <v/>
      </c>
      <c r="BI59" s="52" t="str">
        <f t="shared" si="90"/>
        <v/>
      </c>
      <c r="BJ59" s="52" t="str">
        <f t="shared" si="91"/>
        <v/>
      </c>
      <c r="BK59" s="54" t="str">
        <f t="shared" si="92"/>
        <v/>
      </c>
      <c r="BL59" s="54" t="str">
        <f t="shared" si="93"/>
        <v/>
      </c>
      <c r="BM59" s="54" t="str">
        <f t="shared" si="94"/>
        <v/>
      </c>
      <c r="BN59" s="54" t="str">
        <f t="shared" si="95"/>
        <v/>
      </c>
      <c r="BO59" s="70"/>
      <c r="BP59" s="52" t="str">
        <f>IF(ISNA(VLOOKUP(B59,'TICH LUY'!B:D,2,0)),"",VLOOKUP(B59,'TICH LUY'!B:D,2,0)+BI59)</f>
        <v/>
      </c>
      <c r="BQ59" s="52" t="str">
        <f>IF(ISNA(VLOOKUP(B59,'TICH LUY'!B:D,3,0)),"",VLOOKUP(B59,'TICH LUY'!B:D,3,0)+BJ59)</f>
        <v/>
      </c>
      <c r="BR59" s="40" t="str">
        <f t="shared" si="96"/>
        <v/>
      </c>
      <c r="BS59" s="452" t="str">
        <f t="shared" si="97"/>
        <v/>
      </c>
      <c r="BT59" s="452" t="str">
        <f t="shared" si="98"/>
        <v/>
      </c>
      <c r="BU59" s="452" t="str">
        <f t="shared" si="99"/>
        <v/>
      </c>
      <c r="BV59" s="452" t="str">
        <f t="shared" si="100"/>
        <v/>
      </c>
      <c r="BW59" s="452" t="str">
        <f t="shared" si="101"/>
        <v/>
      </c>
      <c r="BX59" s="452" t="str">
        <f t="shared" si="102"/>
        <v/>
      </c>
      <c r="BY59" s="452" t="str">
        <f t="shared" si="103"/>
        <v/>
      </c>
      <c r="BZ59" s="452" t="str">
        <f t="shared" si="28"/>
        <v/>
      </c>
      <c r="CA59" s="452" t="str">
        <f t="shared" si="29"/>
        <v/>
      </c>
      <c r="CB59" s="452" t="str">
        <f t="shared" si="30"/>
        <v/>
      </c>
      <c r="CC59" s="452" t="str">
        <f t="shared" si="104"/>
        <v/>
      </c>
      <c r="CD59" s="40" t="str">
        <f t="shared" si="31"/>
        <v/>
      </c>
      <c r="CE59" s="453" t="str">
        <f t="shared" si="80"/>
        <v/>
      </c>
      <c r="CF59" s="452" t="str">
        <f t="shared" si="32"/>
        <v/>
      </c>
      <c r="CG59" s="452" t="str">
        <f t="shared" si="81"/>
        <v/>
      </c>
      <c r="CH59" s="452" t="str">
        <f t="shared" si="82"/>
        <v/>
      </c>
      <c r="CI59" s="452" t="str">
        <f t="shared" si="83"/>
        <v/>
      </c>
      <c r="CJ59" s="452" t="str">
        <f t="shared" si="84"/>
        <v/>
      </c>
      <c r="CK59" s="452" t="str">
        <f t="shared" si="85"/>
        <v/>
      </c>
      <c r="CL59" s="452" t="str">
        <f t="shared" si="33"/>
        <v/>
      </c>
      <c r="CM59" s="452" t="str">
        <f t="shared" si="34"/>
        <v/>
      </c>
      <c r="CN59" s="452" t="str">
        <f t="shared" si="35"/>
        <v/>
      </c>
      <c r="CO59" s="452" t="str">
        <f t="shared" si="105"/>
        <v/>
      </c>
      <c r="CP59" s="454" t="str">
        <f t="shared" si="36"/>
        <v/>
      </c>
      <c r="CQ59" s="527" t="str">
        <f>IF(OR(ISNA(VLOOKUP($B59,'TICH LUY'!$B$11:$BY$85,54,0)),$B59=""),"",VLOOKUP($B59,'TICH LUY'!$B$11:$BY$85,54,0))</f>
        <v/>
      </c>
      <c r="CR59" s="507" t="str">
        <f>IF(OR(ISNA(VLOOKUP($B59,'TICH LUY'!$B$11:$BY$85,55,0)),$B59=""),"",VLOOKUP($B59,'TICH LUY'!$B$11:$BY$85,55,0))</f>
        <v/>
      </c>
      <c r="CS59" s="507" t="str">
        <f>IF(OR(ISNA(VLOOKUP($B59,'TICH LUY'!$B$11:$BY$85,56,0)),$B59=""),"",VLOOKUP($B59,'TICH LUY'!$B$11:$BY$85,56,0))</f>
        <v/>
      </c>
      <c r="CT59" s="507" t="str">
        <f>IF(OR(ISNA(VLOOKUP($B59,'TICH LUY'!$B$11:$BY$85,57,0)),$B59=""),"",VLOOKUP($B59,'TICH LUY'!$B$11:$BY$85,57,0))</f>
        <v/>
      </c>
      <c r="CU59" s="507" t="str">
        <f>IF(OR(ISNA(VLOOKUP($B59,'TICH LUY'!$B$11:$BY$85,58,0)),$B59=""),"",VLOOKUP($B59,'TICH LUY'!$B$11:$BY$85,58,0))</f>
        <v/>
      </c>
      <c r="CV59" s="507" t="str">
        <f>IF(OR(ISNA(VLOOKUP($B59,'TICH LUY'!$B$11:$BY$85,59,0)),$B59=""),"",VLOOKUP($B59,'TICH LUY'!$B$11:$BY$85,59,0))</f>
        <v/>
      </c>
      <c r="CW59" s="507" t="str">
        <f>IF(OR(ISNA(VLOOKUP($B59,'TICH LUY'!$B$11:$BY$85,60,0)),$B59=""),"",VLOOKUP($B59,'TICH LUY'!$B$11:$BY$85,60,0))</f>
        <v/>
      </c>
      <c r="CX59" s="507" t="str">
        <f>IF(OR(ISNA(VLOOKUP($B59,'TICH LUY'!$B$11:$BY$85,61,0)),$B59=""),"",VLOOKUP($B59,'TICH LUY'!$B$11:$BY$85,61,0))</f>
        <v/>
      </c>
      <c r="CY59" s="507" t="str">
        <f>IF(OR(ISNA(VLOOKUP($B59,'TICH LUY'!$B$11:$BY$85,62,0)),$B59=""),"",VLOOKUP($B59,'TICH LUY'!$B$11:$BY$85,62,0))</f>
        <v/>
      </c>
      <c r="CZ59" s="507" t="str">
        <f>IF(OR(ISNA(VLOOKUP($B59,'TICH LUY'!$B$11:$BY$85,63,0)),$B59=""),"",VLOOKUP($B59,'TICH LUY'!$B$11:$BY$85,63,0))</f>
        <v/>
      </c>
      <c r="DA59" s="507" t="str">
        <f>IF(OR(ISNA(VLOOKUP($B59,'TICH LUY'!$B$11:$BY$85,64,0)),$B59=""),"",VLOOKUP($B59,'TICH LUY'!$B$11:$BY$85,64,0))</f>
        <v/>
      </c>
      <c r="DB59" s="507" t="str">
        <f>IF(OR(ISNA(VLOOKUP($B59,'TICH LUY'!$B$11:$BY$85,65,0)),$B59=""),"",VLOOKUP($B59,'TICH LUY'!$B$11:$BY$85,65,0))</f>
        <v/>
      </c>
      <c r="DC59" s="507" t="str">
        <f>IF(OR(ISNA(VLOOKUP($B59,'TICH LUY'!$B$11:$BY$85,66,0)),$B59=""),"",VLOOKUP($B59,'TICH LUY'!$B$11:$BY$85,66,0))</f>
        <v/>
      </c>
      <c r="DD59" s="507" t="str">
        <f>IF(OR(ISNA(VLOOKUP($B59,'TICH LUY'!$B$11:$BY$85,67,0)),$B59=""),"",VLOOKUP($B59,'TICH LUY'!$B$11:$BY$85,67,0))</f>
        <v/>
      </c>
      <c r="DE59" s="507" t="str">
        <f>IF(OR(ISNA(VLOOKUP($B59,'TICH LUY'!$B$11:$BY$85,68,0)),$B59=""),"",VLOOKUP($B59,'TICH LUY'!$B$11:$BY$85,68,0))</f>
        <v/>
      </c>
      <c r="DF59" s="507" t="str">
        <f>IF(OR(ISNA(VLOOKUP($B59,'TICH LUY'!$B$11:$BY$85,69,0)),$B59=""),"",VLOOKUP($B59,'TICH LUY'!$B$11:$BY$85,69,0))</f>
        <v/>
      </c>
      <c r="DG59" s="507" t="str">
        <f>IF(OR(ISNA(VLOOKUP($B59,'TICH LUY'!$B$11:$BY$85,70,0)),$B59=""),"",VLOOKUP($B59,'TICH LUY'!$B$11:$BY$85,70,0))</f>
        <v/>
      </c>
      <c r="DH59" s="507" t="str">
        <f>IF(OR(ISNA(VLOOKUP($B59,'TICH LUY'!$B$11:$BY$85,71,0)),$B59=""),"",VLOOKUP($B59,'TICH LUY'!$B$11:$BY$85,71,0))</f>
        <v/>
      </c>
      <c r="DI59" s="507" t="str">
        <f>IF(OR(ISNA(VLOOKUP($B59,'TICH LUY'!$B$11:$BY$85,72,0)),$B59=""),"",VLOOKUP($B59,'TICH LUY'!$B$11:$BY$85,72,0))</f>
        <v/>
      </c>
      <c r="DJ59" s="507" t="str">
        <f>IF(OR(ISNA(VLOOKUP($B59,'TICH LUY'!$B$11:$BY$85,73,0)),$B59=""),"",VLOOKUP($B59,'TICH LUY'!$B$11:$BY$85,73,0))</f>
        <v/>
      </c>
      <c r="DK59" s="507" t="str">
        <f>IF(OR(ISNA(VLOOKUP($B59,'TICH LUY'!$B$11:$BY$85,74,0)),$B59=""),"",VLOOKUP($B59,'TICH LUY'!$B$11:$BY$85,74,0))</f>
        <v/>
      </c>
      <c r="DL59" s="507" t="str">
        <f>IF(OR(ISNA(VLOOKUP($B59,'TICH LUY'!$B$11:$BY$85,75,0)),$B59=""),"",VLOOKUP($B59,'TICH LUY'!$B$11:$BY$85,75,0))</f>
        <v/>
      </c>
      <c r="DM59" s="529" t="str">
        <f>IF(OR(ISNA(VLOOKUP($B59,'TICH LUY'!$B$11:$BY$85,76,0)),$B59=""),"",VLOOKUP($B59,'TICH LUY'!$B$11:$BY$85,76,0))</f>
        <v/>
      </c>
      <c r="DN59" s="455" t="str">
        <f t="shared" si="37"/>
        <v/>
      </c>
      <c r="DO59" s="456" t="str">
        <f t="shared" si="38"/>
        <v/>
      </c>
      <c r="DP59" s="456" t="str">
        <f t="shared" si="39"/>
        <v/>
      </c>
      <c r="DQ59" s="456" t="str">
        <f t="shared" si="40"/>
        <v/>
      </c>
      <c r="DR59" s="456" t="str">
        <f t="shared" si="41"/>
        <v/>
      </c>
      <c r="DS59" s="456" t="str">
        <f t="shared" si="42"/>
        <v/>
      </c>
      <c r="DT59" s="456" t="str">
        <f t="shared" si="43"/>
        <v/>
      </c>
      <c r="DU59" s="456" t="str">
        <f t="shared" si="44"/>
        <v/>
      </c>
      <c r="DV59" s="456" t="str">
        <f t="shared" si="45"/>
        <v/>
      </c>
      <c r="DW59" s="456" t="str">
        <f t="shared" si="46"/>
        <v/>
      </c>
      <c r="DX59" s="456" t="str">
        <f t="shared" si="47"/>
        <v/>
      </c>
      <c r="DY59" s="457" t="str">
        <f t="shared" si="48"/>
        <v/>
      </c>
      <c r="DZ59" s="453" t="str">
        <f t="shared" si="49"/>
        <v/>
      </c>
      <c r="EA59" s="452" t="str">
        <f t="shared" si="50"/>
        <v/>
      </c>
      <c r="EB59" s="452" t="str">
        <f t="shared" si="51"/>
        <v/>
      </c>
      <c r="EC59" s="452" t="str">
        <f t="shared" si="52"/>
        <v/>
      </c>
      <c r="ED59" s="452" t="str">
        <f t="shared" si="53"/>
        <v/>
      </c>
      <c r="EE59" s="452" t="str">
        <f t="shared" si="54"/>
        <v/>
      </c>
      <c r="EF59" s="452" t="str">
        <f t="shared" si="55"/>
        <v/>
      </c>
      <c r="EG59" s="452" t="str">
        <f t="shared" si="56"/>
        <v/>
      </c>
      <c r="EH59" s="452" t="str">
        <f t="shared" si="57"/>
        <v/>
      </c>
      <c r="EI59" s="453" t="str">
        <f t="shared" si="58"/>
        <v/>
      </c>
      <c r="EJ59" s="452" t="str">
        <f t="shared" si="59"/>
        <v/>
      </c>
      <c r="EK59" s="452" t="str">
        <f t="shared" si="60"/>
        <v/>
      </c>
      <c r="EL59" s="452" t="str">
        <f t="shared" si="61"/>
        <v/>
      </c>
      <c r="EM59" s="452" t="str">
        <f t="shared" si="62"/>
        <v/>
      </c>
      <c r="EN59" s="452" t="str">
        <f t="shared" si="63"/>
        <v/>
      </c>
      <c r="EO59" s="452" t="str">
        <f t="shared" si="64"/>
        <v/>
      </c>
      <c r="EP59" s="452" t="str">
        <f t="shared" si="65"/>
        <v/>
      </c>
      <c r="EQ59" s="452" t="str">
        <f t="shared" si="66"/>
        <v/>
      </c>
      <c r="ER59" s="452" t="str">
        <f t="shared" si="67"/>
        <v/>
      </c>
      <c r="ES59" s="452" t="str">
        <f t="shared" si="106"/>
        <v/>
      </c>
      <c r="ET59" s="458" t="str">
        <f t="shared" si="68"/>
        <v/>
      </c>
      <c r="EU59" s="527" t="str">
        <f>IF(OR(ISNA(VLOOKUP($B59,'TICH LUY'!$B$11:$BY$85,54,0)),$B59=""),"",VLOOKUP($B59,'TICH LUY'!$B$11:$BY$85,54,0))</f>
        <v/>
      </c>
      <c r="EV59" s="507" t="str">
        <f>IF(OR(ISNA(VLOOKUP($B59,'TICH LUY'!$B$11:$BY$85,55,0)),$B59=""),"",VLOOKUP($B59,'TICH LUY'!$B$11:$BY$85,55,0))</f>
        <v/>
      </c>
      <c r="EW59" s="507" t="str">
        <f>IF(OR(ISNA(VLOOKUP($B59,'TICH LUY'!$B$11:$BY$85,56,0)),$B59=""),"",VLOOKUP($B59,'TICH LUY'!$B$11:$BY$85,56,0))</f>
        <v/>
      </c>
      <c r="EX59" s="507" t="str">
        <f>IF(OR(ISNA(VLOOKUP($B59,'TICH LUY'!$B$11:$BY$85,57,0)),$B59=""),"",VLOOKUP($B59,'TICH LUY'!$B$11:$BY$85,57,0))</f>
        <v/>
      </c>
      <c r="EY59" s="507" t="str">
        <f>IF(OR(ISNA(VLOOKUP($B59,'TICH LUY'!$B$11:$BY$85,58,0)),$B59=""),"",VLOOKUP($B59,'TICH LUY'!$B$11:$BY$85,58,0))</f>
        <v/>
      </c>
      <c r="EZ59" s="507" t="str">
        <f>IF(OR(ISNA(VLOOKUP($B59,'TICH LUY'!$B$11:$BY$85,59,0)),$B59=""),"",VLOOKUP($B59,'TICH LUY'!$B$11:$BY$85,59,0))</f>
        <v/>
      </c>
      <c r="FA59" s="507" t="str">
        <f>IF(OR(ISNA(VLOOKUP($B59,'TICH LUY'!$B$11:$BY$85,60,0)),$B59=""),"",VLOOKUP($B59,'TICH LUY'!$B$11:$BY$85,60,0))</f>
        <v/>
      </c>
      <c r="FB59" s="507" t="str">
        <f>IF(OR(ISNA(VLOOKUP($B59,'TICH LUY'!$B$11:$BY$85,61,0)),$B59=""),"",VLOOKUP($B59,'TICH LUY'!$B$11:$BY$85,61,0))</f>
        <v/>
      </c>
      <c r="FC59" s="507" t="str">
        <f>IF(OR(ISNA(VLOOKUP($B59,'TICH LUY'!$B$11:$BY$85,62,0)),$B59=""),"",VLOOKUP($B59,'TICH LUY'!$B$11:$BY$85,62,0))</f>
        <v/>
      </c>
      <c r="FD59" s="507" t="str">
        <f>IF(OR(ISNA(VLOOKUP($B59,'TICH LUY'!$B$11:$BY$85,63,0)),$B59=""),"",VLOOKUP($B59,'TICH LUY'!$B$11:$BY$85,63,0))</f>
        <v/>
      </c>
      <c r="FE59" s="507" t="str">
        <f>IF(OR(ISNA(VLOOKUP($B59,'TICH LUY'!$B$11:$BY$85,64,0)),$B59=""),"",VLOOKUP($B59,'TICH LUY'!$B$11:$BY$85,64,0))</f>
        <v/>
      </c>
      <c r="FF59" s="507" t="str">
        <f>IF(OR(ISNA(VLOOKUP($B59,'TICH LUY'!$B$11:$BY$85,65,0)),$B59=""),"",VLOOKUP($B59,'TICH LUY'!$B$11:$BY$85,65,0))</f>
        <v/>
      </c>
      <c r="FG59" s="507" t="str">
        <f>IF(OR(ISNA(VLOOKUP($B59,'TICH LUY'!$B$11:$BY$85,66,0)),$B59=""),"",VLOOKUP($B59,'TICH LUY'!$B$11:$BY$85,66,0))</f>
        <v/>
      </c>
      <c r="FH59" s="507" t="str">
        <f>IF(OR(ISNA(VLOOKUP($B59,'TICH LUY'!$B$11:$BY$85,67,0)),$B59=""),"",VLOOKUP($B59,'TICH LUY'!$B$11:$BY$85,67,0))</f>
        <v/>
      </c>
      <c r="FI59" s="507" t="str">
        <f>IF(OR(ISNA(VLOOKUP($B59,'TICH LUY'!$B$11:$BY$85,68,0)),$B59=""),"",VLOOKUP($B59,'TICH LUY'!$B$11:$BY$85,68,0))</f>
        <v/>
      </c>
      <c r="FJ59" s="507" t="str">
        <f>IF(OR(ISNA(VLOOKUP($B59,'TICH LUY'!$B$11:$BY$85,69,0)),$B59=""),"",VLOOKUP($B59,'TICH LUY'!$B$11:$BY$85,69,0))</f>
        <v/>
      </c>
      <c r="FK59" s="507" t="str">
        <f>IF(OR(ISNA(VLOOKUP($B59,'TICH LUY'!$B$11:$BY$85,70,0)),$B59=""),"",VLOOKUP($B59,'TICH LUY'!$B$11:$BY$85,70,0))</f>
        <v/>
      </c>
      <c r="FL59" s="507" t="str">
        <f>IF(OR(ISNA(VLOOKUP($B59,'TICH LUY'!$B$11:$BY$85,71,0)),$B59=""),"",VLOOKUP($B59,'TICH LUY'!$B$11:$BY$85,71,0))</f>
        <v/>
      </c>
      <c r="FM59" s="507" t="str">
        <f>IF(OR(ISNA(VLOOKUP($B59,'TICH LUY'!$B$11:$BY$85,72,0)),$B59=""),"",VLOOKUP($B59,'TICH LUY'!$B$11:$BY$85,72,0))</f>
        <v/>
      </c>
      <c r="FN59" s="507" t="str">
        <f>IF(OR(ISNA(VLOOKUP($B59,'TICH LUY'!$B$11:$BY$85,73,0)),$B59=""),"",VLOOKUP($B59,'TICH LUY'!$B$11:$BY$85,73,0))</f>
        <v/>
      </c>
      <c r="FO59" s="507" t="str">
        <f>IF(OR(ISNA(VLOOKUP($B59,'TICH LUY'!$B$11:$BY$85,74,0)),$B59=""),"",VLOOKUP($B59,'TICH LUY'!$B$11:$BY$85,74,0))</f>
        <v/>
      </c>
      <c r="FP59" s="507" t="str">
        <f>IF(OR(ISNA(VLOOKUP($B59,'TICH LUY'!$B$11:$BY$85,75,0)),$B59=""),"",VLOOKUP($B59,'TICH LUY'!$B$11:$BY$85,75,0))</f>
        <v/>
      </c>
      <c r="FQ59" s="529" t="str">
        <f>IF(OR(ISNA(VLOOKUP($B59,'TICH LUY'!$B$11:$BY$85,76,0)),$B59=""),"",VLOOKUP($B59,'TICH LUY'!$B$11:$BY$85,76,0))</f>
        <v/>
      </c>
      <c r="FR59" s="455" t="str">
        <f t="shared" si="69"/>
        <v/>
      </c>
      <c r="FS59" s="456" t="str">
        <f t="shared" si="70"/>
        <v/>
      </c>
      <c r="FT59" s="456" t="str">
        <f t="shared" si="71"/>
        <v/>
      </c>
      <c r="FU59" s="456" t="str">
        <f t="shared" si="72"/>
        <v/>
      </c>
      <c r="FV59" s="456" t="str">
        <f t="shared" si="73"/>
        <v/>
      </c>
      <c r="FW59" s="456" t="str">
        <f t="shared" si="74"/>
        <v/>
      </c>
      <c r="FX59" s="456" t="str">
        <f t="shared" si="75"/>
        <v/>
      </c>
      <c r="FY59" s="456" t="str">
        <f t="shared" si="76"/>
        <v/>
      </c>
      <c r="FZ59" s="456" t="str">
        <f t="shared" si="77"/>
        <v/>
      </c>
      <c r="GA59" s="456" t="str">
        <f t="shared" si="78"/>
        <v/>
      </c>
      <c r="GB59" s="459" t="str">
        <f t="shared" si="79"/>
        <v/>
      </c>
      <c r="GC59" s="457" t="str">
        <f t="shared" si="107"/>
        <v/>
      </c>
    </row>
    <row r="60" spans="1:185" s="221" customFormat="1" ht="15.75">
      <c r="A60" s="449" t="str">
        <f>IF(B60="","",SUBTOTAL(3,$B$11:B60))</f>
        <v/>
      </c>
      <c r="B60" s="508"/>
      <c r="C60" s="450" t="str">
        <f>IF($B60="","",VLOOKUP($B60,'DS LOP HKI'!$B$2:$F$2642,2,0))</f>
        <v/>
      </c>
      <c r="D60" s="451" t="str">
        <f>IF($B60="","",VLOOKUP($B60,'DS LOP HKI'!$B$2:$F$2642,3,0))</f>
        <v/>
      </c>
      <c r="E60" s="154"/>
      <c r="F60" s="152"/>
      <c r="G60" s="156"/>
      <c r="H60" s="181" t="str">
        <f>IF(OR($H$6="",$H$7=""),"",IF($B60="","",IF(ISNA(VLOOKUP($B60,'LT01'!$B$11:$R$75,13,FALSE)),"",IF(VLOOKUP($B60,'LT01'!$B$11:$R$75,13,FALSE)="","",VLOOKUP($B60,'LT01'!$B$11:$R$75,13,FALSE)))))</f>
        <v/>
      </c>
      <c r="I60" s="182" t="str">
        <f>IF(OR($H$6="",$H$7=""),"",IF($B60="","",IF(ISNA(VLOOKUP($B60,'LT01'!$B$11:$R$75,14,FALSE)),"",VLOOKUP($B60,'LT01'!$B$11:$R$75,14,FALSE))))</f>
        <v/>
      </c>
      <c r="J60" s="183"/>
      <c r="K60" s="182" t="str">
        <f>IF(OR($H$6="",$H$7=""),"",IF($B60="","",IF(ISNA(VLOOKUP($B60,'LT01'!$B$11:$R$75,17,FALSE)),"",VLOOKUP($B60,'LT01'!$B$11:$R$75,17,FALSE))))</f>
        <v/>
      </c>
      <c r="L60" s="185" t="str">
        <f>IF(OR($H$6="",$H$7=""),"",IF($B60="","",IF(ISNA(VLOOKUP($B60,'LT02'!$B$11:$R$75,13,FALSE)),"",IF(VLOOKUP($B60,'LT02'!$B$11:$R$75,13,FALSE)="","",VLOOKUP($B60,'LT02'!$B$11:$R$75,13,FALSE)))))</f>
        <v/>
      </c>
      <c r="M60" s="182" t="str">
        <f>IF(OR($H$6="",$H$7=""),"",IF($B60="","",IF(ISNA(VLOOKUP($B60,'LT02'!$B$11:$R$75,14,FALSE)),"",VLOOKUP($B60,'LT02'!$B$11:$R$75,14,FALSE))))</f>
        <v/>
      </c>
      <c r="N60" s="183"/>
      <c r="O60" s="182" t="str">
        <f>IF(OR($H$6="",$H$7=""),"",IF($B60="","",IF(ISNA(VLOOKUP($B60,'LT02'!$B$11:$R$75,17,FALSE)),"",VLOOKUP($B60,'LT02'!$B$11:$R$75,17,FALSE))))</f>
        <v/>
      </c>
      <c r="P60" s="185" t="str">
        <f>IF(OR($H$6="",$H$7=""),"",IF($B60="","",IF(ISNA(VLOOKUP($B60,'LT03'!$B$11:$R$75,13,FALSE)),"",IF(VLOOKUP($B60,'LT03'!$B$11:$R$75,13,FALSE)="","",VLOOKUP($B60,'LT03'!$B$11:$R$75,13,FALSE)))))</f>
        <v/>
      </c>
      <c r="Q60" s="182" t="str">
        <f>IF(OR($H$6="",$H$7=""),"",IF($B60="","",IF(ISNA(VLOOKUP($B60,'LT03'!$B$11:$R$75,14,FALSE)),"",VLOOKUP($B60,'LT03'!$B$11:$R$75,14,FALSE))))</f>
        <v/>
      </c>
      <c r="R60" s="183"/>
      <c r="S60" s="182" t="str">
        <f>IF(OR($H$6="",$H$7=""),"",IF($B60="","",IF(ISNA(VLOOKUP($B60,'LT03'!$B$11:$R$75,17,FALSE)),"",VLOOKUP($B60,'LT03'!$B$11:$R$75,17,FALSE))))</f>
        <v/>
      </c>
      <c r="T60" s="185" t="str">
        <f>IF(OR($H$6="",$H$7=""),"",IF($B60="","",IF(ISNA(VLOOKUP($B60,'LT04'!$B$11:$R$75,13,FALSE)),"",IF(VLOOKUP($B60,'LT04'!$B$11:$R$75,13,FALSE)="","",VLOOKUP($B60,'LT04'!$B$11:$R$75,13,FALSE)))))</f>
        <v/>
      </c>
      <c r="U60" s="182" t="str">
        <f>IF(OR($H$6="",$H$7=""),"",IF($B60="","",IF(ISNA(VLOOKUP($B60,'LT04'!$B$11:$R$75,14,FALSE)),"",VLOOKUP($B60,'LT04'!$B$11:$R$75,14,FALSE))))</f>
        <v/>
      </c>
      <c r="V60" s="183"/>
      <c r="W60" s="184" t="str">
        <f>IF(OR($H$6="",$H$7=""),"",IF($B60="","",IF(ISNA(VLOOKUP($B60,'LT04'!$B$11:$R$75,17,FALSE)),"",VLOOKUP($B60,'LT04'!$B$11:$R$75,17,FALSE))))</f>
        <v/>
      </c>
      <c r="X60" s="185" t="str">
        <f>IF(OR($H$6="",$H$7=""),"",IF($B60="","",IF(ISNA(VLOOKUP($B60,'LT05'!$B$11:$R$75,13,FALSE)),"",IF(VLOOKUP($B60,'LT05'!$B$11:$R$75,13,FALSE)="","",VLOOKUP($B60,'LT05'!$B$11:$R$75,13,FALSE)))))</f>
        <v/>
      </c>
      <c r="Y60" s="182" t="str">
        <f>IF(OR($H$6="",$H$7=""),"",IF($B60="","",IF(ISNA(VLOOKUP($B60,'LT05'!$B$11:$R$75,14,FALSE)),"",VLOOKUP($B60,'LT05'!$B$11:$R$75,14,FALSE))))</f>
        <v/>
      </c>
      <c r="Z60" s="183"/>
      <c r="AA60" s="182" t="str">
        <f>IF(OR($H$6="",$H$7=""),"",IF($B60="","",IF(ISNA(VLOOKUP($B60,'LT05'!$B$11:$R$75,17,FALSE)),"",VLOOKUP($B60,'LT05'!$B$11:$R$75,17,FALSE))))</f>
        <v/>
      </c>
      <c r="AB60" s="185" t="str">
        <f>IF(OR($H$6="",$H$7=""),"",IF($B60="","",IF(ISNA(VLOOKUP($B60,'LT06'!$B$11:$R$75,13,FALSE)),"",IF(VLOOKUP($B60,'LT06'!$B$11:$R$75,13,FALSE)="","",VLOOKUP($B60,'LT06'!$B$11:$R$75,13,FALSE)))))</f>
        <v/>
      </c>
      <c r="AC60" s="182" t="str">
        <f>IF(OR($H$6="",$H$7=""),"",IF($B60="","",IF(ISNA(VLOOKUP($B60,'LT06'!$B$11:$R$75,14,FALSE)),"",VLOOKUP($B60,'LT06'!$B$11:$R$75,14,FALSE))))</f>
        <v/>
      </c>
      <c r="AD60" s="183"/>
      <c r="AE60" s="182" t="str">
        <f>IF(OR($H$6="",$H$7=""),"",IF($B60="","",IF(ISNA(VLOOKUP($B60,'LT06'!$B$11:$R$75,17,FALSE)),"",VLOOKUP($B60,'LT06'!$B$11:$R$75,17,FALSE))))</f>
        <v/>
      </c>
      <c r="AF60" s="185" t="str">
        <f>IF(OR($H$6="",$H$7=""),"",IF($B60="","",IF(ISNA(VLOOKUP($B60,'LT07'!$B$11:$R$75,13,FALSE)),"",IF(VLOOKUP($B60,'LT07'!$B$11:$R$75,13,FALSE)="","",VLOOKUP($B60,'LT07'!$B$11:$R$75,13,FALSE)))))</f>
        <v/>
      </c>
      <c r="AG60" s="182" t="str">
        <f>IF(OR($H$6="",$H$7=""),"",IF($B60="","",IF(ISNA(VLOOKUP($B60,'LT07'!$B$11:$R$75,14,FALSE)),"",VLOOKUP($B60,'LT07'!$B$11:$R$75,14,FALSE))))</f>
        <v/>
      </c>
      <c r="AH60" s="183"/>
      <c r="AI60" s="182" t="str">
        <f>IF(OR($H$6="",$H$7=""),"",IF($B60="","",IF(ISNA(VLOOKUP($B60,'LT07'!$B$11:$R$75,17,FALSE)),"",VLOOKUP($B60,'LT07'!$B$11:$R$75,17,FALSE))))</f>
        <v/>
      </c>
      <c r="AJ60" s="185" t="str">
        <f>IF(OR($H$6="",$H$7=""),"",IF($B60="","",IF(ISNA(VLOOKUP($B60,'LT08'!$B$11:$R$75,13,FALSE)),"",IF(VLOOKUP($B60,'LT08'!$B$11:$R$75,13,FALSE)="","",VLOOKUP($B60,'LT08'!$B$11:$R$75,13,FALSE)))))</f>
        <v/>
      </c>
      <c r="AK60" s="182" t="str">
        <f>IF(OR($H$6="",$H$7=""),"",IF($B60="","",IF(ISNA(VLOOKUP($B60,'LT08'!$B$11:$R$75,14,FALSE)),"",VLOOKUP($B60,'LT08'!$B$11:$R$75,14,FALSE))))</f>
        <v/>
      </c>
      <c r="AL60" s="183"/>
      <c r="AM60" s="182" t="str">
        <f>IF(OR($H$6="",$H$7=""),"",IF($B60="","",IF(ISNA(VLOOKUP($B60,'LT08'!$B$11:$R$75,17,FALSE)),"",VLOOKUP($B60,'LT08'!$B$11:$R$75,17,FALSE))))</f>
        <v/>
      </c>
      <c r="AN60" s="185" t="str">
        <f>IF(OR($H$6="",$H$7=""),"",IF($B60="","",IF(ISNA(VLOOKUP($B60,'LT09'!$B$11:$R$75,13,FALSE)),"",IF(VLOOKUP($B60,'LT09'!$B$11:$R$75,13,FALSE)="","",VLOOKUP($B60,'LT09'!$B$11:$R$75,13,FALSE)))))</f>
        <v/>
      </c>
      <c r="AO60" s="182" t="str">
        <f>IF(OR($H$6="",$H$7=""),"",IF($B60="","",IF(ISNA(VLOOKUP($B60,'LT09'!$B$11:$R$75,14,FALSE)),"",VLOOKUP($B60,'LT09'!$B$11:$R$75,14,FALSE))))</f>
        <v/>
      </c>
      <c r="AP60" s="183"/>
      <c r="AQ60" s="182" t="str">
        <f>IF(OR($H$6="",$H$7=""),"",IF($B60="","",IF(ISNA(VLOOKUP($B60,'LT09'!$B$11:$R$75,17,FALSE)),"",VLOOKUP($B60,'LT09'!$B$11:$R$75,17,FALSE))))</f>
        <v/>
      </c>
      <c r="AR60" s="186"/>
      <c r="AS60" s="182" t="str">
        <f>IF(OR($H$6="",$H$7=""),"",IF($B60="","",IF(ISNA(VLOOKUP($B60,'TH01'!$B$11:$R$75,14,FALSE)),"",VLOOKUP($B60,'TH01'!$B$11:$R$75,14,FALSE))))</f>
        <v/>
      </c>
      <c r="AT60" s="183"/>
      <c r="AU60" s="187"/>
      <c r="AV60" s="186"/>
      <c r="AW60" s="182" t="str">
        <f>IF(OR($H$6="",$H$7=""),"",IF($B60="","",IF(ISNA(VLOOKUP($B60,'TH02'!$B$11:$R$75,14,FALSE)),"",VLOOKUP($B60,'TH02'!$B$11:$R$75,14,FALSE))))</f>
        <v/>
      </c>
      <c r="AX60" s="183"/>
      <c r="AY60" s="187"/>
      <c r="AZ60" s="54" t="str">
        <f t="shared" si="24"/>
        <v/>
      </c>
      <c r="BA60" s="54" t="str">
        <f t="shared" si="0"/>
        <v/>
      </c>
      <c r="BB60" s="70"/>
      <c r="BC60" s="52" t="str">
        <f t="shared" si="25"/>
        <v/>
      </c>
      <c r="BD60" s="52" t="str">
        <f t="shared" si="26"/>
        <v/>
      </c>
      <c r="BE60" s="52" t="str">
        <f t="shared" si="86"/>
        <v/>
      </c>
      <c r="BF60" s="149" t="str">
        <f t="shared" si="87"/>
        <v/>
      </c>
      <c r="BG60" s="52" t="str">
        <f t="shared" si="88"/>
        <v/>
      </c>
      <c r="BH60" s="52" t="str">
        <f t="shared" si="89"/>
        <v/>
      </c>
      <c r="BI60" s="52" t="str">
        <f t="shared" si="90"/>
        <v/>
      </c>
      <c r="BJ60" s="52" t="str">
        <f t="shared" si="91"/>
        <v/>
      </c>
      <c r="BK60" s="54" t="str">
        <f t="shared" si="92"/>
        <v/>
      </c>
      <c r="BL60" s="54" t="str">
        <f t="shared" si="93"/>
        <v/>
      </c>
      <c r="BM60" s="54" t="str">
        <f t="shared" si="94"/>
        <v/>
      </c>
      <c r="BN60" s="54" t="str">
        <f t="shared" si="95"/>
        <v/>
      </c>
      <c r="BO60" s="70"/>
      <c r="BP60" s="52" t="str">
        <f>IF(ISNA(VLOOKUP(B60,'TICH LUY'!B:D,2,0)),"",VLOOKUP(B60,'TICH LUY'!B:D,2,0)+BI60)</f>
        <v/>
      </c>
      <c r="BQ60" s="52" t="str">
        <f>IF(ISNA(VLOOKUP(B60,'TICH LUY'!B:D,3,0)),"",VLOOKUP(B60,'TICH LUY'!B:D,3,0)+BJ60)</f>
        <v/>
      </c>
      <c r="BR60" s="40" t="str">
        <f t="shared" si="96"/>
        <v/>
      </c>
      <c r="BS60" s="452" t="str">
        <f t="shared" si="97"/>
        <v/>
      </c>
      <c r="BT60" s="452" t="str">
        <f t="shared" si="98"/>
        <v/>
      </c>
      <c r="BU60" s="452" t="str">
        <f t="shared" si="99"/>
        <v/>
      </c>
      <c r="BV60" s="452" t="str">
        <f t="shared" si="100"/>
        <v/>
      </c>
      <c r="BW60" s="452" t="str">
        <f t="shared" si="101"/>
        <v/>
      </c>
      <c r="BX60" s="452" t="str">
        <f t="shared" si="102"/>
        <v/>
      </c>
      <c r="BY60" s="452" t="str">
        <f t="shared" si="103"/>
        <v/>
      </c>
      <c r="BZ60" s="452" t="str">
        <f t="shared" si="28"/>
        <v/>
      </c>
      <c r="CA60" s="452" t="str">
        <f t="shared" si="29"/>
        <v/>
      </c>
      <c r="CB60" s="452" t="str">
        <f t="shared" si="30"/>
        <v/>
      </c>
      <c r="CC60" s="452" t="str">
        <f t="shared" si="104"/>
        <v/>
      </c>
      <c r="CD60" s="40" t="str">
        <f t="shared" si="31"/>
        <v/>
      </c>
      <c r="CE60" s="453" t="str">
        <f t="shared" si="80"/>
        <v/>
      </c>
      <c r="CF60" s="452" t="str">
        <f t="shared" si="32"/>
        <v/>
      </c>
      <c r="CG60" s="452" t="str">
        <f t="shared" si="81"/>
        <v/>
      </c>
      <c r="CH60" s="452" t="str">
        <f t="shared" si="82"/>
        <v/>
      </c>
      <c r="CI60" s="452" t="str">
        <f t="shared" si="83"/>
        <v/>
      </c>
      <c r="CJ60" s="452" t="str">
        <f t="shared" si="84"/>
        <v/>
      </c>
      <c r="CK60" s="452" t="str">
        <f t="shared" si="85"/>
        <v/>
      </c>
      <c r="CL60" s="452" t="str">
        <f t="shared" si="33"/>
        <v/>
      </c>
      <c r="CM60" s="452" t="str">
        <f t="shared" si="34"/>
        <v/>
      </c>
      <c r="CN60" s="452" t="str">
        <f t="shared" si="35"/>
        <v/>
      </c>
      <c r="CO60" s="452" t="str">
        <f t="shared" si="105"/>
        <v/>
      </c>
      <c r="CP60" s="454" t="str">
        <f t="shared" si="36"/>
        <v/>
      </c>
      <c r="CQ60" s="527" t="str">
        <f>IF(OR(ISNA(VLOOKUP($B60,'TICH LUY'!$B$11:$BY$85,54,0)),$B60=""),"",VLOOKUP($B60,'TICH LUY'!$B$11:$BY$85,54,0))</f>
        <v/>
      </c>
      <c r="CR60" s="507" t="str">
        <f>IF(OR(ISNA(VLOOKUP($B60,'TICH LUY'!$B$11:$BY$85,55,0)),$B60=""),"",VLOOKUP($B60,'TICH LUY'!$B$11:$BY$85,55,0))</f>
        <v/>
      </c>
      <c r="CS60" s="507" t="str">
        <f>IF(OR(ISNA(VLOOKUP($B60,'TICH LUY'!$B$11:$BY$85,56,0)),$B60=""),"",VLOOKUP($B60,'TICH LUY'!$B$11:$BY$85,56,0))</f>
        <v/>
      </c>
      <c r="CT60" s="507" t="str">
        <f>IF(OR(ISNA(VLOOKUP($B60,'TICH LUY'!$B$11:$BY$85,57,0)),$B60=""),"",VLOOKUP($B60,'TICH LUY'!$B$11:$BY$85,57,0))</f>
        <v/>
      </c>
      <c r="CU60" s="507" t="str">
        <f>IF(OR(ISNA(VLOOKUP($B60,'TICH LUY'!$B$11:$BY$85,58,0)),$B60=""),"",VLOOKUP($B60,'TICH LUY'!$B$11:$BY$85,58,0))</f>
        <v/>
      </c>
      <c r="CV60" s="507" t="str">
        <f>IF(OR(ISNA(VLOOKUP($B60,'TICH LUY'!$B$11:$BY$85,59,0)),$B60=""),"",VLOOKUP($B60,'TICH LUY'!$B$11:$BY$85,59,0))</f>
        <v/>
      </c>
      <c r="CW60" s="507" t="str">
        <f>IF(OR(ISNA(VLOOKUP($B60,'TICH LUY'!$B$11:$BY$85,60,0)),$B60=""),"",VLOOKUP($B60,'TICH LUY'!$B$11:$BY$85,60,0))</f>
        <v/>
      </c>
      <c r="CX60" s="507" t="str">
        <f>IF(OR(ISNA(VLOOKUP($B60,'TICH LUY'!$B$11:$BY$85,61,0)),$B60=""),"",VLOOKUP($B60,'TICH LUY'!$B$11:$BY$85,61,0))</f>
        <v/>
      </c>
      <c r="CY60" s="507" t="str">
        <f>IF(OR(ISNA(VLOOKUP($B60,'TICH LUY'!$B$11:$BY$85,62,0)),$B60=""),"",VLOOKUP($B60,'TICH LUY'!$B$11:$BY$85,62,0))</f>
        <v/>
      </c>
      <c r="CZ60" s="507" t="str">
        <f>IF(OR(ISNA(VLOOKUP($B60,'TICH LUY'!$B$11:$BY$85,63,0)),$B60=""),"",VLOOKUP($B60,'TICH LUY'!$B$11:$BY$85,63,0))</f>
        <v/>
      </c>
      <c r="DA60" s="507" t="str">
        <f>IF(OR(ISNA(VLOOKUP($B60,'TICH LUY'!$B$11:$BY$85,64,0)),$B60=""),"",VLOOKUP($B60,'TICH LUY'!$B$11:$BY$85,64,0))</f>
        <v/>
      </c>
      <c r="DB60" s="507" t="str">
        <f>IF(OR(ISNA(VLOOKUP($B60,'TICH LUY'!$B$11:$BY$85,65,0)),$B60=""),"",VLOOKUP($B60,'TICH LUY'!$B$11:$BY$85,65,0))</f>
        <v/>
      </c>
      <c r="DC60" s="507" t="str">
        <f>IF(OR(ISNA(VLOOKUP($B60,'TICH LUY'!$B$11:$BY$85,66,0)),$B60=""),"",VLOOKUP($B60,'TICH LUY'!$B$11:$BY$85,66,0))</f>
        <v/>
      </c>
      <c r="DD60" s="507" t="str">
        <f>IF(OR(ISNA(VLOOKUP($B60,'TICH LUY'!$B$11:$BY$85,67,0)),$B60=""),"",VLOOKUP($B60,'TICH LUY'!$B$11:$BY$85,67,0))</f>
        <v/>
      </c>
      <c r="DE60" s="507" t="str">
        <f>IF(OR(ISNA(VLOOKUP($B60,'TICH LUY'!$B$11:$BY$85,68,0)),$B60=""),"",VLOOKUP($B60,'TICH LUY'!$B$11:$BY$85,68,0))</f>
        <v/>
      </c>
      <c r="DF60" s="507" t="str">
        <f>IF(OR(ISNA(VLOOKUP($B60,'TICH LUY'!$B$11:$BY$85,69,0)),$B60=""),"",VLOOKUP($B60,'TICH LUY'!$B$11:$BY$85,69,0))</f>
        <v/>
      </c>
      <c r="DG60" s="507" t="str">
        <f>IF(OR(ISNA(VLOOKUP($B60,'TICH LUY'!$B$11:$BY$85,70,0)),$B60=""),"",VLOOKUP($B60,'TICH LUY'!$B$11:$BY$85,70,0))</f>
        <v/>
      </c>
      <c r="DH60" s="507" t="str">
        <f>IF(OR(ISNA(VLOOKUP($B60,'TICH LUY'!$B$11:$BY$85,71,0)),$B60=""),"",VLOOKUP($B60,'TICH LUY'!$B$11:$BY$85,71,0))</f>
        <v/>
      </c>
      <c r="DI60" s="507" t="str">
        <f>IF(OR(ISNA(VLOOKUP($B60,'TICH LUY'!$B$11:$BY$85,72,0)),$B60=""),"",VLOOKUP($B60,'TICH LUY'!$B$11:$BY$85,72,0))</f>
        <v/>
      </c>
      <c r="DJ60" s="507" t="str">
        <f>IF(OR(ISNA(VLOOKUP($B60,'TICH LUY'!$B$11:$BY$85,73,0)),$B60=""),"",VLOOKUP($B60,'TICH LUY'!$B$11:$BY$85,73,0))</f>
        <v/>
      </c>
      <c r="DK60" s="507" t="str">
        <f>IF(OR(ISNA(VLOOKUP($B60,'TICH LUY'!$B$11:$BY$85,74,0)),$B60=""),"",VLOOKUP($B60,'TICH LUY'!$B$11:$BY$85,74,0))</f>
        <v/>
      </c>
      <c r="DL60" s="507" t="str">
        <f>IF(OR(ISNA(VLOOKUP($B60,'TICH LUY'!$B$11:$BY$85,75,0)),$B60=""),"",VLOOKUP($B60,'TICH LUY'!$B$11:$BY$85,75,0))</f>
        <v/>
      </c>
      <c r="DM60" s="529" t="str">
        <f>IF(OR(ISNA(VLOOKUP($B60,'TICH LUY'!$B$11:$BY$85,76,0)),$B60=""),"",VLOOKUP($B60,'TICH LUY'!$B$11:$BY$85,76,0))</f>
        <v/>
      </c>
      <c r="DN60" s="455" t="str">
        <f t="shared" si="37"/>
        <v/>
      </c>
      <c r="DO60" s="456" t="str">
        <f t="shared" si="38"/>
        <v/>
      </c>
      <c r="DP60" s="456" t="str">
        <f t="shared" si="39"/>
        <v/>
      </c>
      <c r="DQ60" s="456" t="str">
        <f t="shared" si="40"/>
        <v/>
      </c>
      <c r="DR60" s="456" t="str">
        <f t="shared" si="41"/>
        <v/>
      </c>
      <c r="DS60" s="456" t="str">
        <f t="shared" si="42"/>
        <v/>
      </c>
      <c r="DT60" s="456" t="str">
        <f t="shared" si="43"/>
        <v/>
      </c>
      <c r="DU60" s="456" t="str">
        <f t="shared" si="44"/>
        <v/>
      </c>
      <c r="DV60" s="456" t="str">
        <f t="shared" si="45"/>
        <v/>
      </c>
      <c r="DW60" s="456" t="str">
        <f t="shared" si="46"/>
        <v/>
      </c>
      <c r="DX60" s="456" t="str">
        <f t="shared" si="47"/>
        <v/>
      </c>
      <c r="DY60" s="457" t="str">
        <f t="shared" si="48"/>
        <v/>
      </c>
      <c r="DZ60" s="453" t="str">
        <f t="shared" si="49"/>
        <v/>
      </c>
      <c r="EA60" s="452" t="str">
        <f t="shared" si="50"/>
        <v/>
      </c>
      <c r="EB60" s="452" t="str">
        <f t="shared" si="51"/>
        <v/>
      </c>
      <c r="EC60" s="452" t="str">
        <f t="shared" si="52"/>
        <v/>
      </c>
      <c r="ED60" s="452" t="str">
        <f t="shared" si="53"/>
        <v/>
      </c>
      <c r="EE60" s="452" t="str">
        <f t="shared" si="54"/>
        <v/>
      </c>
      <c r="EF60" s="452" t="str">
        <f t="shared" si="55"/>
        <v/>
      </c>
      <c r="EG60" s="452" t="str">
        <f t="shared" si="56"/>
        <v/>
      </c>
      <c r="EH60" s="452" t="str">
        <f t="shared" si="57"/>
        <v/>
      </c>
      <c r="EI60" s="453" t="str">
        <f t="shared" si="58"/>
        <v/>
      </c>
      <c r="EJ60" s="452" t="str">
        <f t="shared" si="59"/>
        <v/>
      </c>
      <c r="EK60" s="452" t="str">
        <f t="shared" si="60"/>
        <v/>
      </c>
      <c r="EL60" s="452" t="str">
        <f t="shared" si="61"/>
        <v/>
      </c>
      <c r="EM60" s="452" t="str">
        <f t="shared" si="62"/>
        <v/>
      </c>
      <c r="EN60" s="452" t="str">
        <f t="shared" si="63"/>
        <v/>
      </c>
      <c r="EO60" s="452" t="str">
        <f t="shared" si="64"/>
        <v/>
      </c>
      <c r="EP60" s="452" t="str">
        <f t="shared" si="65"/>
        <v/>
      </c>
      <c r="EQ60" s="452" t="str">
        <f t="shared" si="66"/>
        <v/>
      </c>
      <c r="ER60" s="452" t="str">
        <f t="shared" si="67"/>
        <v/>
      </c>
      <c r="ES60" s="452" t="str">
        <f t="shared" si="106"/>
        <v/>
      </c>
      <c r="ET60" s="458" t="str">
        <f t="shared" si="68"/>
        <v/>
      </c>
      <c r="EU60" s="527" t="str">
        <f>IF(OR(ISNA(VLOOKUP($B60,'TICH LUY'!$B$11:$BY$85,54,0)),$B60=""),"",VLOOKUP($B60,'TICH LUY'!$B$11:$BY$85,54,0))</f>
        <v/>
      </c>
      <c r="EV60" s="507" t="str">
        <f>IF(OR(ISNA(VLOOKUP($B60,'TICH LUY'!$B$11:$BY$85,55,0)),$B60=""),"",VLOOKUP($B60,'TICH LUY'!$B$11:$BY$85,55,0))</f>
        <v/>
      </c>
      <c r="EW60" s="507" t="str">
        <f>IF(OR(ISNA(VLOOKUP($B60,'TICH LUY'!$B$11:$BY$85,56,0)),$B60=""),"",VLOOKUP($B60,'TICH LUY'!$B$11:$BY$85,56,0))</f>
        <v/>
      </c>
      <c r="EX60" s="507" t="str">
        <f>IF(OR(ISNA(VLOOKUP($B60,'TICH LUY'!$B$11:$BY$85,57,0)),$B60=""),"",VLOOKUP($B60,'TICH LUY'!$B$11:$BY$85,57,0))</f>
        <v/>
      </c>
      <c r="EY60" s="507" t="str">
        <f>IF(OR(ISNA(VLOOKUP($B60,'TICH LUY'!$B$11:$BY$85,58,0)),$B60=""),"",VLOOKUP($B60,'TICH LUY'!$B$11:$BY$85,58,0))</f>
        <v/>
      </c>
      <c r="EZ60" s="507" t="str">
        <f>IF(OR(ISNA(VLOOKUP($B60,'TICH LUY'!$B$11:$BY$85,59,0)),$B60=""),"",VLOOKUP($B60,'TICH LUY'!$B$11:$BY$85,59,0))</f>
        <v/>
      </c>
      <c r="FA60" s="507" t="str">
        <f>IF(OR(ISNA(VLOOKUP($B60,'TICH LUY'!$B$11:$BY$85,60,0)),$B60=""),"",VLOOKUP($B60,'TICH LUY'!$B$11:$BY$85,60,0))</f>
        <v/>
      </c>
      <c r="FB60" s="507" t="str">
        <f>IF(OR(ISNA(VLOOKUP($B60,'TICH LUY'!$B$11:$BY$85,61,0)),$B60=""),"",VLOOKUP($B60,'TICH LUY'!$B$11:$BY$85,61,0))</f>
        <v/>
      </c>
      <c r="FC60" s="507" t="str">
        <f>IF(OR(ISNA(VLOOKUP($B60,'TICH LUY'!$B$11:$BY$85,62,0)),$B60=""),"",VLOOKUP($B60,'TICH LUY'!$B$11:$BY$85,62,0))</f>
        <v/>
      </c>
      <c r="FD60" s="507" t="str">
        <f>IF(OR(ISNA(VLOOKUP($B60,'TICH LUY'!$B$11:$BY$85,63,0)),$B60=""),"",VLOOKUP($B60,'TICH LUY'!$B$11:$BY$85,63,0))</f>
        <v/>
      </c>
      <c r="FE60" s="507" t="str">
        <f>IF(OR(ISNA(VLOOKUP($B60,'TICH LUY'!$B$11:$BY$85,64,0)),$B60=""),"",VLOOKUP($B60,'TICH LUY'!$B$11:$BY$85,64,0))</f>
        <v/>
      </c>
      <c r="FF60" s="507" t="str">
        <f>IF(OR(ISNA(VLOOKUP($B60,'TICH LUY'!$B$11:$BY$85,65,0)),$B60=""),"",VLOOKUP($B60,'TICH LUY'!$B$11:$BY$85,65,0))</f>
        <v/>
      </c>
      <c r="FG60" s="507" t="str">
        <f>IF(OR(ISNA(VLOOKUP($B60,'TICH LUY'!$B$11:$BY$85,66,0)),$B60=""),"",VLOOKUP($B60,'TICH LUY'!$B$11:$BY$85,66,0))</f>
        <v/>
      </c>
      <c r="FH60" s="507" t="str">
        <f>IF(OR(ISNA(VLOOKUP($B60,'TICH LUY'!$B$11:$BY$85,67,0)),$B60=""),"",VLOOKUP($B60,'TICH LUY'!$B$11:$BY$85,67,0))</f>
        <v/>
      </c>
      <c r="FI60" s="507" t="str">
        <f>IF(OR(ISNA(VLOOKUP($B60,'TICH LUY'!$B$11:$BY$85,68,0)),$B60=""),"",VLOOKUP($B60,'TICH LUY'!$B$11:$BY$85,68,0))</f>
        <v/>
      </c>
      <c r="FJ60" s="507" t="str">
        <f>IF(OR(ISNA(VLOOKUP($B60,'TICH LUY'!$B$11:$BY$85,69,0)),$B60=""),"",VLOOKUP($B60,'TICH LUY'!$B$11:$BY$85,69,0))</f>
        <v/>
      </c>
      <c r="FK60" s="507" t="str">
        <f>IF(OR(ISNA(VLOOKUP($B60,'TICH LUY'!$B$11:$BY$85,70,0)),$B60=""),"",VLOOKUP($B60,'TICH LUY'!$B$11:$BY$85,70,0))</f>
        <v/>
      </c>
      <c r="FL60" s="507" t="str">
        <f>IF(OR(ISNA(VLOOKUP($B60,'TICH LUY'!$B$11:$BY$85,71,0)),$B60=""),"",VLOOKUP($B60,'TICH LUY'!$B$11:$BY$85,71,0))</f>
        <v/>
      </c>
      <c r="FM60" s="507" t="str">
        <f>IF(OR(ISNA(VLOOKUP($B60,'TICH LUY'!$B$11:$BY$85,72,0)),$B60=""),"",VLOOKUP($B60,'TICH LUY'!$B$11:$BY$85,72,0))</f>
        <v/>
      </c>
      <c r="FN60" s="507" t="str">
        <f>IF(OR(ISNA(VLOOKUP($B60,'TICH LUY'!$B$11:$BY$85,73,0)),$B60=""),"",VLOOKUP($B60,'TICH LUY'!$B$11:$BY$85,73,0))</f>
        <v/>
      </c>
      <c r="FO60" s="507" t="str">
        <f>IF(OR(ISNA(VLOOKUP($B60,'TICH LUY'!$B$11:$BY$85,74,0)),$B60=""),"",VLOOKUP($B60,'TICH LUY'!$B$11:$BY$85,74,0))</f>
        <v/>
      </c>
      <c r="FP60" s="507" t="str">
        <f>IF(OR(ISNA(VLOOKUP($B60,'TICH LUY'!$B$11:$BY$85,75,0)),$B60=""),"",VLOOKUP($B60,'TICH LUY'!$B$11:$BY$85,75,0))</f>
        <v/>
      </c>
      <c r="FQ60" s="529" t="str">
        <f>IF(OR(ISNA(VLOOKUP($B60,'TICH LUY'!$B$11:$BY$85,76,0)),$B60=""),"",VLOOKUP($B60,'TICH LUY'!$B$11:$BY$85,76,0))</f>
        <v/>
      </c>
      <c r="FR60" s="455" t="str">
        <f t="shared" si="69"/>
        <v/>
      </c>
      <c r="FS60" s="456" t="str">
        <f t="shared" si="70"/>
        <v/>
      </c>
      <c r="FT60" s="456" t="str">
        <f t="shared" si="71"/>
        <v/>
      </c>
      <c r="FU60" s="456" t="str">
        <f t="shared" si="72"/>
        <v/>
      </c>
      <c r="FV60" s="456" t="str">
        <f t="shared" si="73"/>
        <v/>
      </c>
      <c r="FW60" s="456" t="str">
        <f t="shared" si="74"/>
        <v/>
      </c>
      <c r="FX60" s="456" t="str">
        <f t="shared" si="75"/>
        <v/>
      </c>
      <c r="FY60" s="456" t="str">
        <f t="shared" si="76"/>
        <v/>
      </c>
      <c r="FZ60" s="456" t="str">
        <f t="shared" si="77"/>
        <v/>
      </c>
      <c r="GA60" s="456" t="str">
        <f t="shared" si="78"/>
        <v/>
      </c>
      <c r="GB60" s="459" t="str">
        <f t="shared" si="79"/>
        <v/>
      </c>
      <c r="GC60" s="457" t="str">
        <f t="shared" si="107"/>
        <v/>
      </c>
    </row>
    <row r="61" spans="1:185" s="221" customFormat="1" ht="15.75">
      <c r="A61" s="449" t="str">
        <f>IF(B61="","",SUBTOTAL(3,$B$11:B61))</f>
        <v/>
      </c>
      <c r="B61" s="180"/>
      <c r="C61" s="450" t="str">
        <f>IF($B61="","",VLOOKUP($B61,'DS LOP HKI'!$B$2:$F$2642,2,0))</f>
        <v/>
      </c>
      <c r="D61" s="451" t="str">
        <f>IF($B61="","",VLOOKUP($B61,'DS LOP HKI'!$B$2:$F$2642,3,0))</f>
        <v/>
      </c>
      <c r="E61" s="154"/>
      <c r="F61" s="152"/>
      <c r="G61" s="156"/>
      <c r="H61" s="181" t="str">
        <f>IF(OR($H$6="",$H$7=""),"",IF($B61="","",IF(ISNA(VLOOKUP($B61,'LT01'!$B$11:$R$75,13,FALSE)),"",IF(VLOOKUP($B61,'LT01'!$B$11:$R$75,13,FALSE)="","",VLOOKUP($B61,'LT01'!$B$11:$R$75,13,FALSE)))))</f>
        <v/>
      </c>
      <c r="I61" s="182" t="str">
        <f>IF(OR($H$6="",$H$7=""),"",IF($B61="","",IF(ISNA(VLOOKUP($B61,'LT01'!$B$11:$R$75,14,FALSE)),"",VLOOKUP($B61,'LT01'!$B$11:$R$75,14,FALSE))))</f>
        <v/>
      </c>
      <c r="J61" s="183"/>
      <c r="K61" s="182" t="str">
        <f>IF(OR($H$6="",$H$7=""),"",IF($B61="","",IF(ISNA(VLOOKUP($B61,'LT01'!$B$11:$R$75,17,FALSE)),"",VLOOKUP($B61,'LT01'!$B$11:$R$75,17,FALSE))))</f>
        <v/>
      </c>
      <c r="L61" s="185" t="str">
        <f>IF(OR($H$6="",$H$7=""),"",IF($B61="","",IF(ISNA(VLOOKUP($B61,'LT02'!$B$11:$R$75,13,FALSE)),"",IF(VLOOKUP($B61,'LT02'!$B$11:$R$75,13,FALSE)="","",VLOOKUP($B61,'LT02'!$B$11:$R$75,13,FALSE)))))</f>
        <v/>
      </c>
      <c r="M61" s="182" t="str">
        <f>IF(OR($H$6="",$H$7=""),"",IF($B61="","",IF(ISNA(VLOOKUP($B61,'LT02'!$B$11:$R$75,14,FALSE)),"",VLOOKUP($B61,'LT02'!$B$11:$R$75,14,FALSE))))</f>
        <v/>
      </c>
      <c r="N61" s="183"/>
      <c r="O61" s="182" t="str">
        <f>IF(OR($H$6="",$H$7=""),"",IF($B61="","",IF(ISNA(VLOOKUP($B61,'LT02'!$B$11:$R$75,17,FALSE)),"",VLOOKUP($B61,'LT02'!$B$11:$R$75,17,FALSE))))</f>
        <v/>
      </c>
      <c r="P61" s="185" t="str">
        <f>IF(OR($H$6="",$H$7=""),"",IF($B61="","",IF(ISNA(VLOOKUP($B61,'LT03'!$B$11:$R$75,13,FALSE)),"",IF(VLOOKUP($B61,'LT03'!$B$11:$R$75,13,FALSE)="","",VLOOKUP($B61,'LT03'!$B$11:$R$75,13,FALSE)))))</f>
        <v/>
      </c>
      <c r="Q61" s="182" t="str">
        <f>IF(OR($H$6="",$H$7=""),"",IF($B61="","",IF(ISNA(VLOOKUP($B61,'LT03'!$B$11:$R$75,14,FALSE)),"",VLOOKUP($B61,'LT03'!$B$11:$R$75,14,FALSE))))</f>
        <v/>
      </c>
      <c r="R61" s="183"/>
      <c r="S61" s="182" t="str">
        <f>IF(OR($H$6="",$H$7=""),"",IF($B61="","",IF(ISNA(VLOOKUP($B61,'LT03'!$B$11:$R$75,17,FALSE)),"",VLOOKUP($B61,'LT03'!$B$11:$R$75,17,FALSE))))</f>
        <v/>
      </c>
      <c r="T61" s="185" t="str">
        <f>IF(OR($H$6="",$H$7=""),"",IF($B61="","",IF(ISNA(VLOOKUP($B61,'LT04'!$B$11:$R$75,13,FALSE)),"",IF(VLOOKUP($B61,'LT04'!$B$11:$R$75,13,FALSE)="","",VLOOKUP($B61,'LT04'!$B$11:$R$75,13,FALSE)))))</f>
        <v/>
      </c>
      <c r="U61" s="182" t="str">
        <f>IF(OR($H$6="",$H$7=""),"",IF($B61="","",IF(ISNA(VLOOKUP($B61,'LT04'!$B$11:$R$75,14,FALSE)),"",VLOOKUP($B61,'LT04'!$B$11:$R$75,14,FALSE))))</f>
        <v/>
      </c>
      <c r="V61" s="183"/>
      <c r="W61" s="184" t="str">
        <f>IF(OR($H$6="",$H$7=""),"",IF($B61="","",IF(ISNA(VLOOKUP($B61,'LT04'!$B$11:$R$75,17,FALSE)),"",VLOOKUP($B61,'LT04'!$B$11:$R$75,17,FALSE))))</f>
        <v/>
      </c>
      <c r="X61" s="185" t="str">
        <f>IF(OR($H$6="",$H$7=""),"",IF($B61="","",IF(ISNA(VLOOKUP($B61,'LT05'!$B$11:$R$75,13,FALSE)),"",IF(VLOOKUP($B61,'LT05'!$B$11:$R$75,13,FALSE)="","",VLOOKUP($B61,'LT05'!$B$11:$R$75,13,FALSE)))))</f>
        <v/>
      </c>
      <c r="Y61" s="182" t="str">
        <f>IF(OR($H$6="",$H$7=""),"",IF($B61="","",IF(ISNA(VLOOKUP($B61,'LT05'!$B$11:$R$75,14,FALSE)),"",VLOOKUP($B61,'LT05'!$B$11:$R$75,14,FALSE))))</f>
        <v/>
      </c>
      <c r="Z61" s="183"/>
      <c r="AA61" s="182" t="str">
        <f>IF(OR($H$6="",$H$7=""),"",IF($B61="","",IF(ISNA(VLOOKUP($B61,'LT05'!$B$11:$R$75,17,FALSE)),"",VLOOKUP($B61,'LT05'!$B$11:$R$75,17,FALSE))))</f>
        <v/>
      </c>
      <c r="AB61" s="185" t="str">
        <f>IF(OR($H$6="",$H$7=""),"",IF($B61="","",IF(ISNA(VLOOKUP($B61,'LT06'!$B$11:$R$75,13,FALSE)),"",IF(VLOOKUP($B61,'LT06'!$B$11:$R$75,13,FALSE)="","",VLOOKUP($B61,'LT06'!$B$11:$R$75,13,FALSE)))))</f>
        <v/>
      </c>
      <c r="AC61" s="182" t="str">
        <f>IF(OR($H$6="",$H$7=""),"",IF($B61="","",IF(ISNA(VLOOKUP($B61,'LT06'!$B$11:$R$75,14,FALSE)),"",VLOOKUP($B61,'LT06'!$B$11:$R$75,14,FALSE))))</f>
        <v/>
      </c>
      <c r="AD61" s="183"/>
      <c r="AE61" s="182" t="str">
        <f>IF(OR($H$6="",$H$7=""),"",IF($B61="","",IF(ISNA(VLOOKUP($B61,'LT06'!$B$11:$R$75,17,FALSE)),"",VLOOKUP($B61,'LT06'!$B$11:$R$75,17,FALSE))))</f>
        <v/>
      </c>
      <c r="AF61" s="185" t="str">
        <f>IF(OR($H$6="",$H$7=""),"",IF($B61="","",IF(ISNA(VLOOKUP($B61,'LT07'!$B$11:$R$75,13,FALSE)),"",IF(VLOOKUP($B61,'LT07'!$B$11:$R$75,13,FALSE)="","",VLOOKUP($B61,'LT07'!$B$11:$R$75,13,FALSE)))))</f>
        <v/>
      </c>
      <c r="AG61" s="182" t="str">
        <f>IF(OR($H$6="",$H$7=""),"",IF($B61="","",IF(ISNA(VLOOKUP($B61,'LT07'!$B$11:$R$75,14,FALSE)),"",VLOOKUP($B61,'LT07'!$B$11:$R$75,14,FALSE))))</f>
        <v/>
      </c>
      <c r="AH61" s="183"/>
      <c r="AI61" s="182" t="str">
        <f>IF(OR($H$6="",$H$7=""),"",IF($B61="","",IF(ISNA(VLOOKUP($B61,'LT07'!$B$11:$R$75,17,FALSE)),"",VLOOKUP($B61,'LT07'!$B$11:$R$75,17,FALSE))))</f>
        <v/>
      </c>
      <c r="AJ61" s="185" t="str">
        <f>IF(OR($H$6="",$H$7=""),"",IF($B61="","",IF(ISNA(VLOOKUP($B61,'LT08'!$B$11:$R$75,13,FALSE)),"",IF(VLOOKUP($B61,'LT08'!$B$11:$R$75,13,FALSE)="","",VLOOKUP($B61,'LT08'!$B$11:$R$75,13,FALSE)))))</f>
        <v/>
      </c>
      <c r="AK61" s="182" t="str">
        <f>IF(OR($H$6="",$H$7=""),"",IF($B61="","",IF(ISNA(VLOOKUP($B61,'LT08'!$B$11:$R$75,14,FALSE)),"",VLOOKUP($B61,'LT08'!$B$11:$R$75,14,FALSE))))</f>
        <v/>
      </c>
      <c r="AL61" s="183"/>
      <c r="AM61" s="182" t="str">
        <f>IF(OR($H$6="",$H$7=""),"",IF($B61="","",IF(ISNA(VLOOKUP($B61,'LT08'!$B$11:$R$75,17,FALSE)),"",VLOOKUP($B61,'LT08'!$B$11:$R$75,17,FALSE))))</f>
        <v/>
      </c>
      <c r="AN61" s="185" t="str">
        <f>IF(OR($H$6="",$H$7=""),"",IF($B61="","",IF(ISNA(VLOOKUP($B61,'LT09'!$B$11:$R$75,13,FALSE)),"",IF(VLOOKUP($B61,'LT09'!$B$11:$R$75,13,FALSE)="","",VLOOKUP($B61,'LT09'!$B$11:$R$75,13,FALSE)))))</f>
        <v/>
      </c>
      <c r="AO61" s="182" t="str">
        <f>IF(OR($H$6="",$H$7=""),"",IF($B61="","",IF(ISNA(VLOOKUP($B61,'LT09'!$B$11:$R$75,14,FALSE)),"",VLOOKUP($B61,'LT09'!$B$11:$R$75,14,FALSE))))</f>
        <v/>
      </c>
      <c r="AP61" s="183"/>
      <c r="AQ61" s="182" t="str">
        <f>IF(OR($H$6="",$H$7=""),"",IF($B61="","",IF(ISNA(VLOOKUP($B61,'LT09'!$B$11:$R$75,17,FALSE)),"",VLOOKUP($B61,'LT09'!$B$11:$R$75,17,FALSE))))</f>
        <v/>
      </c>
      <c r="AR61" s="186"/>
      <c r="AS61" s="182" t="str">
        <f>IF(OR($H$6="",$H$7=""),"",IF($B61="","",IF(ISNA(VLOOKUP($B61,'TH01'!$B$11:$R$75,14,FALSE)),"",VLOOKUP($B61,'TH01'!$B$11:$R$75,14,FALSE))))</f>
        <v/>
      </c>
      <c r="AT61" s="183"/>
      <c r="AU61" s="187"/>
      <c r="AV61" s="186"/>
      <c r="AW61" s="182" t="str">
        <f>IF(OR($H$6="",$H$7=""),"",IF($B61="","",IF(ISNA(VLOOKUP($B61,'TH02'!$B$11:$R$75,14,FALSE)),"",VLOOKUP($B61,'TH02'!$B$11:$R$75,14,FALSE))))</f>
        <v/>
      </c>
      <c r="AX61" s="183"/>
      <c r="AY61" s="187"/>
      <c r="AZ61" s="54" t="str">
        <f t="shared" si="24"/>
        <v/>
      </c>
      <c r="BA61" s="54" t="str">
        <f t="shared" si="0"/>
        <v/>
      </c>
      <c r="BB61" s="70"/>
      <c r="BC61" s="52" t="str">
        <f t="shared" si="25"/>
        <v/>
      </c>
      <c r="BD61" s="52" t="str">
        <f t="shared" si="26"/>
        <v/>
      </c>
      <c r="BE61" s="52" t="str">
        <f t="shared" si="86"/>
        <v/>
      </c>
      <c r="BF61" s="149" t="str">
        <f t="shared" si="87"/>
        <v/>
      </c>
      <c r="BG61" s="52" t="str">
        <f t="shared" si="88"/>
        <v/>
      </c>
      <c r="BH61" s="52" t="str">
        <f t="shared" si="89"/>
        <v/>
      </c>
      <c r="BI61" s="52" t="str">
        <f t="shared" si="90"/>
        <v/>
      </c>
      <c r="BJ61" s="52" t="str">
        <f t="shared" si="91"/>
        <v/>
      </c>
      <c r="BK61" s="54" t="str">
        <f t="shared" si="92"/>
        <v/>
      </c>
      <c r="BL61" s="54" t="str">
        <f t="shared" si="93"/>
        <v/>
      </c>
      <c r="BM61" s="54" t="str">
        <f t="shared" si="94"/>
        <v/>
      </c>
      <c r="BN61" s="54" t="str">
        <f t="shared" si="95"/>
        <v/>
      </c>
      <c r="BO61" s="70"/>
      <c r="BP61" s="52" t="str">
        <f>IF(ISNA(VLOOKUP(B61,'TICH LUY'!B:D,2,0)),"",VLOOKUP(B61,'TICH LUY'!B:D,2,0)+BI61)</f>
        <v/>
      </c>
      <c r="BQ61" s="52" t="str">
        <f>IF(ISNA(VLOOKUP(B61,'TICH LUY'!B:D,3,0)),"",VLOOKUP(B61,'TICH LUY'!B:D,3,0)+BJ61)</f>
        <v/>
      </c>
      <c r="BR61" s="40" t="str">
        <f t="shared" si="96"/>
        <v/>
      </c>
      <c r="BS61" s="452" t="str">
        <f t="shared" si="97"/>
        <v/>
      </c>
      <c r="BT61" s="452" t="str">
        <f t="shared" si="98"/>
        <v/>
      </c>
      <c r="BU61" s="452" t="str">
        <f t="shared" si="99"/>
        <v/>
      </c>
      <c r="BV61" s="452" t="str">
        <f t="shared" si="100"/>
        <v/>
      </c>
      <c r="BW61" s="452" t="str">
        <f t="shared" si="101"/>
        <v/>
      </c>
      <c r="BX61" s="452" t="str">
        <f t="shared" si="102"/>
        <v/>
      </c>
      <c r="BY61" s="452" t="str">
        <f t="shared" si="103"/>
        <v/>
      </c>
      <c r="BZ61" s="452" t="str">
        <f t="shared" si="28"/>
        <v/>
      </c>
      <c r="CA61" s="452" t="str">
        <f t="shared" si="29"/>
        <v/>
      </c>
      <c r="CB61" s="452" t="str">
        <f t="shared" si="30"/>
        <v/>
      </c>
      <c r="CC61" s="452" t="str">
        <f t="shared" si="104"/>
        <v/>
      </c>
      <c r="CD61" s="40" t="str">
        <f t="shared" si="31"/>
        <v/>
      </c>
      <c r="CE61" s="453" t="str">
        <f t="shared" si="80"/>
        <v/>
      </c>
      <c r="CF61" s="452" t="str">
        <f t="shared" si="32"/>
        <v/>
      </c>
      <c r="CG61" s="452" t="str">
        <f t="shared" si="81"/>
        <v/>
      </c>
      <c r="CH61" s="452" t="str">
        <f t="shared" si="82"/>
        <v/>
      </c>
      <c r="CI61" s="452" t="str">
        <f t="shared" si="83"/>
        <v/>
      </c>
      <c r="CJ61" s="452" t="str">
        <f t="shared" si="84"/>
        <v/>
      </c>
      <c r="CK61" s="452" t="str">
        <f t="shared" si="85"/>
        <v/>
      </c>
      <c r="CL61" s="452" t="str">
        <f t="shared" si="33"/>
        <v/>
      </c>
      <c r="CM61" s="452" t="str">
        <f t="shared" si="34"/>
        <v/>
      </c>
      <c r="CN61" s="452" t="str">
        <f t="shared" si="35"/>
        <v/>
      </c>
      <c r="CO61" s="452" t="str">
        <f t="shared" si="105"/>
        <v/>
      </c>
      <c r="CP61" s="454" t="str">
        <f t="shared" si="36"/>
        <v/>
      </c>
      <c r="CQ61" s="527" t="str">
        <f>IF(OR(ISNA(VLOOKUP($B61,'TICH LUY'!$B$11:$BY$85,54,0)),$B61=""),"",VLOOKUP($B61,'TICH LUY'!$B$11:$BY$85,54,0))</f>
        <v/>
      </c>
      <c r="CR61" s="507" t="str">
        <f>IF(OR(ISNA(VLOOKUP($B61,'TICH LUY'!$B$11:$BY$85,55,0)),$B61=""),"",VLOOKUP($B61,'TICH LUY'!$B$11:$BY$85,55,0))</f>
        <v/>
      </c>
      <c r="CS61" s="507" t="str">
        <f>IF(OR(ISNA(VLOOKUP($B61,'TICH LUY'!$B$11:$BY$85,56,0)),$B61=""),"",VLOOKUP($B61,'TICH LUY'!$B$11:$BY$85,56,0))</f>
        <v/>
      </c>
      <c r="CT61" s="507" t="str">
        <f>IF(OR(ISNA(VLOOKUP($B61,'TICH LUY'!$B$11:$BY$85,57,0)),$B61=""),"",VLOOKUP($B61,'TICH LUY'!$B$11:$BY$85,57,0))</f>
        <v/>
      </c>
      <c r="CU61" s="507" t="str">
        <f>IF(OR(ISNA(VLOOKUP($B61,'TICH LUY'!$B$11:$BY$85,58,0)),$B61=""),"",VLOOKUP($B61,'TICH LUY'!$B$11:$BY$85,58,0))</f>
        <v/>
      </c>
      <c r="CV61" s="507" t="str">
        <f>IF(OR(ISNA(VLOOKUP($B61,'TICH LUY'!$B$11:$BY$85,59,0)),$B61=""),"",VLOOKUP($B61,'TICH LUY'!$B$11:$BY$85,59,0))</f>
        <v/>
      </c>
      <c r="CW61" s="507" t="str">
        <f>IF(OR(ISNA(VLOOKUP($B61,'TICH LUY'!$B$11:$BY$85,60,0)),$B61=""),"",VLOOKUP($B61,'TICH LUY'!$B$11:$BY$85,60,0))</f>
        <v/>
      </c>
      <c r="CX61" s="507" t="str">
        <f>IF(OR(ISNA(VLOOKUP($B61,'TICH LUY'!$B$11:$BY$85,61,0)),$B61=""),"",VLOOKUP($B61,'TICH LUY'!$B$11:$BY$85,61,0))</f>
        <v/>
      </c>
      <c r="CY61" s="507" t="str">
        <f>IF(OR(ISNA(VLOOKUP($B61,'TICH LUY'!$B$11:$BY$85,62,0)),$B61=""),"",VLOOKUP($B61,'TICH LUY'!$B$11:$BY$85,62,0))</f>
        <v/>
      </c>
      <c r="CZ61" s="507" t="str">
        <f>IF(OR(ISNA(VLOOKUP($B61,'TICH LUY'!$B$11:$BY$85,63,0)),$B61=""),"",VLOOKUP($B61,'TICH LUY'!$B$11:$BY$85,63,0))</f>
        <v/>
      </c>
      <c r="DA61" s="507" t="str">
        <f>IF(OR(ISNA(VLOOKUP($B61,'TICH LUY'!$B$11:$BY$85,64,0)),$B61=""),"",VLOOKUP($B61,'TICH LUY'!$B$11:$BY$85,64,0))</f>
        <v/>
      </c>
      <c r="DB61" s="507" t="str">
        <f>IF(OR(ISNA(VLOOKUP($B61,'TICH LUY'!$B$11:$BY$85,65,0)),$B61=""),"",VLOOKUP($B61,'TICH LUY'!$B$11:$BY$85,65,0))</f>
        <v/>
      </c>
      <c r="DC61" s="507" t="str">
        <f>IF(OR(ISNA(VLOOKUP($B61,'TICH LUY'!$B$11:$BY$85,66,0)),$B61=""),"",VLOOKUP($B61,'TICH LUY'!$B$11:$BY$85,66,0))</f>
        <v/>
      </c>
      <c r="DD61" s="507" t="str">
        <f>IF(OR(ISNA(VLOOKUP($B61,'TICH LUY'!$B$11:$BY$85,67,0)),$B61=""),"",VLOOKUP($B61,'TICH LUY'!$B$11:$BY$85,67,0))</f>
        <v/>
      </c>
      <c r="DE61" s="507" t="str">
        <f>IF(OR(ISNA(VLOOKUP($B61,'TICH LUY'!$B$11:$BY$85,68,0)),$B61=""),"",VLOOKUP($B61,'TICH LUY'!$B$11:$BY$85,68,0))</f>
        <v/>
      </c>
      <c r="DF61" s="507" t="str">
        <f>IF(OR(ISNA(VLOOKUP($B61,'TICH LUY'!$B$11:$BY$85,69,0)),$B61=""),"",VLOOKUP($B61,'TICH LUY'!$B$11:$BY$85,69,0))</f>
        <v/>
      </c>
      <c r="DG61" s="507" t="str">
        <f>IF(OR(ISNA(VLOOKUP($B61,'TICH LUY'!$B$11:$BY$85,70,0)),$B61=""),"",VLOOKUP($B61,'TICH LUY'!$B$11:$BY$85,70,0))</f>
        <v/>
      </c>
      <c r="DH61" s="507" t="str">
        <f>IF(OR(ISNA(VLOOKUP($B61,'TICH LUY'!$B$11:$BY$85,71,0)),$B61=""),"",VLOOKUP($B61,'TICH LUY'!$B$11:$BY$85,71,0))</f>
        <v/>
      </c>
      <c r="DI61" s="507" t="str">
        <f>IF(OR(ISNA(VLOOKUP($B61,'TICH LUY'!$B$11:$BY$85,72,0)),$B61=""),"",VLOOKUP($B61,'TICH LUY'!$B$11:$BY$85,72,0))</f>
        <v/>
      </c>
      <c r="DJ61" s="507" t="str">
        <f>IF(OR(ISNA(VLOOKUP($B61,'TICH LUY'!$B$11:$BY$85,73,0)),$B61=""),"",VLOOKUP($B61,'TICH LUY'!$B$11:$BY$85,73,0))</f>
        <v/>
      </c>
      <c r="DK61" s="507" t="str">
        <f>IF(OR(ISNA(VLOOKUP($B61,'TICH LUY'!$B$11:$BY$85,74,0)),$B61=""),"",VLOOKUP($B61,'TICH LUY'!$B$11:$BY$85,74,0))</f>
        <v/>
      </c>
      <c r="DL61" s="507" t="str">
        <f>IF(OR(ISNA(VLOOKUP($B61,'TICH LUY'!$B$11:$BY$85,75,0)),$B61=""),"",VLOOKUP($B61,'TICH LUY'!$B$11:$BY$85,75,0))</f>
        <v/>
      </c>
      <c r="DM61" s="529" t="str">
        <f>IF(OR(ISNA(VLOOKUP($B61,'TICH LUY'!$B$11:$BY$85,76,0)),$B61=""),"",VLOOKUP($B61,'TICH LUY'!$B$11:$BY$85,76,0))</f>
        <v/>
      </c>
      <c r="DN61" s="455" t="str">
        <f t="shared" si="37"/>
        <v/>
      </c>
      <c r="DO61" s="456" t="str">
        <f t="shared" si="38"/>
        <v/>
      </c>
      <c r="DP61" s="456" t="str">
        <f t="shared" si="39"/>
        <v/>
      </c>
      <c r="DQ61" s="456" t="str">
        <f t="shared" si="40"/>
        <v/>
      </c>
      <c r="DR61" s="456" t="str">
        <f t="shared" si="41"/>
        <v/>
      </c>
      <c r="DS61" s="456" t="str">
        <f t="shared" si="42"/>
        <v/>
      </c>
      <c r="DT61" s="456" t="str">
        <f t="shared" si="43"/>
        <v/>
      </c>
      <c r="DU61" s="456" t="str">
        <f t="shared" si="44"/>
        <v/>
      </c>
      <c r="DV61" s="456" t="str">
        <f t="shared" si="45"/>
        <v/>
      </c>
      <c r="DW61" s="456" t="str">
        <f t="shared" si="46"/>
        <v/>
      </c>
      <c r="DX61" s="456" t="str">
        <f t="shared" si="47"/>
        <v/>
      </c>
      <c r="DY61" s="457" t="str">
        <f t="shared" si="48"/>
        <v/>
      </c>
      <c r="DZ61" s="453" t="str">
        <f t="shared" si="49"/>
        <v/>
      </c>
      <c r="EA61" s="452" t="str">
        <f t="shared" si="50"/>
        <v/>
      </c>
      <c r="EB61" s="452" t="str">
        <f t="shared" si="51"/>
        <v/>
      </c>
      <c r="EC61" s="452" t="str">
        <f t="shared" si="52"/>
        <v/>
      </c>
      <c r="ED61" s="452" t="str">
        <f t="shared" si="53"/>
        <v/>
      </c>
      <c r="EE61" s="452" t="str">
        <f t="shared" si="54"/>
        <v/>
      </c>
      <c r="EF61" s="452" t="str">
        <f t="shared" si="55"/>
        <v/>
      </c>
      <c r="EG61" s="452" t="str">
        <f t="shared" si="56"/>
        <v/>
      </c>
      <c r="EH61" s="452" t="str">
        <f t="shared" si="57"/>
        <v/>
      </c>
      <c r="EI61" s="453" t="str">
        <f t="shared" si="58"/>
        <v/>
      </c>
      <c r="EJ61" s="452" t="str">
        <f t="shared" si="59"/>
        <v/>
      </c>
      <c r="EK61" s="452" t="str">
        <f t="shared" si="60"/>
        <v/>
      </c>
      <c r="EL61" s="452" t="str">
        <f t="shared" si="61"/>
        <v/>
      </c>
      <c r="EM61" s="452" t="str">
        <f t="shared" si="62"/>
        <v/>
      </c>
      <c r="EN61" s="452" t="str">
        <f t="shared" si="63"/>
        <v/>
      </c>
      <c r="EO61" s="452" t="str">
        <f t="shared" si="64"/>
        <v/>
      </c>
      <c r="EP61" s="452" t="str">
        <f t="shared" si="65"/>
        <v/>
      </c>
      <c r="EQ61" s="452" t="str">
        <f t="shared" si="66"/>
        <v/>
      </c>
      <c r="ER61" s="452" t="str">
        <f t="shared" si="67"/>
        <v/>
      </c>
      <c r="ES61" s="452" t="str">
        <f t="shared" si="106"/>
        <v/>
      </c>
      <c r="ET61" s="458" t="str">
        <f t="shared" si="68"/>
        <v/>
      </c>
      <c r="EU61" s="527" t="str">
        <f>IF(OR(ISNA(VLOOKUP($B61,'TICH LUY'!$B$11:$BY$85,54,0)),$B61=""),"",VLOOKUP($B61,'TICH LUY'!$B$11:$BY$85,54,0))</f>
        <v/>
      </c>
      <c r="EV61" s="507" t="str">
        <f>IF(OR(ISNA(VLOOKUP($B61,'TICH LUY'!$B$11:$BY$85,55,0)),$B61=""),"",VLOOKUP($B61,'TICH LUY'!$B$11:$BY$85,55,0))</f>
        <v/>
      </c>
      <c r="EW61" s="507" t="str">
        <f>IF(OR(ISNA(VLOOKUP($B61,'TICH LUY'!$B$11:$BY$85,56,0)),$B61=""),"",VLOOKUP($B61,'TICH LUY'!$B$11:$BY$85,56,0))</f>
        <v/>
      </c>
      <c r="EX61" s="507" t="str">
        <f>IF(OR(ISNA(VLOOKUP($B61,'TICH LUY'!$B$11:$BY$85,57,0)),$B61=""),"",VLOOKUP($B61,'TICH LUY'!$B$11:$BY$85,57,0))</f>
        <v/>
      </c>
      <c r="EY61" s="507" t="str">
        <f>IF(OR(ISNA(VLOOKUP($B61,'TICH LUY'!$B$11:$BY$85,58,0)),$B61=""),"",VLOOKUP($B61,'TICH LUY'!$B$11:$BY$85,58,0))</f>
        <v/>
      </c>
      <c r="EZ61" s="507" t="str">
        <f>IF(OR(ISNA(VLOOKUP($B61,'TICH LUY'!$B$11:$BY$85,59,0)),$B61=""),"",VLOOKUP($B61,'TICH LUY'!$B$11:$BY$85,59,0))</f>
        <v/>
      </c>
      <c r="FA61" s="507" t="str">
        <f>IF(OR(ISNA(VLOOKUP($B61,'TICH LUY'!$B$11:$BY$85,60,0)),$B61=""),"",VLOOKUP($B61,'TICH LUY'!$B$11:$BY$85,60,0))</f>
        <v/>
      </c>
      <c r="FB61" s="507" t="str">
        <f>IF(OR(ISNA(VLOOKUP($B61,'TICH LUY'!$B$11:$BY$85,61,0)),$B61=""),"",VLOOKUP($B61,'TICH LUY'!$B$11:$BY$85,61,0))</f>
        <v/>
      </c>
      <c r="FC61" s="507" t="str">
        <f>IF(OR(ISNA(VLOOKUP($B61,'TICH LUY'!$B$11:$BY$85,62,0)),$B61=""),"",VLOOKUP($B61,'TICH LUY'!$B$11:$BY$85,62,0))</f>
        <v/>
      </c>
      <c r="FD61" s="507" t="str">
        <f>IF(OR(ISNA(VLOOKUP($B61,'TICH LUY'!$B$11:$BY$85,63,0)),$B61=""),"",VLOOKUP($B61,'TICH LUY'!$B$11:$BY$85,63,0))</f>
        <v/>
      </c>
      <c r="FE61" s="507" t="str">
        <f>IF(OR(ISNA(VLOOKUP($B61,'TICH LUY'!$B$11:$BY$85,64,0)),$B61=""),"",VLOOKUP($B61,'TICH LUY'!$B$11:$BY$85,64,0))</f>
        <v/>
      </c>
      <c r="FF61" s="507" t="str">
        <f>IF(OR(ISNA(VLOOKUP($B61,'TICH LUY'!$B$11:$BY$85,65,0)),$B61=""),"",VLOOKUP($B61,'TICH LUY'!$B$11:$BY$85,65,0))</f>
        <v/>
      </c>
      <c r="FG61" s="507" t="str">
        <f>IF(OR(ISNA(VLOOKUP($B61,'TICH LUY'!$B$11:$BY$85,66,0)),$B61=""),"",VLOOKUP($B61,'TICH LUY'!$B$11:$BY$85,66,0))</f>
        <v/>
      </c>
      <c r="FH61" s="507" t="str">
        <f>IF(OR(ISNA(VLOOKUP($B61,'TICH LUY'!$B$11:$BY$85,67,0)),$B61=""),"",VLOOKUP($B61,'TICH LUY'!$B$11:$BY$85,67,0))</f>
        <v/>
      </c>
      <c r="FI61" s="507" t="str">
        <f>IF(OR(ISNA(VLOOKUP($B61,'TICH LUY'!$B$11:$BY$85,68,0)),$B61=""),"",VLOOKUP($B61,'TICH LUY'!$B$11:$BY$85,68,0))</f>
        <v/>
      </c>
      <c r="FJ61" s="507" t="str">
        <f>IF(OR(ISNA(VLOOKUP($B61,'TICH LUY'!$B$11:$BY$85,69,0)),$B61=""),"",VLOOKUP($B61,'TICH LUY'!$B$11:$BY$85,69,0))</f>
        <v/>
      </c>
      <c r="FK61" s="507" t="str">
        <f>IF(OR(ISNA(VLOOKUP($B61,'TICH LUY'!$B$11:$BY$85,70,0)),$B61=""),"",VLOOKUP($B61,'TICH LUY'!$B$11:$BY$85,70,0))</f>
        <v/>
      </c>
      <c r="FL61" s="507" t="str">
        <f>IF(OR(ISNA(VLOOKUP($B61,'TICH LUY'!$B$11:$BY$85,71,0)),$B61=""),"",VLOOKUP($B61,'TICH LUY'!$B$11:$BY$85,71,0))</f>
        <v/>
      </c>
      <c r="FM61" s="507" t="str">
        <f>IF(OR(ISNA(VLOOKUP($B61,'TICH LUY'!$B$11:$BY$85,72,0)),$B61=""),"",VLOOKUP($B61,'TICH LUY'!$B$11:$BY$85,72,0))</f>
        <v/>
      </c>
      <c r="FN61" s="507" t="str">
        <f>IF(OR(ISNA(VLOOKUP($B61,'TICH LUY'!$B$11:$BY$85,73,0)),$B61=""),"",VLOOKUP($B61,'TICH LUY'!$B$11:$BY$85,73,0))</f>
        <v/>
      </c>
      <c r="FO61" s="507" t="str">
        <f>IF(OR(ISNA(VLOOKUP($B61,'TICH LUY'!$B$11:$BY$85,74,0)),$B61=""),"",VLOOKUP($B61,'TICH LUY'!$B$11:$BY$85,74,0))</f>
        <v/>
      </c>
      <c r="FP61" s="507" t="str">
        <f>IF(OR(ISNA(VLOOKUP($B61,'TICH LUY'!$B$11:$BY$85,75,0)),$B61=""),"",VLOOKUP($B61,'TICH LUY'!$B$11:$BY$85,75,0))</f>
        <v/>
      </c>
      <c r="FQ61" s="529" t="str">
        <f>IF(OR(ISNA(VLOOKUP($B61,'TICH LUY'!$B$11:$BY$85,76,0)),$B61=""),"",VLOOKUP($B61,'TICH LUY'!$B$11:$BY$85,76,0))</f>
        <v/>
      </c>
      <c r="FR61" s="455" t="str">
        <f t="shared" si="69"/>
        <v/>
      </c>
      <c r="FS61" s="456" t="str">
        <f t="shared" si="70"/>
        <v/>
      </c>
      <c r="FT61" s="456" t="str">
        <f t="shared" si="71"/>
        <v/>
      </c>
      <c r="FU61" s="456" t="str">
        <f t="shared" si="72"/>
        <v/>
      </c>
      <c r="FV61" s="456" t="str">
        <f t="shared" si="73"/>
        <v/>
      </c>
      <c r="FW61" s="456" t="str">
        <f t="shared" si="74"/>
        <v/>
      </c>
      <c r="FX61" s="456" t="str">
        <f t="shared" si="75"/>
        <v/>
      </c>
      <c r="FY61" s="456" t="str">
        <f t="shared" si="76"/>
        <v/>
      </c>
      <c r="FZ61" s="456" t="str">
        <f t="shared" si="77"/>
        <v/>
      </c>
      <c r="GA61" s="456" t="str">
        <f t="shared" si="78"/>
        <v/>
      </c>
      <c r="GB61" s="459" t="str">
        <f t="shared" si="79"/>
        <v/>
      </c>
      <c r="GC61" s="457" t="str">
        <f t="shared" si="107"/>
        <v/>
      </c>
    </row>
    <row r="62" spans="1:185" s="221" customFormat="1" ht="15.75">
      <c r="A62" s="449" t="str">
        <f>IF(B62="","",SUBTOTAL(3,$B$11:B62))</f>
        <v/>
      </c>
      <c r="B62" s="180"/>
      <c r="C62" s="450" t="str">
        <f>IF($B62="","",VLOOKUP($B62,'DS LOP HKI'!$B$2:$F$2642,2,0))</f>
        <v/>
      </c>
      <c r="D62" s="451" t="str">
        <f>IF($B62="","",VLOOKUP($B62,'DS LOP HKI'!$B$2:$F$2642,3,0))</f>
        <v/>
      </c>
      <c r="E62" s="154"/>
      <c r="F62" s="152"/>
      <c r="G62" s="156"/>
      <c r="H62" s="181" t="str">
        <f>IF(OR($H$6="",$H$7=""),"",IF($B62="","",IF(ISNA(VLOOKUP($B62,'LT01'!$B$11:$R$75,13,FALSE)),"",IF(VLOOKUP($B62,'LT01'!$B$11:$R$75,13,FALSE)="","",VLOOKUP($B62,'LT01'!$B$11:$R$75,13,FALSE)))))</f>
        <v/>
      </c>
      <c r="I62" s="182" t="str">
        <f>IF(OR($H$6="",$H$7=""),"",IF($B62="","",IF(ISNA(VLOOKUP($B62,'LT01'!$B$11:$R$75,14,FALSE)),"",VLOOKUP($B62,'LT01'!$B$11:$R$75,14,FALSE))))</f>
        <v/>
      </c>
      <c r="J62" s="183"/>
      <c r="K62" s="182" t="str">
        <f>IF(OR($H$6="",$H$7=""),"",IF($B62="","",IF(ISNA(VLOOKUP($B62,'LT01'!$B$11:$R$75,17,FALSE)),"",VLOOKUP($B62,'LT01'!$B$11:$R$75,17,FALSE))))</f>
        <v/>
      </c>
      <c r="L62" s="185" t="str">
        <f>IF(OR($H$6="",$H$7=""),"",IF($B62="","",IF(ISNA(VLOOKUP($B62,'LT02'!$B$11:$R$75,13,FALSE)),"",IF(VLOOKUP($B62,'LT02'!$B$11:$R$75,13,FALSE)="","",VLOOKUP($B62,'LT02'!$B$11:$R$75,13,FALSE)))))</f>
        <v/>
      </c>
      <c r="M62" s="182" t="str">
        <f>IF(OR($H$6="",$H$7=""),"",IF($B62="","",IF(ISNA(VLOOKUP($B62,'LT02'!$B$11:$R$75,14,FALSE)),"",VLOOKUP($B62,'LT02'!$B$11:$R$75,14,FALSE))))</f>
        <v/>
      </c>
      <c r="N62" s="183"/>
      <c r="O62" s="182" t="str">
        <f>IF(OR($H$6="",$H$7=""),"",IF($B62="","",IF(ISNA(VLOOKUP($B62,'LT02'!$B$11:$R$75,17,FALSE)),"",VLOOKUP($B62,'LT02'!$B$11:$R$75,17,FALSE))))</f>
        <v/>
      </c>
      <c r="P62" s="185" t="str">
        <f>IF(OR($H$6="",$H$7=""),"",IF($B62="","",IF(ISNA(VLOOKUP($B62,'LT03'!$B$11:$R$75,13,FALSE)),"",IF(VLOOKUP($B62,'LT03'!$B$11:$R$75,13,FALSE)="","",VLOOKUP($B62,'LT03'!$B$11:$R$75,13,FALSE)))))</f>
        <v/>
      </c>
      <c r="Q62" s="182" t="str">
        <f>IF(OR($H$6="",$H$7=""),"",IF($B62="","",IF(ISNA(VLOOKUP($B62,'LT03'!$B$11:$R$75,14,FALSE)),"",VLOOKUP($B62,'LT03'!$B$11:$R$75,14,FALSE))))</f>
        <v/>
      </c>
      <c r="R62" s="183"/>
      <c r="S62" s="182" t="str">
        <f>IF(OR($H$6="",$H$7=""),"",IF($B62="","",IF(ISNA(VLOOKUP($B62,'LT03'!$B$11:$R$75,17,FALSE)),"",VLOOKUP($B62,'LT03'!$B$11:$R$75,17,FALSE))))</f>
        <v/>
      </c>
      <c r="T62" s="185" t="str">
        <f>IF(OR($H$6="",$H$7=""),"",IF($B62="","",IF(ISNA(VLOOKUP($B62,'LT04'!$B$11:$R$75,13,FALSE)),"",IF(VLOOKUP($B62,'LT04'!$B$11:$R$75,13,FALSE)="","",VLOOKUP($B62,'LT04'!$B$11:$R$75,13,FALSE)))))</f>
        <v/>
      </c>
      <c r="U62" s="182" t="str">
        <f>IF(OR($H$6="",$H$7=""),"",IF($B62="","",IF(ISNA(VLOOKUP($B62,'LT04'!$B$11:$R$75,14,FALSE)),"",VLOOKUP($B62,'LT04'!$B$11:$R$75,14,FALSE))))</f>
        <v/>
      </c>
      <c r="V62" s="183"/>
      <c r="W62" s="184" t="str">
        <f>IF(OR($H$6="",$H$7=""),"",IF($B62="","",IF(ISNA(VLOOKUP($B62,'LT04'!$B$11:$R$75,17,FALSE)),"",VLOOKUP($B62,'LT04'!$B$11:$R$75,17,FALSE))))</f>
        <v/>
      </c>
      <c r="X62" s="185" t="str">
        <f>IF(OR($H$6="",$H$7=""),"",IF($B62="","",IF(ISNA(VLOOKUP($B62,'LT05'!$B$11:$R$75,13,FALSE)),"",IF(VLOOKUP($B62,'LT05'!$B$11:$R$75,13,FALSE)="","",VLOOKUP($B62,'LT05'!$B$11:$R$75,13,FALSE)))))</f>
        <v/>
      </c>
      <c r="Y62" s="182" t="str">
        <f>IF(OR($H$6="",$H$7=""),"",IF($B62="","",IF(ISNA(VLOOKUP($B62,'LT05'!$B$11:$R$75,14,FALSE)),"",VLOOKUP($B62,'LT05'!$B$11:$R$75,14,FALSE))))</f>
        <v/>
      </c>
      <c r="Z62" s="183"/>
      <c r="AA62" s="182" t="str">
        <f>IF(OR($H$6="",$H$7=""),"",IF($B62="","",IF(ISNA(VLOOKUP($B62,'LT05'!$B$11:$R$75,17,FALSE)),"",VLOOKUP($B62,'LT05'!$B$11:$R$75,17,FALSE))))</f>
        <v/>
      </c>
      <c r="AB62" s="185" t="str">
        <f>IF(OR($H$6="",$H$7=""),"",IF($B62="","",IF(ISNA(VLOOKUP($B62,'LT06'!$B$11:$R$75,13,FALSE)),"",IF(VLOOKUP($B62,'LT06'!$B$11:$R$75,13,FALSE)="","",VLOOKUP($B62,'LT06'!$B$11:$R$75,13,FALSE)))))</f>
        <v/>
      </c>
      <c r="AC62" s="182" t="str">
        <f>IF(OR($H$6="",$H$7=""),"",IF($B62="","",IF(ISNA(VLOOKUP($B62,'LT06'!$B$11:$R$75,14,FALSE)),"",VLOOKUP($B62,'LT06'!$B$11:$R$75,14,FALSE))))</f>
        <v/>
      </c>
      <c r="AD62" s="183"/>
      <c r="AE62" s="182" t="str">
        <f>IF(OR($H$6="",$H$7=""),"",IF($B62="","",IF(ISNA(VLOOKUP($B62,'LT06'!$B$11:$R$75,17,FALSE)),"",VLOOKUP($B62,'LT06'!$B$11:$R$75,17,FALSE))))</f>
        <v/>
      </c>
      <c r="AF62" s="185" t="str">
        <f>IF(OR($H$6="",$H$7=""),"",IF($B62="","",IF(ISNA(VLOOKUP($B62,'LT07'!$B$11:$R$75,13,FALSE)),"",IF(VLOOKUP($B62,'LT07'!$B$11:$R$75,13,FALSE)="","",VLOOKUP($B62,'LT07'!$B$11:$R$75,13,FALSE)))))</f>
        <v/>
      </c>
      <c r="AG62" s="182" t="str">
        <f>IF(OR($H$6="",$H$7=""),"",IF($B62="","",IF(ISNA(VLOOKUP($B62,'LT07'!$B$11:$R$75,14,FALSE)),"",VLOOKUP($B62,'LT07'!$B$11:$R$75,14,FALSE))))</f>
        <v/>
      </c>
      <c r="AH62" s="183"/>
      <c r="AI62" s="182" t="str">
        <f>IF(OR($H$6="",$H$7=""),"",IF($B62="","",IF(ISNA(VLOOKUP($B62,'LT07'!$B$11:$R$75,17,FALSE)),"",VLOOKUP($B62,'LT07'!$B$11:$R$75,17,FALSE))))</f>
        <v/>
      </c>
      <c r="AJ62" s="185" t="str">
        <f>IF(OR($H$6="",$H$7=""),"",IF($B62="","",IF(ISNA(VLOOKUP($B62,'LT08'!$B$11:$R$75,13,FALSE)),"",IF(VLOOKUP($B62,'LT08'!$B$11:$R$75,13,FALSE)="","",VLOOKUP($B62,'LT08'!$B$11:$R$75,13,FALSE)))))</f>
        <v/>
      </c>
      <c r="AK62" s="182" t="str">
        <f>IF(OR($H$6="",$H$7=""),"",IF($B62="","",IF(ISNA(VLOOKUP($B62,'LT08'!$B$11:$R$75,14,FALSE)),"",VLOOKUP($B62,'LT08'!$B$11:$R$75,14,FALSE))))</f>
        <v/>
      </c>
      <c r="AL62" s="183"/>
      <c r="AM62" s="182" t="str">
        <f>IF(OR($H$6="",$H$7=""),"",IF($B62="","",IF(ISNA(VLOOKUP($B62,'LT08'!$B$11:$R$75,17,FALSE)),"",VLOOKUP($B62,'LT08'!$B$11:$R$75,17,FALSE))))</f>
        <v/>
      </c>
      <c r="AN62" s="185" t="str">
        <f>IF(OR($H$6="",$H$7=""),"",IF($B62="","",IF(ISNA(VLOOKUP($B62,'LT09'!$B$11:$R$75,13,FALSE)),"",IF(VLOOKUP($B62,'LT09'!$B$11:$R$75,13,FALSE)="","",VLOOKUP($B62,'LT09'!$B$11:$R$75,13,FALSE)))))</f>
        <v/>
      </c>
      <c r="AO62" s="182" t="str">
        <f>IF(OR($H$6="",$H$7=""),"",IF($B62="","",IF(ISNA(VLOOKUP($B62,'LT09'!$B$11:$R$75,14,FALSE)),"",VLOOKUP($B62,'LT09'!$B$11:$R$75,14,FALSE))))</f>
        <v/>
      </c>
      <c r="AP62" s="183"/>
      <c r="AQ62" s="182" t="str">
        <f>IF(OR($H$6="",$H$7=""),"",IF($B62="","",IF(ISNA(VLOOKUP($B62,'LT09'!$B$11:$R$75,17,FALSE)),"",VLOOKUP($B62,'LT09'!$B$11:$R$75,17,FALSE))))</f>
        <v/>
      </c>
      <c r="AR62" s="186"/>
      <c r="AS62" s="182" t="str">
        <f>IF(OR($H$6="",$H$7=""),"",IF($B62="","",IF(ISNA(VLOOKUP($B62,'TH01'!$B$11:$R$75,14,FALSE)),"",VLOOKUP($B62,'TH01'!$B$11:$R$75,14,FALSE))))</f>
        <v/>
      </c>
      <c r="AT62" s="183"/>
      <c r="AU62" s="187"/>
      <c r="AV62" s="186"/>
      <c r="AW62" s="182" t="str">
        <f>IF(OR($H$6="",$H$7=""),"",IF($B62="","",IF(ISNA(VLOOKUP($B62,'TH02'!$B$11:$R$75,14,FALSE)),"",VLOOKUP($B62,'TH02'!$B$11:$R$75,14,FALSE))))</f>
        <v/>
      </c>
      <c r="AX62" s="183"/>
      <c r="AY62" s="187"/>
      <c r="AZ62" s="54" t="str">
        <f t="shared" si="24"/>
        <v/>
      </c>
      <c r="BA62" s="54" t="str">
        <f t="shared" si="0"/>
        <v/>
      </c>
      <c r="BB62" s="70"/>
      <c r="BC62" s="52" t="str">
        <f t="shared" si="25"/>
        <v/>
      </c>
      <c r="BD62" s="52" t="str">
        <f t="shared" si="26"/>
        <v/>
      </c>
      <c r="BE62" s="52" t="str">
        <f t="shared" si="86"/>
        <v/>
      </c>
      <c r="BF62" s="149" t="str">
        <f t="shared" si="87"/>
        <v/>
      </c>
      <c r="BG62" s="52" t="str">
        <f t="shared" si="88"/>
        <v/>
      </c>
      <c r="BH62" s="52" t="str">
        <f t="shared" si="89"/>
        <v/>
      </c>
      <c r="BI62" s="52" t="str">
        <f t="shared" si="90"/>
        <v/>
      </c>
      <c r="BJ62" s="52" t="str">
        <f t="shared" si="91"/>
        <v/>
      </c>
      <c r="BK62" s="54" t="str">
        <f t="shared" si="92"/>
        <v/>
      </c>
      <c r="BL62" s="54" t="str">
        <f t="shared" si="93"/>
        <v/>
      </c>
      <c r="BM62" s="54" t="str">
        <f t="shared" si="94"/>
        <v/>
      </c>
      <c r="BN62" s="54" t="str">
        <f t="shared" si="95"/>
        <v/>
      </c>
      <c r="BO62" s="70"/>
      <c r="BP62" s="52" t="str">
        <f>IF(ISNA(VLOOKUP(B62,'TICH LUY'!B:D,2,0)),"",VLOOKUP(B62,'TICH LUY'!B:D,2,0)+BI62)</f>
        <v/>
      </c>
      <c r="BQ62" s="52" t="str">
        <f>IF(ISNA(VLOOKUP(B62,'TICH LUY'!B:D,3,0)),"",VLOOKUP(B62,'TICH LUY'!B:D,3,0)+BJ62)</f>
        <v/>
      </c>
      <c r="BR62" s="40" t="str">
        <f t="shared" si="96"/>
        <v/>
      </c>
      <c r="BS62" s="452" t="str">
        <f t="shared" si="97"/>
        <v/>
      </c>
      <c r="BT62" s="452" t="str">
        <f t="shared" si="98"/>
        <v/>
      </c>
      <c r="BU62" s="452" t="str">
        <f t="shared" si="99"/>
        <v/>
      </c>
      <c r="BV62" s="452" t="str">
        <f t="shared" si="100"/>
        <v/>
      </c>
      <c r="BW62" s="452" t="str">
        <f t="shared" si="101"/>
        <v/>
      </c>
      <c r="BX62" s="452" t="str">
        <f t="shared" si="102"/>
        <v/>
      </c>
      <c r="BY62" s="452" t="str">
        <f t="shared" si="103"/>
        <v/>
      </c>
      <c r="BZ62" s="452" t="str">
        <f t="shared" si="28"/>
        <v/>
      </c>
      <c r="CA62" s="452" t="str">
        <f t="shared" si="29"/>
        <v/>
      </c>
      <c r="CB62" s="452" t="str">
        <f t="shared" si="30"/>
        <v/>
      </c>
      <c r="CC62" s="452" t="str">
        <f t="shared" si="104"/>
        <v/>
      </c>
      <c r="CD62" s="40" t="str">
        <f t="shared" si="31"/>
        <v/>
      </c>
      <c r="CE62" s="453" t="str">
        <f t="shared" si="80"/>
        <v/>
      </c>
      <c r="CF62" s="452" t="str">
        <f t="shared" si="32"/>
        <v/>
      </c>
      <c r="CG62" s="452" t="str">
        <f t="shared" si="81"/>
        <v/>
      </c>
      <c r="CH62" s="452" t="str">
        <f t="shared" si="82"/>
        <v/>
      </c>
      <c r="CI62" s="452" t="str">
        <f t="shared" si="83"/>
        <v/>
      </c>
      <c r="CJ62" s="452" t="str">
        <f t="shared" si="84"/>
        <v/>
      </c>
      <c r="CK62" s="452" t="str">
        <f t="shared" si="85"/>
        <v/>
      </c>
      <c r="CL62" s="452" t="str">
        <f t="shared" si="33"/>
        <v/>
      </c>
      <c r="CM62" s="452" t="str">
        <f t="shared" si="34"/>
        <v/>
      </c>
      <c r="CN62" s="452" t="str">
        <f t="shared" si="35"/>
        <v/>
      </c>
      <c r="CO62" s="452" t="str">
        <f t="shared" si="105"/>
        <v/>
      </c>
      <c r="CP62" s="454" t="str">
        <f t="shared" si="36"/>
        <v/>
      </c>
      <c r="CQ62" s="527" t="str">
        <f>IF(OR(ISNA(VLOOKUP($B62,'TICH LUY'!$B$11:$BY$85,54,0)),$B62=""),"",VLOOKUP($B62,'TICH LUY'!$B$11:$BY$85,54,0))</f>
        <v/>
      </c>
      <c r="CR62" s="507" t="str">
        <f>IF(OR(ISNA(VLOOKUP($B62,'TICH LUY'!$B$11:$BY$85,55,0)),$B62=""),"",VLOOKUP($B62,'TICH LUY'!$B$11:$BY$85,55,0))</f>
        <v/>
      </c>
      <c r="CS62" s="507" t="str">
        <f>IF(OR(ISNA(VLOOKUP($B62,'TICH LUY'!$B$11:$BY$85,56,0)),$B62=""),"",VLOOKUP($B62,'TICH LUY'!$B$11:$BY$85,56,0))</f>
        <v/>
      </c>
      <c r="CT62" s="507" t="str">
        <f>IF(OR(ISNA(VLOOKUP($B62,'TICH LUY'!$B$11:$BY$85,57,0)),$B62=""),"",VLOOKUP($B62,'TICH LUY'!$B$11:$BY$85,57,0))</f>
        <v/>
      </c>
      <c r="CU62" s="507" t="str">
        <f>IF(OR(ISNA(VLOOKUP($B62,'TICH LUY'!$B$11:$BY$85,58,0)),$B62=""),"",VLOOKUP($B62,'TICH LUY'!$B$11:$BY$85,58,0))</f>
        <v/>
      </c>
      <c r="CV62" s="507" t="str">
        <f>IF(OR(ISNA(VLOOKUP($B62,'TICH LUY'!$B$11:$BY$85,59,0)),$B62=""),"",VLOOKUP($B62,'TICH LUY'!$B$11:$BY$85,59,0))</f>
        <v/>
      </c>
      <c r="CW62" s="507" t="str">
        <f>IF(OR(ISNA(VLOOKUP($B62,'TICH LUY'!$B$11:$BY$85,60,0)),$B62=""),"",VLOOKUP($B62,'TICH LUY'!$B$11:$BY$85,60,0))</f>
        <v/>
      </c>
      <c r="CX62" s="507" t="str">
        <f>IF(OR(ISNA(VLOOKUP($B62,'TICH LUY'!$B$11:$BY$85,61,0)),$B62=""),"",VLOOKUP($B62,'TICH LUY'!$B$11:$BY$85,61,0))</f>
        <v/>
      </c>
      <c r="CY62" s="507" t="str">
        <f>IF(OR(ISNA(VLOOKUP($B62,'TICH LUY'!$B$11:$BY$85,62,0)),$B62=""),"",VLOOKUP($B62,'TICH LUY'!$B$11:$BY$85,62,0))</f>
        <v/>
      </c>
      <c r="CZ62" s="507" t="str">
        <f>IF(OR(ISNA(VLOOKUP($B62,'TICH LUY'!$B$11:$BY$85,63,0)),$B62=""),"",VLOOKUP($B62,'TICH LUY'!$B$11:$BY$85,63,0))</f>
        <v/>
      </c>
      <c r="DA62" s="507" t="str">
        <f>IF(OR(ISNA(VLOOKUP($B62,'TICH LUY'!$B$11:$BY$85,64,0)),$B62=""),"",VLOOKUP($B62,'TICH LUY'!$B$11:$BY$85,64,0))</f>
        <v/>
      </c>
      <c r="DB62" s="507" t="str">
        <f>IF(OR(ISNA(VLOOKUP($B62,'TICH LUY'!$B$11:$BY$85,65,0)),$B62=""),"",VLOOKUP($B62,'TICH LUY'!$B$11:$BY$85,65,0))</f>
        <v/>
      </c>
      <c r="DC62" s="507" t="str">
        <f>IF(OR(ISNA(VLOOKUP($B62,'TICH LUY'!$B$11:$BY$85,66,0)),$B62=""),"",VLOOKUP($B62,'TICH LUY'!$B$11:$BY$85,66,0))</f>
        <v/>
      </c>
      <c r="DD62" s="507" t="str">
        <f>IF(OR(ISNA(VLOOKUP($B62,'TICH LUY'!$B$11:$BY$85,67,0)),$B62=""),"",VLOOKUP($B62,'TICH LUY'!$B$11:$BY$85,67,0))</f>
        <v/>
      </c>
      <c r="DE62" s="507" t="str">
        <f>IF(OR(ISNA(VLOOKUP($B62,'TICH LUY'!$B$11:$BY$85,68,0)),$B62=""),"",VLOOKUP($B62,'TICH LUY'!$B$11:$BY$85,68,0))</f>
        <v/>
      </c>
      <c r="DF62" s="507" t="str">
        <f>IF(OR(ISNA(VLOOKUP($B62,'TICH LUY'!$B$11:$BY$85,69,0)),$B62=""),"",VLOOKUP($B62,'TICH LUY'!$B$11:$BY$85,69,0))</f>
        <v/>
      </c>
      <c r="DG62" s="507" t="str">
        <f>IF(OR(ISNA(VLOOKUP($B62,'TICH LUY'!$B$11:$BY$85,70,0)),$B62=""),"",VLOOKUP($B62,'TICH LUY'!$B$11:$BY$85,70,0))</f>
        <v/>
      </c>
      <c r="DH62" s="507" t="str">
        <f>IF(OR(ISNA(VLOOKUP($B62,'TICH LUY'!$B$11:$BY$85,71,0)),$B62=""),"",VLOOKUP($B62,'TICH LUY'!$B$11:$BY$85,71,0))</f>
        <v/>
      </c>
      <c r="DI62" s="507" t="str">
        <f>IF(OR(ISNA(VLOOKUP($B62,'TICH LUY'!$B$11:$BY$85,72,0)),$B62=""),"",VLOOKUP($B62,'TICH LUY'!$B$11:$BY$85,72,0))</f>
        <v/>
      </c>
      <c r="DJ62" s="507" t="str">
        <f>IF(OR(ISNA(VLOOKUP($B62,'TICH LUY'!$B$11:$BY$85,73,0)),$B62=""),"",VLOOKUP($B62,'TICH LUY'!$B$11:$BY$85,73,0))</f>
        <v/>
      </c>
      <c r="DK62" s="507" t="str">
        <f>IF(OR(ISNA(VLOOKUP($B62,'TICH LUY'!$B$11:$BY$85,74,0)),$B62=""),"",VLOOKUP($B62,'TICH LUY'!$B$11:$BY$85,74,0))</f>
        <v/>
      </c>
      <c r="DL62" s="507" t="str">
        <f>IF(OR(ISNA(VLOOKUP($B62,'TICH LUY'!$B$11:$BY$85,75,0)),$B62=""),"",VLOOKUP($B62,'TICH LUY'!$B$11:$BY$85,75,0))</f>
        <v/>
      </c>
      <c r="DM62" s="529" t="str">
        <f>IF(OR(ISNA(VLOOKUP($B62,'TICH LUY'!$B$11:$BY$85,76,0)),$B62=""),"",VLOOKUP($B62,'TICH LUY'!$B$11:$BY$85,76,0))</f>
        <v/>
      </c>
      <c r="DN62" s="455" t="str">
        <f t="shared" si="37"/>
        <v/>
      </c>
      <c r="DO62" s="456" t="str">
        <f t="shared" si="38"/>
        <v/>
      </c>
      <c r="DP62" s="456" t="str">
        <f t="shared" si="39"/>
        <v/>
      </c>
      <c r="DQ62" s="456" t="str">
        <f t="shared" si="40"/>
        <v/>
      </c>
      <c r="DR62" s="456" t="str">
        <f t="shared" si="41"/>
        <v/>
      </c>
      <c r="DS62" s="456" t="str">
        <f t="shared" si="42"/>
        <v/>
      </c>
      <c r="DT62" s="456" t="str">
        <f t="shared" si="43"/>
        <v/>
      </c>
      <c r="DU62" s="456" t="str">
        <f t="shared" si="44"/>
        <v/>
      </c>
      <c r="DV62" s="456" t="str">
        <f t="shared" si="45"/>
        <v/>
      </c>
      <c r="DW62" s="456" t="str">
        <f t="shared" si="46"/>
        <v/>
      </c>
      <c r="DX62" s="456" t="str">
        <f t="shared" si="47"/>
        <v/>
      </c>
      <c r="DY62" s="457" t="str">
        <f t="shared" si="48"/>
        <v/>
      </c>
      <c r="DZ62" s="453" t="str">
        <f t="shared" si="49"/>
        <v/>
      </c>
      <c r="EA62" s="452" t="str">
        <f t="shared" si="50"/>
        <v/>
      </c>
      <c r="EB62" s="452" t="str">
        <f t="shared" si="51"/>
        <v/>
      </c>
      <c r="EC62" s="452" t="str">
        <f t="shared" si="52"/>
        <v/>
      </c>
      <c r="ED62" s="452" t="str">
        <f t="shared" si="53"/>
        <v/>
      </c>
      <c r="EE62" s="452" t="str">
        <f t="shared" si="54"/>
        <v/>
      </c>
      <c r="EF62" s="452" t="str">
        <f t="shared" si="55"/>
        <v/>
      </c>
      <c r="EG62" s="452" t="str">
        <f t="shared" si="56"/>
        <v/>
      </c>
      <c r="EH62" s="452" t="str">
        <f t="shared" si="57"/>
        <v/>
      </c>
      <c r="EI62" s="453" t="str">
        <f t="shared" si="58"/>
        <v/>
      </c>
      <c r="EJ62" s="452" t="str">
        <f t="shared" si="59"/>
        <v/>
      </c>
      <c r="EK62" s="452" t="str">
        <f t="shared" si="60"/>
        <v/>
      </c>
      <c r="EL62" s="452" t="str">
        <f t="shared" si="61"/>
        <v/>
      </c>
      <c r="EM62" s="452" t="str">
        <f t="shared" si="62"/>
        <v/>
      </c>
      <c r="EN62" s="452" t="str">
        <f t="shared" si="63"/>
        <v/>
      </c>
      <c r="EO62" s="452" t="str">
        <f t="shared" si="64"/>
        <v/>
      </c>
      <c r="EP62" s="452" t="str">
        <f t="shared" si="65"/>
        <v/>
      </c>
      <c r="EQ62" s="452" t="str">
        <f t="shared" si="66"/>
        <v/>
      </c>
      <c r="ER62" s="452" t="str">
        <f t="shared" si="67"/>
        <v/>
      </c>
      <c r="ES62" s="452" t="str">
        <f t="shared" si="106"/>
        <v/>
      </c>
      <c r="ET62" s="458" t="str">
        <f t="shared" si="68"/>
        <v/>
      </c>
      <c r="EU62" s="527" t="str">
        <f>IF(OR(ISNA(VLOOKUP($B62,'TICH LUY'!$B$11:$BY$85,54,0)),$B62=""),"",VLOOKUP($B62,'TICH LUY'!$B$11:$BY$85,54,0))</f>
        <v/>
      </c>
      <c r="EV62" s="507" t="str">
        <f>IF(OR(ISNA(VLOOKUP($B62,'TICH LUY'!$B$11:$BY$85,55,0)),$B62=""),"",VLOOKUP($B62,'TICH LUY'!$B$11:$BY$85,55,0))</f>
        <v/>
      </c>
      <c r="EW62" s="507" t="str">
        <f>IF(OR(ISNA(VLOOKUP($B62,'TICH LUY'!$B$11:$BY$85,56,0)),$B62=""),"",VLOOKUP($B62,'TICH LUY'!$B$11:$BY$85,56,0))</f>
        <v/>
      </c>
      <c r="EX62" s="507" t="str">
        <f>IF(OR(ISNA(VLOOKUP($B62,'TICH LUY'!$B$11:$BY$85,57,0)),$B62=""),"",VLOOKUP($B62,'TICH LUY'!$B$11:$BY$85,57,0))</f>
        <v/>
      </c>
      <c r="EY62" s="507" t="str">
        <f>IF(OR(ISNA(VLOOKUP($B62,'TICH LUY'!$B$11:$BY$85,58,0)),$B62=""),"",VLOOKUP($B62,'TICH LUY'!$B$11:$BY$85,58,0))</f>
        <v/>
      </c>
      <c r="EZ62" s="507" t="str">
        <f>IF(OR(ISNA(VLOOKUP($B62,'TICH LUY'!$B$11:$BY$85,59,0)),$B62=""),"",VLOOKUP($B62,'TICH LUY'!$B$11:$BY$85,59,0))</f>
        <v/>
      </c>
      <c r="FA62" s="507" t="str">
        <f>IF(OR(ISNA(VLOOKUP($B62,'TICH LUY'!$B$11:$BY$85,60,0)),$B62=""),"",VLOOKUP($B62,'TICH LUY'!$B$11:$BY$85,60,0))</f>
        <v/>
      </c>
      <c r="FB62" s="507" t="str">
        <f>IF(OR(ISNA(VLOOKUP($B62,'TICH LUY'!$B$11:$BY$85,61,0)),$B62=""),"",VLOOKUP($B62,'TICH LUY'!$B$11:$BY$85,61,0))</f>
        <v/>
      </c>
      <c r="FC62" s="507" t="str">
        <f>IF(OR(ISNA(VLOOKUP($B62,'TICH LUY'!$B$11:$BY$85,62,0)),$B62=""),"",VLOOKUP($B62,'TICH LUY'!$B$11:$BY$85,62,0))</f>
        <v/>
      </c>
      <c r="FD62" s="507" t="str">
        <f>IF(OR(ISNA(VLOOKUP($B62,'TICH LUY'!$B$11:$BY$85,63,0)),$B62=""),"",VLOOKUP($B62,'TICH LUY'!$B$11:$BY$85,63,0))</f>
        <v/>
      </c>
      <c r="FE62" s="507" t="str">
        <f>IF(OR(ISNA(VLOOKUP($B62,'TICH LUY'!$B$11:$BY$85,64,0)),$B62=""),"",VLOOKUP($B62,'TICH LUY'!$B$11:$BY$85,64,0))</f>
        <v/>
      </c>
      <c r="FF62" s="507" t="str">
        <f>IF(OR(ISNA(VLOOKUP($B62,'TICH LUY'!$B$11:$BY$85,65,0)),$B62=""),"",VLOOKUP($B62,'TICH LUY'!$B$11:$BY$85,65,0))</f>
        <v/>
      </c>
      <c r="FG62" s="507" t="str">
        <f>IF(OR(ISNA(VLOOKUP($B62,'TICH LUY'!$B$11:$BY$85,66,0)),$B62=""),"",VLOOKUP($B62,'TICH LUY'!$B$11:$BY$85,66,0))</f>
        <v/>
      </c>
      <c r="FH62" s="507" t="str">
        <f>IF(OR(ISNA(VLOOKUP($B62,'TICH LUY'!$B$11:$BY$85,67,0)),$B62=""),"",VLOOKUP($B62,'TICH LUY'!$B$11:$BY$85,67,0))</f>
        <v/>
      </c>
      <c r="FI62" s="507" t="str">
        <f>IF(OR(ISNA(VLOOKUP($B62,'TICH LUY'!$B$11:$BY$85,68,0)),$B62=""),"",VLOOKUP($B62,'TICH LUY'!$B$11:$BY$85,68,0))</f>
        <v/>
      </c>
      <c r="FJ62" s="507" t="str">
        <f>IF(OR(ISNA(VLOOKUP($B62,'TICH LUY'!$B$11:$BY$85,69,0)),$B62=""),"",VLOOKUP($B62,'TICH LUY'!$B$11:$BY$85,69,0))</f>
        <v/>
      </c>
      <c r="FK62" s="507" t="str">
        <f>IF(OR(ISNA(VLOOKUP($B62,'TICH LUY'!$B$11:$BY$85,70,0)),$B62=""),"",VLOOKUP($B62,'TICH LUY'!$B$11:$BY$85,70,0))</f>
        <v/>
      </c>
      <c r="FL62" s="507" t="str">
        <f>IF(OR(ISNA(VLOOKUP($B62,'TICH LUY'!$B$11:$BY$85,71,0)),$B62=""),"",VLOOKUP($B62,'TICH LUY'!$B$11:$BY$85,71,0))</f>
        <v/>
      </c>
      <c r="FM62" s="507" t="str">
        <f>IF(OR(ISNA(VLOOKUP($B62,'TICH LUY'!$B$11:$BY$85,72,0)),$B62=""),"",VLOOKUP($B62,'TICH LUY'!$B$11:$BY$85,72,0))</f>
        <v/>
      </c>
      <c r="FN62" s="507" t="str">
        <f>IF(OR(ISNA(VLOOKUP($B62,'TICH LUY'!$B$11:$BY$85,73,0)),$B62=""),"",VLOOKUP($B62,'TICH LUY'!$B$11:$BY$85,73,0))</f>
        <v/>
      </c>
      <c r="FO62" s="507" t="str">
        <f>IF(OR(ISNA(VLOOKUP($B62,'TICH LUY'!$B$11:$BY$85,74,0)),$B62=""),"",VLOOKUP($B62,'TICH LUY'!$B$11:$BY$85,74,0))</f>
        <v/>
      </c>
      <c r="FP62" s="507" t="str">
        <f>IF(OR(ISNA(VLOOKUP($B62,'TICH LUY'!$B$11:$BY$85,75,0)),$B62=""),"",VLOOKUP($B62,'TICH LUY'!$B$11:$BY$85,75,0))</f>
        <v/>
      </c>
      <c r="FQ62" s="529" t="str">
        <f>IF(OR(ISNA(VLOOKUP($B62,'TICH LUY'!$B$11:$BY$85,76,0)),$B62=""),"",VLOOKUP($B62,'TICH LUY'!$B$11:$BY$85,76,0))</f>
        <v/>
      </c>
      <c r="FR62" s="455" t="str">
        <f t="shared" si="69"/>
        <v/>
      </c>
      <c r="FS62" s="456" t="str">
        <f t="shared" si="70"/>
        <v/>
      </c>
      <c r="FT62" s="456" t="str">
        <f t="shared" si="71"/>
        <v/>
      </c>
      <c r="FU62" s="456" t="str">
        <f t="shared" si="72"/>
        <v/>
      </c>
      <c r="FV62" s="456" t="str">
        <f t="shared" si="73"/>
        <v/>
      </c>
      <c r="FW62" s="456" t="str">
        <f t="shared" si="74"/>
        <v/>
      </c>
      <c r="FX62" s="456" t="str">
        <f t="shared" si="75"/>
        <v/>
      </c>
      <c r="FY62" s="456" t="str">
        <f t="shared" si="76"/>
        <v/>
      </c>
      <c r="FZ62" s="456" t="str">
        <f t="shared" si="77"/>
        <v/>
      </c>
      <c r="GA62" s="456" t="str">
        <f t="shared" si="78"/>
        <v/>
      </c>
      <c r="GB62" s="459" t="str">
        <f t="shared" si="79"/>
        <v/>
      </c>
      <c r="GC62" s="457" t="str">
        <f t="shared" si="107"/>
        <v/>
      </c>
    </row>
    <row r="63" spans="1:185" s="221" customFormat="1" ht="15.75">
      <c r="A63" s="449" t="str">
        <f>IF(B63="","",SUBTOTAL(3,$B$11:B63))</f>
        <v/>
      </c>
      <c r="B63" s="460"/>
      <c r="C63" s="450" t="str">
        <f>IF($B63="","",VLOOKUP($B63,'DS LOP HKI'!$B$2:$F$2642,2,0))</f>
        <v/>
      </c>
      <c r="D63" s="451" t="str">
        <f>IF($B63="","",VLOOKUP($B63,'DS LOP HKI'!$B$2:$F$2642,3,0))</f>
        <v/>
      </c>
      <c r="E63" s="154"/>
      <c r="F63" s="152"/>
      <c r="G63" s="156"/>
      <c r="H63" s="181" t="str">
        <f>IF(OR($H$6="",$H$7=""),"",IF($B63="","",IF(ISNA(VLOOKUP($B63,'LT01'!$B$11:$R$75,13,FALSE)),"",IF(VLOOKUP($B63,'LT01'!$B$11:$R$75,13,FALSE)="","",VLOOKUP($B63,'LT01'!$B$11:$R$75,13,FALSE)))))</f>
        <v/>
      </c>
      <c r="I63" s="182" t="str">
        <f>IF(OR($H$6="",$H$7=""),"",IF($B63="","",IF(ISNA(VLOOKUP($B63,'LT01'!$B$11:$R$75,14,FALSE)),"",VLOOKUP($B63,'LT01'!$B$11:$R$75,14,FALSE))))</f>
        <v/>
      </c>
      <c r="J63" s="183"/>
      <c r="K63" s="182" t="str">
        <f>IF(OR($H$6="",$H$7=""),"",IF($B63="","",IF(ISNA(VLOOKUP($B63,'LT01'!$B$11:$R$75,17,FALSE)),"",VLOOKUP($B63,'LT01'!$B$11:$R$75,17,FALSE))))</f>
        <v/>
      </c>
      <c r="L63" s="185" t="str">
        <f>IF(OR($H$6="",$H$7=""),"",IF($B63="","",IF(ISNA(VLOOKUP($B63,'LT02'!$B$11:$R$75,13,FALSE)),"",IF(VLOOKUP($B63,'LT02'!$B$11:$R$75,13,FALSE)="","",VLOOKUP($B63,'LT02'!$B$11:$R$75,13,FALSE)))))</f>
        <v/>
      </c>
      <c r="M63" s="182" t="str">
        <f>IF(OR($H$6="",$H$7=""),"",IF($B63="","",IF(ISNA(VLOOKUP($B63,'LT02'!$B$11:$R$75,14,FALSE)),"",VLOOKUP($B63,'LT02'!$B$11:$R$75,14,FALSE))))</f>
        <v/>
      </c>
      <c r="N63" s="183"/>
      <c r="O63" s="182" t="str">
        <f>IF(OR($H$6="",$H$7=""),"",IF($B63="","",IF(ISNA(VLOOKUP($B63,'LT02'!$B$11:$R$75,17,FALSE)),"",VLOOKUP($B63,'LT02'!$B$11:$R$75,17,FALSE))))</f>
        <v/>
      </c>
      <c r="P63" s="185" t="str">
        <f>IF(OR($H$6="",$H$7=""),"",IF($B63="","",IF(ISNA(VLOOKUP($B63,'LT03'!$B$11:$R$75,13,FALSE)),"",IF(VLOOKUP($B63,'LT03'!$B$11:$R$75,13,FALSE)="","",VLOOKUP($B63,'LT03'!$B$11:$R$75,13,FALSE)))))</f>
        <v/>
      </c>
      <c r="Q63" s="182" t="str">
        <f>IF(OR($H$6="",$H$7=""),"",IF($B63="","",IF(ISNA(VLOOKUP($B63,'LT03'!$B$11:$R$75,14,FALSE)),"",VLOOKUP($B63,'LT03'!$B$11:$R$75,14,FALSE))))</f>
        <v/>
      </c>
      <c r="R63" s="183"/>
      <c r="S63" s="182" t="str">
        <f>IF(OR($H$6="",$H$7=""),"",IF($B63="","",IF(ISNA(VLOOKUP($B63,'LT03'!$B$11:$R$75,17,FALSE)),"",VLOOKUP($B63,'LT03'!$B$11:$R$75,17,FALSE))))</f>
        <v/>
      </c>
      <c r="T63" s="185" t="str">
        <f>IF(OR($H$6="",$H$7=""),"",IF($B63="","",IF(ISNA(VLOOKUP($B63,'LT04'!$B$11:$R$75,13,FALSE)),"",IF(VLOOKUP($B63,'LT04'!$B$11:$R$75,13,FALSE)="","",VLOOKUP($B63,'LT04'!$B$11:$R$75,13,FALSE)))))</f>
        <v/>
      </c>
      <c r="U63" s="182" t="str">
        <f>IF(OR($H$6="",$H$7=""),"",IF($B63="","",IF(ISNA(VLOOKUP($B63,'LT04'!$B$11:$R$75,14,FALSE)),"",VLOOKUP($B63,'LT04'!$B$11:$R$75,14,FALSE))))</f>
        <v/>
      </c>
      <c r="V63" s="183"/>
      <c r="W63" s="184" t="str">
        <f>IF(OR($H$6="",$H$7=""),"",IF($B63="","",IF(ISNA(VLOOKUP($B63,'LT04'!$B$11:$R$75,17,FALSE)),"",VLOOKUP($B63,'LT04'!$B$11:$R$75,17,FALSE))))</f>
        <v/>
      </c>
      <c r="X63" s="185" t="str">
        <f>IF(OR($H$6="",$H$7=""),"",IF($B63="","",IF(ISNA(VLOOKUP($B63,'LT05'!$B$11:$R$75,13,FALSE)),"",IF(VLOOKUP($B63,'LT05'!$B$11:$R$75,13,FALSE)="","",VLOOKUP($B63,'LT05'!$B$11:$R$75,13,FALSE)))))</f>
        <v/>
      </c>
      <c r="Y63" s="182" t="str">
        <f>IF(OR($H$6="",$H$7=""),"",IF($B63="","",IF(ISNA(VLOOKUP($B63,'LT05'!$B$11:$R$75,14,FALSE)),"",VLOOKUP($B63,'LT05'!$B$11:$R$75,14,FALSE))))</f>
        <v/>
      </c>
      <c r="Z63" s="183"/>
      <c r="AA63" s="182" t="str">
        <f>IF(OR($H$6="",$H$7=""),"",IF($B63="","",IF(ISNA(VLOOKUP($B63,'LT05'!$B$11:$R$75,17,FALSE)),"",VLOOKUP($B63,'LT05'!$B$11:$R$75,17,FALSE))))</f>
        <v/>
      </c>
      <c r="AB63" s="185" t="str">
        <f>IF(OR($H$6="",$H$7=""),"",IF($B63="","",IF(ISNA(VLOOKUP($B63,'LT06'!$B$11:$R$75,13,FALSE)),"",IF(VLOOKUP($B63,'LT06'!$B$11:$R$75,13,FALSE)="","",VLOOKUP($B63,'LT06'!$B$11:$R$75,13,FALSE)))))</f>
        <v/>
      </c>
      <c r="AC63" s="182" t="str">
        <f>IF(OR($H$6="",$H$7=""),"",IF($B63="","",IF(ISNA(VLOOKUP($B63,'LT06'!$B$11:$R$75,14,FALSE)),"",VLOOKUP($B63,'LT06'!$B$11:$R$75,14,FALSE))))</f>
        <v/>
      </c>
      <c r="AD63" s="183"/>
      <c r="AE63" s="182" t="str">
        <f>IF(OR($H$6="",$H$7=""),"",IF($B63="","",IF(ISNA(VLOOKUP($B63,'LT06'!$B$11:$R$75,17,FALSE)),"",VLOOKUP($B63,'LT06'!$B$11:$R$75,17,FALSE))))</f>
        <v/>
      </c>
      <c r="AF63" s="185" t="str">
        <f>IF(OR($H$6="",$H$7=""),"",IF($B63="","",IF(ISNA(VLOOKUP($B63,'LT07'!$B$11:$R$75,13,FALSE)),"",IF(VLOOKUP($B63,'LT07'!$B$11:$R$75,13,FALSE)="","",VLOOKUP($B63,'LT07'!$B$11:$R$75,13,FALSE)))))</f>
        <v/>
      </c>
      <c r="AG63" s="182" t="str">
        <f>IF(OR($H$6="",$H$7=""),"",IF($B63="","",IF(ISNA(VLOOKUP($B63,'LT07'!$B$11:$R$75,14,FALSE)),"",VLOOKUP($B63,'LT07'!$B$11:$R$75,14,FALSE))))</f>
        <v/>
      </c>
      <c r="AH63" s="183"/>
      <c r="AI63" s="182" t="str">
        <f>IF(OR($H$6="",$H$7=""),"",IF($B63="","",IF(ISNA(VLOOKUP($B63,'LT07'!$B$11:$R$75,17,FALSE)),"",VLOOKUP($B63,'LT07'!$B$11:$R$75,17,FALSE))))</f>
        <v/>
      </c>
      <c r="AJ63" s="185" t="str">
        <f>IF(OR($H$6="",$H$7=""),"",IF($B63="","",IF(ISNA(VLOOKUP($B63,'LT08'!$B$11:$R$75,13,FALSE)),"",IF(VLOOKUP($B63,'LT08'!$B$11:$R$75,13,FALSE)="","",VLOOKUP($B63,'LT08'!$B$11:$R$75,13,FALSE)))))</f>
        <v/>
      </c>
      <c r="AK63" s="182" t="str">
        <f>IF(OR($H$6="",$H$7=""),"",IF($B63="","",IF(ISNA(VLOOKUP($B63,'LT08'!$B$11:$R$75,14,FALSE)),"",VLOOKUP($B63,'LT08'!$B$11:$R$75,14,FALSE))))</f>
        <v/>
      </c>
      <c r="AL63" s="183"/>
      <c r="AM63" s="182" t="str">
        <f>IF(OR($H$6="",$H$7=""),"",IF($B63="","",IF(ISNA(VLOOKUP($B63,'LT08'!$B$11:$R$75,17,FALSE)),"",VLOOKUP($B63,'LT08'!$B$11:$R$75,17,FALSE))))</f>
        <v/>
      </c>
      <c r="AN63" s="185" t="str">
        <f>IF(OR($H$6="",$H$7=""),"",IF($B63="","",IF(ISNA(VLOOKUP($B63,'LT09'!$B$11:$R$75,13,FALSE)),"",IF(VLOOKUP($B63,'LT09'!$B$11:$R$75,13,FALSE)="","",VLOOKUP($B63,'LT09'!$B$11:$R$75,13,FALSE)))))</f>
        <v/>
      </c>
      <c r="AO63" s="182" t="str">
        <f>IF(OR($H$6="",$H$7=""),"",IF($B63="","",IF(ISNA(VLOOKUP($B63,'LT09'!$B$11:$R$75,14,FALSE)),"",VLOOKUP($B63,'LT09'!$B$11:$R$75,14,FALSE))))</f>
        <v/>
      </c>
      <c r="AP63" s="183"/>
      <c r="AQ63" s="182" t="str">
        <f>IF(OR($H$6="",$H$7=""),"",IF($B63="","",IF(ISNA(VLOOKUP($B63,'LT09'!$B$11:$R$75,17,FALSE)),"",VLOOKUP($B63,'LT09'!$B$11:$R$75,17,FALSE))))</f>
        <v/>
      </c>
      <c r="AR63" s="186"/>
      <c r="AS63" s="182" t="str">
        <f>IF(OR($H$6="",$H$7=""),"",IF($B63="","",IF(ISNA(VLOOKUP($B63,'TH01'!$B$11:$R$75,14,FALSE)),"",VLOOKUP($B63,'TH01'!$B$11:$R$75,14,FALSE))))</f>
        <v/>
      </c>
      <c r="AT63" s="183"/>
      <c r="AU63" s="187"/>
      <c r="AV63" s="186"/>
      <c r="AW63" s="182" t="str">
        <f>IF(OR($H$6="",$H$7=""),"",IF($B63="","",IF(ISNA(VLOOKUP($B63,'TH02'!$B$11:$R$75,14,FALSE)),"",VLOOKUP($B63,'TH02'!$B$11:$R$75,14,FALSE))))</f>
        <v/>
      </c>
      <c r="AX63" s="183"/>
      <c r="AY63" s="187"/>
      <c r="AZ63" s="54" t="str">
        <f t="shared" si="24"/>
        <v/>
      </c>
      <c r="BA63" s="54" t="str">
        <f t="shared" si="0"/>
        <v/>
      </c>
      <c r="BB63" s="70"/>
      <c r="BC63" s="52" t="str">
        <f t="shared" si="25"/>
        <v/>
      </c>
      <c r="BD63" s="52" t="str">
        <f t="shared" si="26"/>
        <v/>
      </c>
      <c r="BE63" s="52" t="str">
        <f t="shared" si="86"/>
        <v/>
      </c>
      <c r="BF63" s="149" t="str">
        <f t="shared" si="87"/>
        <v/>
      </c>
      <c r="BG63" s="52" t="str">
        <f t="shared" si="88"/>
        <v/>
      </c>
      <c r="BH63" s="52" t="str">
        <f t="shared" si="89"/>
        <v/>
      </c>
      <c r="BI63" s="52" t="str">
        <f t="shared" si="90"/>
        <v/>
      </c>
      <c r="BJ63" s="52" t="str">
        <f t="shared" si="91"/>
        <v/>
      </c>
      <c r="BK63" s="54" t="str">
        <f t="shared" si="92"/>
        <v/>
      </c>
      <c r="BL63" s="54" t="str">
        <f t="shared" si="93"/>
        <v/>
      </c>
      <c r="BM63" s="54" t="str">
        <f t="shared" si="94"/>
        <v/>
      </c>
      <c r="BN63" s="54" t="str">
        <f t="shared" si="95"/>
        <v/>
      </c>
      <c r="BO63" s="70"/>
      <c r="BP63" s="52" t="str">
        <f>IF(ISNA(VLOOKUP(B63,'TICH LUY'!B:D,2,0)),"",VLOOKUP(B63,'TICH LUY'!B:D,2,0)+BI63)</f>
        <v/>
      </c>
      <c r="BQ63" s="52" t="str">
        <f>IF(ISNA(VLOOKUP(B63,'TICH LUY'!B:D,3,0)),"",VLOOKUP(B63,'TICH LUY'!B:D,3,0)+BJ63)</f>
        <v/>
      </c>
      <c r="BR63" s="40" t="str">
        <f t="shared" si="96"/>
        <v/>
      </c>
      <c r="BS63" s="452" t="str">
        <f t="shared" si="97"/>
        <v/>
      </c>
      <c r="BT63" s="452" t="str">
        <f t="shared" si="98"/>
        <v/>
      </c>
      <c r="BU63" s="452" t="str">
        <f t="shared" si="99"/>
        <v/>
      </c>
      <c r="BV63" s="452" t="str">
        <f t="shared" si="100"/>
        <v/>
      </c>
      <c r="BW63" s="452" t="str">
        <f t="shared" si="101"/>
        <v/>
      </c>
      <c r="BX63" s="452" t="str">
        <f t="shared" si="102"/>
        <v/>
      </c>
      <c r="BY63" s="452" t="str">
        <f t="shared" si="103"/>
        <v/>
      </c>
      <c r="BZ63" s="452" t="str">
        <f t="shared" si="28"/>
        <v/>
      </c>
      <c r="CA63" s="452" t="str">
        <f t="shared" si="29"/>
        <v/>
      </c>
      <c r="CB63" s="452" t="str">
        <f t="shared" si="30"/>
        <v/>
      </c>
      <c r="CC63" s="452" t="str">
        <f t="shared" si="104"/>
        <v/>
      </c>
      <c r="CD63" s="40" t="str">
        <f t="shared" si="31"/>
        <v/>
      </c>
      <c r="CE63" s="453" t="str">
        <f t="shared" si="80"/>
        <v/>
      </c>
      <c r="CF63" s="452" t="str">
        <f t="shared" si="32"/>
        <v/>
      </c>
      <c r="CG63" s="452" t="str">
        <f t="shared" si="81"/>
        <v/>
      </c>
      <c r="CH63" s="452" t="str">
        <f t="shared" si="82"/>
        <v/>
      </c>
      <c r="CI63" s="452" t="str">
        <f t="shared" si="83"/>
        <v/>
      </c>
      <c r="CJ63" s="452" t="str">
        <f t="shared" si="84"/>
        <v/>
      </c>
      <c r="CK63" s="452" t="str">
        <f t="shared" si="85"/>
        <v/>
      </c>
      <c r="CL63" s="452" t="str">
        <f t="shared" si="33"/>
        <v/>
      </c>
      <c r="CM63" s="452" t="str">
        <f t="shared" si="34"/>
        <v/>
      </c>
      <c r="CN63" s="452" t="str">
        <f t="shared" si="35"/>
        <v/>
      </c>
      <c r="CO63" s="452" t="str">
        <f t="shared" si="105"/>
        <v/>
      </c>
      <c r="CP63" s="454" t="str">
        <f t="shared" si="36"/>
        <v/>
      </c>
      <c r="CQ63" s="527" t="str">
        <f>IF(OR(ISNA(VLOOKUP($B63,'TICH LUY'!$B$11:$BY$85,54,0)),$B63=""),"",VLOOKUP($B63,'TICH LUY'!$B$11:$BY$85,54,0))</f>
        <v/>
      </c>
      <c r="CR63" s="507" t="str">
        <f>IF(OR(ISNA(VLOOKUP($B63,'TICH LUY'!$B$11:$BY$85,55,0)),$B63=""),"",VLOOKUP($B63,'TICH LUY'!$B$11:$BY$85,55,0))</f>
        <v/>
      </c>
      <c r="CS63" s="507" t="str">
        <f>IF(OR(ISNA(VLOOKUP($B63,'TICH LUY'!$B$11:$BY$85,56,0)),$B63=""),"",VLOOKUP($B63,'TICH LUY'!$B$11:$BY$85,56,0))</f>
        <v/>
      </c>
      <c r="CT63" s="507" t="str">
        <f>IF(OR(ISNA(VLOOKUP($B63,'TICH LUY'!$B$11:$BY$85,57,0)),$B63=""),"",VLOOKUP($B63,'TICH LUY'!$B$11:$BY$85,57,0))</f>
        <v/>
      </c>
      <c r="CU63" s="507" t="str">
        <f>IF(OR(ISNA(VLOOKUP($B63,'TICH LUY'!$B$11:$BY$85,58,0)),$B63=""),"",VLOOKUP($B63,'TICH LUY'!$B$11:$BY$85,58,0))</f>
        <v/>
      </c>
      <c r="CV63" s="507" t="str">
        <f>IF(OR(ISNA(VLOOKUP($B63,'TICH LUY'!$B$11:$BY$85,59,0)),$B63=""),"",VLOOKUP($B63,'TICH LUY'!$B$11:$BY$85,59,0))</f>
        <v/>
      </c>
      <c r="CW63" s="507" t="str">
        <f>IF(OR(ISNA(VLOOKUP($B63,'TICH LUY'!$B$11:$BY$85,60,0)),$B63=""),"",VLOOKUP($B63,'TICH LUY'!$B$11:$BY$85,60,0))</f>
        <v/>
      </c>
      <c r="CX63" s="507" t="str">
        <f>IF(OR(ISNA(VLOOKUP($B63,'TICH LUY'!$B$11:$BY$85,61,0)),$B63=""),"",VLOOKUP($B63,'TICH LUY'!$B$11:$BY$85,61,0))</f>
        <v/>
      </c>
      <c r="CY63" s="507" t="str">
        <f>IF(OR(ISNA(VLOOKUP($B63,'TICH LUY'!$B$11:$BY$85,62,0)),$B63=""),"",VLOOKUP($B63,'TICH LUY'!$B$11:$BY$85,62,0))</f>
        <v/>
      </c>
      <c r="CZ63" s="507" t="str">
        <f>IF(OR(ISNA(VLOOKUP($B63,'TICH LUY'!$B$11:$BY$85,63,0)),$B63=""),"",VLOOKUP($B63,'TICH LUY'!$B$11:$BY$85,63,0))</f>
        <v/>
      </c>
      <c r="DA63" s="507" t="str">
        <f>IF(OR(ISNA(VLOOKUP($B63,'TICH LUY'!$B$11:$BY$85,64,0)),$B63=""),"",VLOOKUP($B63,'TICH LUY'!$B$11:$BY$85,64,0))</f>
        <v/>
      </c>
      <c r="DB63" s="507" t="str">
        <f>IF(OR(ISNA(VLOOKUP($B63,'TICH LUY'!$B$11:$BY$85,65,0)),$B63=""),"",VLOOKUP($B63,'TICH LUY'!$B$11:$BY$85,65,0))</f>
        <v/>
      </c>
      <c r="DC63" s="507" t="str">
        <f>IF(OR(ISNA(VLOOKUP($B63,'TICH LUY'!$B$11:$BY$85,66,0)),$B63=""),"",VLOOKUP($B63,'TICH LUY'!$B$11:$BY$85,66,0))</f>
        <v/>
      </c>
      <c r="DD63" s="507" t="str">
        <f>IF(OR(ISNA(VLOOKUP($B63,'TICH LUY'!$B$11:$BY$85,67,0)),$B63=""),"",VLOOKUP($B63,'TICH LUY'!$B$11:$BY$85,67,0))</f>
        <v/>
      </c>
      <c r="DE63" s="507" t="str">
        <f>IF(OR(ISNA(VLOOKUP($B63,'TICH LUY'!$B$11:$BY$85,68,0)),$B63=""),"",VLOOKUP($B63,'TICH LUY'!$B$11:$BY$85,68,0))</f>
        <v/>
      </c>
      <c r="DF63" s="507" t="str">
        <f>IF(OR(ISNA(VLOOKUP($B63,'TICH LUY'!$B$11:$BY$85,69,0)),$B63=""),"",VLOOKUP($B63,'TICH LUY'!$B$11:$BY$85,69,0))</f>
        <v/>
      </c>
      <c r="DG63" s="507" t="str">
        <f>IF(OR(ISNA(VLOOKUP($B63,'TICH LUY'!$B$11:$BY$85,70,0)),$B63=""),"",VLOOKUP($B63,'TICH LUY'!$B$11:$BY$85,70,0))</f>
        <v/>
      </c>
      <c r="DH63" s="507" t="str">
        <f>IF(OR(ISNA(VLOOKUP($B63,'TICH LUY'!$B$11:$BY$85,71,0)),$B63=""),"",VLOOKUP($B63,'TICH LUY'!$B$11:$BY$85,71,0))</f>
        <v/>
      </c>
      <c r="DI63" s="507" t="str">
        <f>IF(OR(ISNA(VLOOKUP($B63,'TICH LUY'!$B$11:$BY$85,72,0)),$B63=""),"",VLOOKUP($B63,'TICH LUY'!$B$11:$BY$85,72,0))</f>
        <v/>
      </c>
      <c r="DJ63" s="507" t="str">
        <f>IF(OR(ISNA(VLOOKUP($B63,'TICH LUY'!$B$11:$BY$85,73,0)),$B63=""),"",VLOOKUP($B63,'TICH LUY'!$B$11:$BY$85,73,0))</f>
        <v/>
      </c>
      <c r="DK63" s="507" t="str">
        <f>IF(OR(ISNA(VLOOKUP($B63,'TICH LUY'!$B$11:$BY$85,74,0)),$B63=""),"",VLOOKUP($B63,'TICH LUY'!$B$11:$BY$85,74,0))</f>
        <v/>
      </c>
      <c r="DL63" s="507" t="str">
        <f>IF(OR(ISNA(VLOOKUP($B63,'TICH LUY'!$B$11:$BY$85,75,0)),$B63=""),"",VLOOKUP($B63,'TICH LUY'!$B$11:$BY$85,75,0))</f>
        <v/>
      </c>
      <c r="DM63" s="529" t="str">
        <f>IF(OR(ISNA(VLOOKUP($B63,'TICH LUY'!$B$11:$BY$85,76,0)),$B63=""),"",VLOOKUP($B63,'TICH LUY'!$B$11:$BY$85,76,0))</f>
        <v/>
      </c>
      <c r="DN63" s="455" t="str">
        <f t="shared" si="37"/>
        <v/>
      </c>
      <c r="DO63" s="456" t="str">
        <f t="shared" si="38"/>
        <v/>
      </c>
      <c r="DP63" s="456" t="str">
        <f t="shared" si="39"/>
        <v/>
      </c>
      <c r="DQ63" s="456" t="str">
        <f t="shared" si="40"/>
        <v/>
      </c>
      <c r="DR63" s="456" t="str">
        <f t="shared" si="41"/>
        <v/>
      </c>
      <c r="DS63" s="456" t="str">
        <f t="shared" si="42"/>
        <v/>
      </c>
      <c r="DT63" s="456" t="str">
        <f t="shared" si="43"/>
        <v/>
      </c>
      <c r="DU63" s="456" t="str">
        <f t="shared" si="44"/>
        <v/>
      </c>
      <c r="DV63" s="456" t="str">
        <f t="shared" si="45"/>
        <v/>
      </c>
      <c r="DW63" s="456" t="str">
        <f t="shared" si="46"/>
        <v/>
      </c>
      <c r="DX63" s="456" t="str">
        <f t="shared" si="47"/>
        <v/>
      </c>
      <c r="DY63" s="457" t="str">
        <f t="shared" si="48"/>
        <v/>
      </c>
      <c r="DZ63" s="453" t="str">
        <f t="shared" si="49"/>
        <v/>
      </c>
      <c r="EA63" s="452" t="str">
        <f t="shared" si="50"/>
        <v/>
      </c>
      <c r="EB63" s="452" t="str">
        <f t="shared" si="51"/>
        <v/>
      </c>
      <c r="EC63" s="452" t="str">
        <f t="shared" si="52"/>
        <v/>
      </c>
      <c r="ED63" s="452" t="str">
        <f t="shared" si="53"/>
        <v/>
      </c>
      <c r="EE63" s="452" t="str">
        <f t="shared" si="54"/>
        <v/>
      </c>
      <c r="EF63" s="452" t="str">
        <f t="shared" si="55"/>
        <v/>
      </c>
      <c r="EG63" s="452" t="str">
        <f t="shared" si="56"/>
        <v/>
      </c>
      <c r="EH63" s="452" t="str">
        <f t="shared" si="57"/>
        <v/>
      </c>
      <c r="EI63" s="453" t="str">
        <f t="shared" si="58"/>
        <v/>
      </c>
      <c r="EJ63" s="452" t="str">
        <f t="shared" si="59"/>
        <v/>
      </c>
      <c r="EK63" s="452" t="str">
        <f t="shared" si="60"/>
        <v/>
      </c>
      <c r="EL63" s="452" t="str">
        <f t="shared" si="61"/>
        <v/>
      </c>
      <c r="EM63" s="452" t="str">
        <f t="shared" si="62"/>
        <v/>
      </c>
      <c r="EN63" s="452" t="str">
        <f t="shared" si="63"/>
        <v/>
      </c>
      <c r="EO63" s="452" t="str">
        <f t="shared" si="64"/>
        <v/>
      </c>
      <c r="EP63" s="452" t="str">
        <f t="shared" si="65"/>
        <v/>
      </c>
      <c r="EQ63" s="452" t="str">
        <f t="shared" si="66"/>
        <v/>
      </c>
      <c r="ER63" s="452" t="str">
        <f t="shared" si="67"/>
        <v/>
      </c>
      <c r="ES63" s="452" t="str">
        <f t="shared" si="106"/>
        <v/>
      </c>
      <c r="ET63" s="458" t="str">
        <f t="shared" si="68"/>
        <v/>
      </c>
      <c r="EU63" s="527" t="str">
        <f>IF(OR(ISNA(VLOOKUP($B63,'TICH LUY'!$B$11:$BY$85,54,0)),$B63=""),"",VLOOKUP($B63,'TICH LUY'!$B$11:$BY$85,54,0))</f>
        <v/>
      </c>
      <c r="EV63" s="507" t="str">
        <f>IF(OR(ISNA(VLOOKUP($B63,'TICH LUY'!$B$11:$BY$85,55,0)),$B63=""),"",VLOOKUP($B63,'TICH LUY'!$B$11:$BY$85,55,0))</f>
        <v/>
      </c>
      <c r="EW63" s="507" t="str">
        <f>IF(OR(ISNA(VLOOKUP($B63,'TICH LUY'!$B$11:$BY$85,56,0)),$B63=""),"",VLOOKUP($B63,'TICH LUY'!$B$11:$BY$85,56,0))</f>
        <v/>
      </c>
      <c r="EX63" s="507" t="str">
        <f>IF(OR(ISNA(VLOOKUP($B63,'TICH LUY'!$B$11:$BY$85,57,0)),$B63=""),"",VLOOKUP($B63,'TICH LUY'!$B$11:$BY$85,57,0))</f>
        <v/>
      </c>
      <c r="EY63" s="507" t="str">
        <f>IF(OR(ISNA(VLOOKUP($B63,'TICH LUY'!$B$11:$BY$85,58,0)),$B63=""),"",VLOOKUP($B63,'TICH LUY'!$B$11:$BY$85,58,0))</f>
        <v/>
      </c>
      <c r="EZ63" s="507" t="str">
        <f>IF(OR(ISNA(VLOOKUP($B63,'TICH LUY'!$B$11:$BY$85,59,0)),$B63=""),"",VLOOKUP($B63,'TICH LUY'!$B$11:$BY$85,59,0))</f>
        <v/>
      </c>
      <c r="FA63" s="507" t="str">
        <f>IF(OR(ISNA(VLOOKUP($B63,'TICH LUY'!$B$11:$BY$85,60,0)),$B63=""),"",VLOOKUP($B63,'TICH LUY'!$B$11:$BY$85,60,0))</f>
        <v/>
      </c>
      <c r="FB63" s="507" t="str">
        <f>IF(OR(ISNA(VLOOKUP($B63,'TICH LUY'!$B$11:$BY$85,61,0)),$B63=""),"",VLOOKUP($B63,'TICH LUY'!$B$11:$BY$85,61,0))</f>
        <v/>
      </c>
      <c r="FC63" s="507" t="str">
        <f>IF(OR(ISNA(VLOOKUP($B63,'TICH LUY'!$B$11:$BY$85,62,0)),$B63=""),"",VLOOKUP($B63,'TICH LUY'!$B$11:$BY$85,62,0))</f>
        <v/>
      </c>
      <c r="FD63" s="507" t="str">
        <f>IF(OR(ISNA(VLOOKUP($B63,'TICH LUY'!$B$11:$BY$85,63,0)),$B63=""),"",VLOOKUP($B63,'TICH LUY'!$B$11:$BY$85,63,0))</f>
        <v/>
      </c>
      <c r="FE63" s="507" t="str">
        <f>IF(OR(ISNA(VLOOKUP($B63,'TICH LUY'!$B$11:$BY$85,64,0)),$B63=""),"",VLOOKUP($B63,'TICH LUY'!$B$11:$BY$85,64,0))</f>
        <v/>
      </c>
      <c r="FF63" s="507" t="str">
        <f>IF(OR(ISNA(VLOOKUP($B63,'TICH LUY'!$B$11:$BY$85,65,0)),$B63=""),"",VLOOKUP($B63,'TICH LUY'!$B$11:$BY$85,65,0))</f>
        <v/>
      </c>
      <c r="FG63" s="507" t="str">
        <f>IF(OR(ISNA(VLOOKUP($B63,'TICH LUY'!$B$11:$BY$85,66,0)),$B63=""),"",VLOOKUP($B63,'TICH LUY'!$B$11:$BY$85,66,0))</f>
        <v/>
      </c>
      <c r="FH63" s="507" t="str">
        <f>IF(OR(ISNA(VLOOKUP($B63,'TICH LUY'!$B$11:$BY$85,67,0)),$B63=""),"",VLOOKUP($B63,'TICH LUY'!$B$11:$BY$85,67,0))</f>
        <v/>
      </c>
      <c r="FI63" s="507" t="str">
        <f>IF(OR(ISNA(VLOOKUP($B63,'TICH LUY'!$B$11:$BY$85,68,0)),$B63=""),"",VLOOKUP($B63,'TICH LUY'!$B$11:$BY$85,68,0))</f>
        <v/>
      </c>
      <c r="FJ63" s="507" t="str">
        <f>IF(OR(ISNA(VLOOKUP($B63,'TICH LUY'!$B$11:$BY$85,69,0)),$B63=""),"",VLOOKUP($B63,'TICH LUY'!$B$11:$BY$85,69,0))</f>
        <v/>
      </c>
      <c r="FK63" s="507" t="str">
        <f>IF(OR(ISNA(VLOOKUP($B63,'TICH LUY'!$B$11:$BY$85,70,0)),$B63=""),"",VLOOKUP($B63,'TICH LUY'!$B$11:$BY$85,70,0))</f>
        <v/>
      </c>
      <c r="FL63" s="507" t="str">
        <f>IF(OR(ISNA(VLOOKUP($B63,'TICH LUY'!$B$11:$BY$85,71,0)),$B63=""),"",VLOOKUP($B63,'TICH LUY'!$B$11:$BY$85,71,0))</f>
        <v/>
      </c>
      <c r="FM63" s="507" t="str">
        <f>IF(OR(ISNA(VLOOKUP($B63,'TICH LUY'!$B$11:$BY$85,72,0)),$B63=""),"",VLOOKUP($B63,'TICH LUY'!$B$11:$BY$85,72,0))</f>
        <v/>
      </c>
      <c r="FN63" s="507" t="str">
        <f>IF(OR(ISNA(VLOOKUP($B63,'TICH LUY'!$B$11:$BY$85,73,0)),$B63=""),"",VLOOKUP($B63,'TICH LUY'!$B$11:$BY$85,73,0))</f>
        <v/>
      </c>
      <c r="FO63" s="507" t="str">
        <f>IF(OR(ISNA(VLOOKUP($B63,'TICH LUY'!$B$11:$BY$85,74,0)),$B63=""),"",VLOOKUP($B63,'TICH LUY'!$B$11:$BY$85,74,0))</f>
        <v/>
      </c>
      <c r="FP63" s="507" t="str">
        <f>IF(OR(ISNA(VLOOKUP($B63,'TICH LUY'!$B$11:$BY$85,75,0)),$B63=""),"",VLOOKUP($B63,'TICH LUY'!$B$11:$BY$85,75,0))</f>
        <v/>
      </c>
      <c r="FQ63" s="529" t="str">
        <f>IF(OR(ISNA(VLOOKUP($B63,'TICH LUY'!$B$11:$BY$85,76,0)),$B63=""),"",VLOOKUP($B63,'TICH LUY'!$B$11:$BY$85,76,0))</f>
        <v/>
      </c>
      <c r="FR63" s="455" t="str">
        <f t="shared" si="69"/>
        <v/>
      </c>
      <c r="FS63" s="456" t="str">
        <f t="shared" si="70"/>
        <v/>
      </c>
      <c r="FT63" s="456" t="str">
        <f t="shared" si="71"/>
        <v/>
      </c>
      <c r="FU63" s="456" t="str">
        <f t="shared" si="72"/>
        <v/>
      </c>
      <c r="FV63" s="456" t="str">
        <f t="shared" si="73"/>
        <v/>
      </c>
      <c r="FW63" s="456" t="str">
        <f t="shared" si="74"/>
        <v/>
      </c>
      <c r="FX63" s="456" t="str">
        <f t="shared" si="75"/>
        <v/>
      </c>
      <c r="FY63" s="456" t="str">
        <f t="shared" si="76"/>
        <v/>
      </c>
      <c r="FZ63" s="456" t="str">
        <f t="shared" si="77"/>
        <v/>
      </c>
      <c r="GA63" s="456" t="str">
        <f t="shared" si="78"/>
        <v/>
      </c>
      <c r="GB63" s="459" t="str">
        <f t="shared" si="79"/>
        <v/>
      </c>
      <c r="GC63" s="457" t="str">
        <f t="shared" si="107"/>
        <v/>
      </c>
    </row>
    <row r="64" spans="1:185" s="221" customFormat="1" ht="15.75">
      <c r="A64" s="449" t="str">
        <f>IF(B64="","",SUBTOTAL(3,$B$11:B64))</f>
        <v/>
      </c>
      <c r="B64" s="460"/>
      <c r="C64" s="450" t="str">
        <f>IF($B64="","",VLOOKUP($B64,'DS LOP HKI'!$B$2:$F$2642,2,0))</f>
        <v/>
      </c>
      <c r="D64" s="451" t="str">
        <f>IF($B64="","",VLOOKUP($B64,'DS LOP HKI'!$B$2:$F$2642,3,0))</f>
        <v/>
      </c>
      <c r="E64" s="154"/>
      <c r="F64" s="152"/>
      <c r="G64" s="156"/>
      <c r="H64" s="181" t="str">
        <f>IF(OR($H$6="",$H$7=""),"",IF($B64="","",IF(ISNA(VLOOKUP($B64,'LT01'!$B$11:$R$75,13,FALSE)),"",IF(VLOOKUP($B64,'LT01'!$B$11:$R$75,13,FALSE)="","",VLOOKUP($B64,'LT01'!$B$11:$R$75,13,FALSE)))))</f>
        <v/>
      </c>
      <c r="I64" s="182" t="str">
        <f>IF(OR($H$6="",$H$7=""),"",IF($B64="","",IF(ISNA(VLOOKUP($B64,'LT01'!$B$11:$R$75,14,FALSE)),"",VLOOKUP($B64,'LT01'!$B$11:$R$75,14,FALSE))))</f>
        <v/>
      </c>
      <c r="J64" s="183"/>
      <c r="K64" s="182" t="str">
        <f>IF(OR($H$6="",$H$7=""),"",IF($B64="","",IF(ISNA(VLOOKUP($B64,'LT01'!$B$11:$R$75,17,FALSE)),"",VLOOKUP($B64,'LT01'!$B$11:$R$75,17,FALSE))))</f>
        <v/>
      </c>
      <c r="L64" s="185" t="str">
        <f>IF(OR($H$6="",$H$7=""),"",IF($B64="","",IF(ISNA(VLOOKUP($B64,'LT02'!$B$11:$R$75,13,FALSE)),"",IF(VLOOKUP($B64,'LT02'!$B$11:$R$75,13,FALSE)="","",VLOOKUP($B64,'LT02'!$B$11:$R$75,13,FALSE)))))</f>
        <v/>
      </c>
      <c r="M64" s="182" t="str">
        <f>IF(OR($H$6="",$H$7=""),"",IF($B64="","",IF(ISNA(VLOOKUP($B64,'LT02'!$B$11:$R$75,14,FALSE)),"",VLOOKUP($B64,'LT02'!$B$11:$R$75,14,FALSE))))</f>
        <v/>
      </c>
      <c r="N64" s="183"/>
      <c r="O64" s="182" t="str">
        <f>IF(OR($H$6="",$H$7=""),"",IF($B64="","",IF(ISNA(VLOOKUP($B64,'LT02'!$B$11:$R$75,17,FALSE)),"",VLOOKUP($B64,'LT02'!$B$11:$R$75,17,FALSE))))</f>
        <v/>
      </c>
      <c r="P64" s="185" t="str">
        <f>IF(OR($H$6="",$H$7=""),"",IF($B64="","",IF(ISNA(VLOOKUP($B64,'LT03'!$B$11:$R$75,13,FALSE)),"",IF(VLOOKUP($B64,'LT03'!$B$11:$R$75,13,FALSE)="","",VLOOKUP($B64,'LT03'!$B$11:$R$75,13,FALSE)))))</f>
        <v/>
      </c>
      <c r="Q64" s="182" t="str">
        <f>IF(OR($H$6="",$H$7=""),"",IF($B64="","",IF(ISNA(VLOOKUP($B64,'LT03'!$B$11:$R$75,14,FALSE)),"",VLOOKUP($B64,'LT03'!$B$11:$R$75,14,FALSE))))</f>
        <v/>
      </c>
      <c r="R64" s="183"/>
      <c r="S64" s="182" t="str">
        <f>IF(OR($H$6="",$H$7=""),"",IF($B64="","",IF(ISNA(VLOOKUP($B64,'LT03'!$B$11:$R$75,17,FALSE)),"",VLOOKUP($B64,'LT03'!$B$11:$R$75,17,FALSE))))</f>
        <v/>
      </c>
      <c r="T64" s="185" t="str">
        <f>IF(OR($H$6="",$H$7=""),"",IF($B64="","",IF(ISNA(VLOOKUP($B64,'LT04'!$B$11:$R$75,13,FALSE)),"",IF(VLOOKUP($B64,'LT04'!$B$11:$R$75,13,FALSE)="","",VLOOKUP($B64,'LT04'!$B$11:$R$75,13,FALSE)))))</f>
        <v/>
      </c>
      <c r="U64" s="182" t="str">
        <f>IF(OR($H$6="",$H$7=""),"",IF($B64="","",IF(ISNA(VLOOKUP($B64,'LT04'!$B$11:$R$75,14,FALSE)),"",VLOOKUP($B64,'LT04'!$B$11:$R$75,14,FALSE))))</f>
        <v/>
      </c>
      <c r="V64" s="183"/>
      <c r="W64" s="184" t="str">
        <f>IF(OR($H$6="",$H$7=""),"",IF($B64="","",IF(ISNA(VLOOKUP($B64,'LT04'!$B$11:$R$75,17,FALSE)),"",VLOOKUP($B64,'LT04'!$B$11:$R$75,17,FALSE))))</f>
        <v/>
      </c>
      <c r="X64" s="185" t="str">
        <f>IF(OR($H$6="",$H$7=""),"",IF($B64="","",IF(ISNA(VLOOKUP($B64,'LT05'!$B$11:$R$75,13,FALSE)),"",IF(VLOOKUP($B64,'LT05'!$B$11:$R$75,13,FALSE)="","",VLOOKUP($B64,'LT05'!$B$11:$R$75,13,FALSE)))))</f>
        <v/>
      </c>
      <c r="Y64" s="182" t="str">
        <f>IF(OR($H$6="",$H$7=""),"",IF($B64="","",IF(ISNA(VLOOKUP($B64,'LT05'!$B$11:$R$75,14,FALSE)),"",VLOOKUP($B64,'LT05'!$B$11:$R$75,14,FALSE))))</f>
        <v/>
      </c>
      <c r="Z64" s="183"/>
      <c r="AA64" s="182" t="str">
        <f>IF(OR($H$6="",$H$7=""),"",IF($B64="","",IF(ISNA(VLOOKUP($B64,'LT05'!$B$11:$R$75,17,FALSE)),"",VLOOKUP($B64,'LT05'!$B$11:$R$75,17,FALSE))))</f>
        <v/>
      </c>
      <c r="AB64" s="185" t="str">
        <f>IF(OR($H$6="",$H$7=""),"",IF($B64="","",IF(ISNA(VLOOKUP($B64,'LT06'!$B$11:$R$75,13,FALSE)),"",IF(VLOOKUP($B64,'LT06'!$B$11:$R$75,13,FALSE)="","",VLOOKUP($B64,'LT06'!$B$11:$R$75,13,FALSE)))))</f>
        <v/>
      </c>
      <c r="AC64" s="182" t="str">
        <f>IF(OR($H$6="",$H$7=""),"",IF($B64="","",IF(ISNA(VLOOKUP($B64,'LT06'!$B$11:$R$75,14,FALSE)),"",VLOOKUP($B64,'LT06'!$B$11:$R$75,14,FALSE))))</f>
        <v/>
      </c>
      <c r="AD64" s="183"/>
      <c r="AE64" s="182" t="str">
        <f>IF(OR($H$6="",$H$7=""),"",IF($B64="","",IF(ISNA(VLOOKUP($B64,'LT06'!$B$11:$R$75,17,FALSE)),"",VLOOKUP($B64,'LT06'!$B$11:$R$75,17,FALSE))))</f>
        <v/>
      </c>
      <c r="AF64" s="185" t="str">
        <f>IF(OR($H$6="",$H$7=""),"",IF($B64="","",IF(ISNA(VLOOKUP($B64,'LT07'!$B$11:$R$75,13,FALSE)),"",IF(VLOOKUP($B64,'LT07'!$B$11:$R$75,13,FALSE)="","",VLOOKUP($B64,'LT07'!$B$11:$R$75,13,FALSE)))))</f>
        <v/>
      </c>
      <c r="AG64" s="182" t="str">
        <f>IF(OR($H$6="",$H$7=""),"",IF($B64="","",IF(ISNA(VLOOKUP($B64,'LT07'!$B$11:$R$75,14,FALSE)),"",VLOOKUP($B64,'LT07'!$B$11:$R$75,14,FALSE))))</f>
        <v/>
      </c>
      <c r="AH64" s="183"/>
      <c r="AI64" s="182" t="str">
        <f>IF(OR($H$6="",$H$7=""),"",IF($B64="","",IF(ISNA(VLOOKUP($B64,'LT07'!$B$11:$R$75,17,FALSE)),"",VLOOKUP($B64,'LT07'!$B$11:$R$75,17,FALSE))))</f>
        <v/>
      </c>
      <c r="AJ64" s="185" t="str">
        <f>IF(OR($H$6="",$H$7=""),"",IF($B64="","",IF(ISNA(VLOOKUP($B64,'LT08'!$B$11:$R$75,13,FALSE)),"",IF(VLOOKUP($B64,'LT08'!$B$11:$R$75,13,FALSE)="","",VLOOKUP($B64,'LT08'!$B$11:$R$75,13,FALSE)))))</f>
        <v/>
      </c>
      <c r="AK64" s="182" t="str">
        <f>IF(OR($H$6="",$H$7=""),"",IF($B64="","",IF(ISNA(VLOOKUP($B64,'LT08'!$B$11:$R$75,14,FALSE)),"",VLOOKUP($B64,'LT08'!$B$11:$R$75,14,FALSE))))</f>
        <v/>
      </c>
      <c r="AL64" s="183"/>
      <c r="AM64" s="182" t="str">
        <f>IF(OR($H$6="",$H$7=""),"",IF($B64="","",IF(ISNA(VLOOKUP($B64,'LT08'!$B$11:$R$75,17,FALSE)),"",VLOOKUP($B64,'LT08'!$B$11:$R$75,17,FALSE))))</f>
        <v/>
      </c>
      <c r="AN64" s="185" t="str">
        <f>IF(OR($H$6="",$H$7=""),"",IF($B64="","",IF(ISNA(VLOOKUP($B64,'LT09'!$B$11:$R$75,13,FALSE)),"",IF(VLOOKUP($B64,'LT09'!$B$11:$R$75,13,FALSE)="","",VLOOKUP($B64,'LT09'!$B$11:$R$75,13,FALSE)))))</f>
        <v/>
      </c>
      <c r="AO64" s="182" t="str">
        <f>IF(OR($H$6="",$H$7=""),"",IF($B64="","",IF(ISNA(VLOOKUP($B64,'LT09'!$B$11:$R$75,14,FALSE)),"",VLOOKUP($B64,'LT09'!$B$11:$R$75,14,FALSE))))</f>
        <v/>
      </c>
      <c r="AP64" s="183"/>
      <c r="AQ64" s="182" t="str">
        <f>IF(OR($H$6="",$H$7=""),"",IF($B64="","",IF(ISNA(VLOOKUP($B64,'LT09'!$B$11:$R$75,17,FALSE)),"",VLOOKUP($B64,'LT09'!$B$11:$R$75,17,FALSE))))</f>
        <v/>
      </c>
      <c r="AR64" s="186"/>
      <c r="AS64" s="182" t="str">
        <f>IF(OR($H$6="",$H$7=""),"",IF($B64="","",IF(ISNA(VLOOKUP($B64,'TH01'!$B$11:$R$75,14,FALSE)),"",VLOOKUP($B64,'TH01'!$B$11:$R$75,14,FALSE))))</f>
        <v/>
      </c>
      <c r="AT64" s="183"/>
      <c r="AU64" s="187"/>
      <c r="AV64" s="186"/>
      <c r="AW64" s="182" t="str">
        <f>IF(OR($H$6="",$H$7=""),"",IF($B64="","",IF(ISNA(VLOOKUP($B64,'TH02'!$B$11:$R$75,14,FALSE)),"",VLOOKUP($B64,'TH02'!$B$11:$R$75,14,FALSE))))</f>
        <v/>
      </c>
      <c r="AX64" s="183"/>
      <c r="AY64" s="187"/>
      <c r="AZ64" s="54" t="str">
        <f t="shared" ref="AZ64:AZ75" si="108">CP64</f>
        <v/>
      </c>
      <c r="BA64" s="54" t="str">
        <f t="shared" si="0"/>
        <v/>
      </c>
      <c r="BB64" s="70"/>
      <c r="BC64" s="52" t="str">
        <f t="shared" si="25"/>
        <v/>
      </c>
      <c r="BD64" s="52" t="str">
        <f t="shared" si="26"/>
        <v/>
      </c>
      <c r="BE64" s="52" t="str">
        <f t="shared" si="86"/>
        <v/>
      </c>
      <c r="BF64" s="149" t="str">
        <f t="shared" si="87"/>
        <v/>
      </c>
      <c r="BG64" s="52" t="str">
        <f t="shared" si="88"/>
        <v/>
      </c>
      <c r="BH64" s="52" t="str">
        <f t="shared" si="89"/>
        <v/>
      </c>
      <c r="BI64" s="52" t="str">
        <f t="shared" si="90"/>
        <v/>
      </c>
      <c r="BJ64" s="52" t="str">
        <f t="shared" si="91"/>
        <v/>
      </c>
      <c r="BK64" s="54" t="str">
        <f t="shared" si="92"/>
        <v/>
      </c>
      <c r="BL64" s="54" t="str">
        <f t="shared" si="93"/>
        <v/>
      </c>
      <c r="BM64" s="54" t="str">
        <f t="shared" si="94"/>
        <v/>
      </c>
      <c r="BN64" s="54" t="str">
        <f t="shared" si="95"/>
        <v/>
      </c>
      <c r="BO64" s="70"/>
      <c r="BP64" s="52" t="str">
        <f>IF(ISNA(VLOOKUP(B64,'TICH LUY'!B:D,2,0)),"",VLOOKUP(B64,'TICH LUY'!B:D,2,0)+BI64)</f>
        <v/>
      </c>
      <c r="BQ64" s="52" t="str">
        <f>IF(ISNA(VLOOKUP(B64,'TICH LUY'!B:D,3,0)),"",VLOOKUP(B64,'TICH LUY'!B:D,3,0)+BJ64)</f>
        <v/>
      </c>
      <c r="BR64" s="40" t="str">
        <f t="shared" si="96"/>
        <v/>
      </c>
      <c r="BS64" s="452" t="str">
        <f t="shared" si="97"/>
        <v/>
      </c>
      <c r="BT64" s="452" t="str">
        <f t="shared" si="98"/>
        <v/>
      </c>
      <c r="BU64" s="452" t="str">
        <f t="shared" si="99"/>
        <v/>
      </c>
      <c r="BV64" s="452" t="str">
        <f t="shared" si="100"/>
        <v/>
      </c>
      <c r="BW64" s="452" t="str">
        <f t="shared" si="101"/>
        <v/>
      </c>
      <c r="BX64" s="452" t="str">
        <f t="shared" si="102"/>
        <v/>
      </c>
      <c r="BY64" s="452" t="str">
        <f t="shared" si="103"/>
        <v/>
      </c>
      <c r="BZ64" s="452" t="str">
        <f t="shared" si="28"/>
        <v/>
      </c>
      <c r="CA64" s="452" t="str">
        <f t="shared" si="29"/>
        <v/>
      </c>
      <c r="CB64" s="452" t="str">
        <f t="shared" si="30"/>
        <v/>
      </c>
      <c r="CC64" s="452" t="str">
        <f t="shared" si="104"/>
        <v/>
      </c>
      <c r="CD64" s="40" t="str">
        <f t="shared" si="31"/>
        <v/>
      </c>
      <c r="CE64" s="453" t="str">
        <f t="shared" ref="CE64:CE75" si="109">I64</f>
        <v/>
      </c>
      <c r="CF64" s="452" t="str">
        <f t="shared" si="32"/>
        <v/>
      </c>
      <c r="CG64" s="452" t="str">
        <f t="shared" ref="CG64:CG75" si="110">Q64</f>
        <v/>
      </c>
      <c r="CH64" s="452" t="str">
        <f t="shared" ref="CH64:CH75" si="111">U64</f>
        <v/>
      </c>
      <c r="CI64" s="452" t="str">
        <f t="shared" ref="CI64:CI75" si="112">Y64</f>
        <v/>
      </c>
      <c r="CJ64" s="452" t="str">
        <f t="shared" ref="CJ64:CJ75" si="113">AC64</f>
        <v/>
      </c>
      <c r="CK64" s="452" t="str">
        <f t="shared" ref="CK64:CK75" si="114">AG64</f>
        <v/>
      </c>
      <c r="CL64" s="452" t="str">
        <f t="shared" si="33"/>
        <v/>
      </c>
      <c r="CM64" s="452" t="str">
        <f t="shared" si="34"/>
        <v/>
      </c>
      <c r="CN64" s="452" t="str">
        <f t="shared" si="35"/>
        <v/>
      </c>
      <c r="CO64" s="452" t="str">
        <f t="shared" si="105"/>
        <v/>
      </c>
      <c r="CP64" s="454" t="str">
        <f t="shared" si="36"/>
        <v/>
      </c>
      <c r="CQ64" s="527" t="str">
        <f>IF(OR(ISNA(VLOOKUP($B64,'TICH LUY'!$B$11:$BY$85,54,0)),$B64=""),"",VLOOKUP($B64,'TICH LUY'!$B$11:$BY$85,54,0))</f>
        <v/>
      </c>
      <c r="CR64" s="507" t="str">
        <f>IF(OR(ISNA(VLOOKUP($B64,'TICH LUY'!$B$11:$BY$85,55,0)),$B64=""),"",VLOOKUP($B64,'TICH LUY'!$B$11:$BY$85,55,0))</f>
        <v/>
      </c>
      <c r="CS64" s="507" t="str">
        <f>IF(OR(ISNA(VLOOKUP($B64,'TICH LUY'!$B$11:$BY$85,56,0)),$B64=""),"",VLOOKUP($B64,'TICH LUY'!$B$11:$BY$85,56,0))</f>
        <v/>
      </c>
      <c r="CT64" s="507" t="str">
        <f>IF(OR(ISNA(VLOOKUP($B64,'TICH LUY'!$B$11:$BY$85,57,0)),$B64=""),"",VLOOKUP($B64,'TICH LUY'!$B$11:$BY$85,57,0))</f>
        <v/>
      </c>
      <c r="CU64" s="507" t="str">
        <f>IF(OR(ISNA(VLOOKUP($B64,'TICH LUY'!$B$11:$BY$85,58,0)),$B64=""),"",VLOOKUP($B64,'TICH LUY'!$B$11:$BY$85,58,0))</f>
        <v/>
      </c>
      <c r="CV64" s="507" t="str">
        <f>IF(OR(ISNA(VLOOKUP($B64,'TICH LUY'!$B$11:$BY$85,59,0)),$B64=""),"",VLOOKUP($B64,'TICH LUY'!$B$11:$BY$85,59,0))</f>
        <v/>
      </c>
      <c r="CW64" s="507" t="str">
        <f>IF(OR(ISNA(VLOOKUP($B64,'TICH LUY'!$B$11:$BY$85,60,0)),$B64=""),"",VLOOKUP($B64,'TICH LUY'!$B$11:$BY$85,60,0))</f>
        <v/>
      </c>
      <c r="CX64" s="507" t="str">
        <f>IF(OR(ISNA(VLOOKUP($B64,'TICH LUY'!$B$11:$BY$85,61,0)),$B64=""),"",VLOOKUP($B64,'TICH LUY'!$B$11:$BY$85,61,0))</f>
        <v/>
      </c>
      <c r="CY64" s="507" t="str">
        <f>IF(OR(ISNA(VLOOKUP($B64,'TICH LUY'!$B$11:$BY$85,62,0)),$B64=""),"",VLOOKUP($B64,'TICH LUY'!$B$11:$BY$85,62,0))</f>
        <v/>
      </c>
      <c r="CZ64" s="507" t="str">
        <f>IF(OR(ISNA(VLOOKUP($B64,'TICH LUY'!$B$11:$BY$85,63,0)),$B64=""),"",VLOOKUP($B64,'TICH LUY'!$B$11:$BY$85,63,0))</f>
        <v/>
      </c>
      <c r="DA64" s="507" t="str">
        <f>IF(OR(ISNA(VLOOKUP($B64,'TICH LUY'!$B$11:$BY$85,64,0)),$B64=""),"",VLOOKUP($B64,'TICH LUY'!$B$11:$BY$85,64,0))</f>
        <v/>
      </c>
      <c r="DB64" s="507" t="str">
        <f>IF(OR(ISNA(VLOOKUP($B64,'TICH LUY'!$B$11:$BY$85,65,0)),$B64=""),"",VLOOKUP($B64,'TICH LUY'!$B$11:$BY$85,65,0))</f>
        <v/>
      </c>
      <c r="DC64" s="507" t="str">
        <f>IF(OR(ISNA(VLOOKUP($B64,'TICH LUY'!$B$11:$BY$85,66,0)),$B64=""),"",VLOOKUP($B64,'TICH LUY'!$B$11:$BY$85,66,0))</f>
        <v/>
      </c>
      <c r="DD64" s="507" t="str">
        <f>IF(OR(ISNA(VLOOKUP($B64,'TICH LUY'!$B$11:$BY$85,67,0)),$B64=""),"",VLOOKUP($B64,'TICH LUY'!$B$11:$BY$85,67,0))</f>
        <v/>
      </c>
      <c r="DE64" s="507" t="str">
        <f>IF(OR(ISNA(VLOOKUP($B64,'TICH LUY'!$B$11:$BY$85,68,0)),$B64=""),"",VLOOKUP($B64,'TICH LUY'!$B$11:$BY$85,68,0))</f>
        <v/>
      </c>
      <c r="DF64" s="507" t="str">
        <f>IF(OR(ISNA(VLOOKUP($B64,'TICH LUY'!$B$11:$BY$85,69,0)),$B64=""),"",VLOOKUP($B64,'TICH LUY'!$B$11:$BY$85,69,0))</f>
        <v/>
      </c>
      <c r="DG64" s="507" t="str">
        <f>IF(OR(ISNA(VLOOKUP($B64,'TICH LUY'!$B$11:$BY$85,70,0)),$B64=""),"",VLOOKUP($B64,'TICH LUY'!$B$11:$BY$85,70,0))</f>
        <v/>
      </c>
      <c r="DH64" s="507" t="str">
        <f>IF(OR(ISNA(VLOOKUP($B64,'TICH LUY'!$B$11:$BY$85,71,0)),$B64=""),"",VLOOKUP($B64,'TICH LUY'!$B$11:$BY$85,71,0))</f>
        <v/>
      </c>
      <c r="DI64" s="507" t="str">
        <f>IF(OR(ISNA(VLOOKUP($B64,'TICH LUY'!$B$11:$BY$85,72,0)),$B64=""),"",VLOOKUP($B64,'TICH LUY'!$B$11:$BY$85,72,0))</f>
        <v/>
      </c>
      <c r="DJ64" s="507" t="str">
        <f>IF(OR(ISNA(VLOOKUP($B64,'TICH LUY'!$B$11:$BY$85,73,0)),$B64=""),"",VLOOKUP($B64,'TICH LUY'!$B$11:$BY$85,73,0))</f>
        <v/>
      </c>
      <c r="DK64" s="507" t="str">
        <f>IF(OR(ISNA(VLOOKUP($B64,'TICH LUY'!$B$11:$BY$85,74,0)),$B64=""),"",VLOOKUP($B64,'TICH LUY'!$B$11:$BY$85,74,0))</f>
        <v/>
      </c>
      <c r="DL64" s="507" t="str">
        <f>IF(OR(ISNA(VLOOKUP($B64,'TICH LUY'!$B$11:$BY$85,75,0)),$B64=""),"",VLOOKUP($B64,'TICH LUY'!$B$11:$BY$85,75,0))</f>
        <v/>
      </c>
      <c r="DM64" s="529" t="str">
        <f>IF(OR(ISNA(VLOOKUP($B64,'TICH LUY'!$B$11:$BY$85,76,0)),$B64=""),"",VLOOKUP($B64,'TICH LUY'!$B$11:$BY$85,76,0))</f>
        <v/>
      </c>
      <c r="DN64" s="455" t="str">
        <f t="shared" si="37"/>
        <v/>
      </c>
      <c r="DO64" s="456" t="str">
        <f t="shared" si="38"/>
        <v/>
      </c>
      <c r="DP64" s="456" t="str">
        <f t="shared" si="39"/>
        <v/>
      </c>
      <c r="DQ64" s="456" t="str">
        <f t="shared" si="40"/>
        <v/>
      </c>
      <c r="DR64" s="456" t="str">
        <f t="shared" si="41"/>
        <v/>
      </c>
      <c r="DS64" s="456" t="str">
        <f t="shared" si="42"/>
        <v/>
      </c>
      <c r="DT64" s="456" t="str">
        <f t="shared" si="43"/>
        <v/>
      </c>
      <c r="DU64" s="456" t="str">
        <f t="shared" si="44"/>
        <v/>
      </c>
      <c r="DV64" s="456" t="str">
        <f t="shared" si="45"/>
        <v/>
      </c>
      <c r="DW64" s="456" t="str">
        <f t="shared" si="46"/>
        <v/>
      </c>
      <c r="DX64" s="456" t="str">
        <f t="shared" si="47"/>
        <v/>
      </c>
      <c r="DY64" s="457" t="str">
        <f t="shared" si="48"/>
        <v/>
      </c>
      <c r="DZ64" s="453" t="str">
        <f t="shared" ref="DZ64:DZ75" si="115">K64</f>
        <v/>
      </c>
      <c r="EA64" s="452" t="str">
        <f t="shared" si="50"/>
        <v/>
      </c>
      <c r="EB64" s="452" t="str">
        <f t="shared" ref="EB64:EB75" si="116">S64</f>
        <v/>
      </c>
      <c r="EC64" s="452" t="str">
        <f t="shared" ref="EC64:EC75" si="117">W64</f>
        <v/>
      </c>
      <c r="ED64" s="452" t="str">
        <f t="shared" ref="ED64:ED75" si="118">AA64</f>
        <v/>
      </c>
      <c r="EE64" s="452" t="str">
        <f t="shared" ref="EE64:EE75" si="119">AE64</f>
        <v/>
      </c>
      <c r="EF64" s="452" t="str">
        <f t="shared" ref="EF64:EF75" si="120">AI64</f>
        <v/>
      </c>
      <c r="EG64" s="452" t="str">
        <f t="shared" si="56"/>
        <v/>
      </c>
      <c r="EH64" s="452" t="str">
        <f t="shared" si="57"/>
        <v/>
      </c>
      <c r="EI64" s="453" t="str">
        <f t="shared" si="58"/>
        <v/>
      </c>
      <c r="EJ64" s="452" t="str">
        <f t="shared" si="59"/>
        <v/>
      </c>
      <c r="EK64" s="452" t="str">
        <f t="shared" si="60"/>
        <v/>
      </c>
      <c r="EL64" s="452" t="str">
        <f t="shared" si="61"/>
        <v/>
      </c>
      <c r="EM64" s="452" t="str">
        <f t="shared" si="62"/>
        <v/>
      </c>
      <c r="EN64" s="452" t="str">
        <f t="shared" si="63"/>
        <v/>
      </c>
      <c r="EO64" s="452" t="str">
        <f t="shared" si="64"/>
        <v/>
      </c>
      <c r="EP64" s="452" t="str">
        <f t="shared" si="65"/>
        <v/>
      </c>
      <c r="EQ64" s="452" t="str">
        <f t="shared" si="66"/>
        <v/>
      </c>
      <c r="ER64" s="452" t="str">
        <f t="shared" si="67"/>
        <v/>
      </c>
      <c r="ES64" s="452" t="str">
        <f t="shared" si="106"/>
        <v/>
      </c>
      <c r="ET64" s="458" t="str">
        <f t="shared" si="68"/>
        <v/>
      </c>
      <c r="EU64" s="527" t="str">
        <f>IF(OR(ISNA(VLOOKUP($B64,'TICH LUY'!$B$11:$BY$85,54,0)),$B64=""),"",VLOOKUP($B64,'TICH LUY'!$B$11:$BY$85,54,0))</f>
        <v/>
      </c>
      <c r="EV64" s="507" t="str">
        <f>IF(OR(ISNA(VLOOKUP($B64,'TICH LUY'!$B$11:$BY$85,55,0)),$B64=""),"",VLOOKUP($B64,'TICH LUY'!$B$11:$BY$85,55,0))</f>
        <v/>
      </c>
      <c r="EW64" s="507" t="str">
        <f>IF(OR(ISNA(VLOOKUP($B64,'TICH LUY'!$B$11:$BY$85,56,0)),$B64=""),"",VLOOKUP($B64,'TICH LUY'!$B$11:$BY$85,56,0))</f>
        <v/>
      </c>
      <c r="EX64" s="507" t="str">
        <f>IF(OR(ISNA(VLOOKUP($B64,'TICH LUY'!$B$11:$BY$85,57,0)),$B64=""),"",VLOOKUP($B64,'TICH LUY'!$B$11:$BY$85,57,0))</f>
        <v/>
      </c>
      <c r="EY64" s="507" t="str">
        <f>IF(OR(ISNA(VLOOKUP($B64,'TICH LUY'!$B$11:$BY$85,58,0)),$B64=""),"",VLOOKUP($B64,'TICH LUY'!$B$11:$BY$85,58,0))</f>
        <v/>
      </c>
      <c r="EZ64" s="507" t="str">
        <f>IF(OR(ISNA(VLOOKUP($B64,'TICH LUY'!$B$11:$BY$85,59,0)),$B64=""),"",VLOOKUP($B64,'TICH LUY'!$B$11:$BY$85,59,0))</f>
        <v/>
      </c>
      <c r="FA64" s="507" t="str">
        <f>IF(OR(ISNA(VLOOKUP($B64,'TICH LUY'!$B$11:$BY$85,60,0)),$B64=""),"",VLOOKUP($B64,'TICH LUY'!$B$11:$BY$85,60,0))</f>
        <v/>
      </c>
      <c r="FB64" s="507" t="str">
        <f>IF(OR(ISNA(VLOOKUP($B64,'TICH LUY'!$B$11:$BY$85,61,0)),$B64=""),"",VLOOKUP($B64,'TICH LUY'!$B$11:$BY$85,61,0))</f>
        <v/>
      </c>
      <c r="FC64" s="507" t="str">
        <f>IF(OR(ISNA(VLOOKUP($B64,'TICH LUY'!$B$11:$BY$85,62,0)),$B64=""),"",VLOOKUP($B64,'TICH LUY'!$B$11:$BY$85,62,0))</f>
        <v/>
      </c>
      <c r="FD64" s="507" t="str">
        <f>IF(OR(ISNA(VLOOKUP($B64,'TICH LUY'!$B$11:$BY$85,63,0)),$B64=""),"",VLOOKUP($B64,'TICH LUY'!$B$11:$BY$85,63,0))</f>
        <v/>
      </c>
      <c r="FE64" s="507" t="str">
        <f>IF(OR(ISNA(VLOOKUP($B64,'TICH LUY'!$B$11:$BY$85,64,0)),$B64=""),"",VLOOKUP($B64,'TICH LUY'!$B$11:$BY$85,64,0))</f>
        <v/>
      </c>
      <c r="FF64" s="507" t="str">
        <f>IF(OR(ISNA(VLOOKUP($B64,'TICH LUY'!$B$11:$BY$85,65,0)),$B64=""),"",VLOOKUP($B64,'TICH LUY'!$B$11:$BY$85,65,0))</f>
        <v/>
      </c>
      <c r="FG64" s="507" t="str">
        <f>IF(OR(ISNA(VLOOKUP($B64,'TICH LUY'!$B$11:$BY$85,66,0)),$B64=""),"",VLOOKUP($B64,'TICH LUY'!$B$11:$BY$85,66,0))</f>
        <v/>
      </c>
      <c r="FH64" s="507" t="str">
        <f>IF(OR(ISNA(VLOOKUP($B64,'TICH LUY'!$B$11:$BY$85,67,0)),$B64=""),"",VLOOKUP($B64,'TICH LUY'!$B$11:$BY$85,67,0))</f>
        <v/>
      </c>
      <c r="FI64" s="507" t="str">
        <f>IF(OR(ISNA(VLOOKUP($B64,'TICH LUY'!$B$11:$BY$85,68,0)),$B64=""),"",VLOOKUP($B64,'TICH LUY'!$B$11:$BY$85,68,0))</f>
        <v/>
      </c>
      <c r="FJ64" s="507" t="str">
        <f>IF(OR(ISNA(VLOOKUP($B64,'TICH LUY'!$B$11:$BY$85,69,0)),$B64=""),"",VLOOKUP($B64,'TICH LUY'!$B$11:$BY$85,69,0))</f>
        <v/>
      </c>
      <c r="FK64" s="507" t="str">
        <f>IF(OR(ISNA(VLOOKUP($B64,'TICH LUY'!$B$11:$BY$85,70,0)),$B64=""),"",VLOOKUP($B64,'TICH LUY'!$B$11:$BY$85,70,0))</f>
        <v/>
      </c>
      <c r="FL64" s="507" t="str">
        <f>IF(OR(ISNA(VLOOKUP($B64,'TICH LUY'!$B$11:$BY$85,71,0)),$B64=""),"",VLOOKUP($B64,'TICH LUY'!$B$11:$BY$85,71,0))</f>
        <v/>
      </c>
      <c r="FM64" s="507" t="str">
        <f>IF(OR(ISNA(VLOOKUP($B64,'TICH LUY'!$B$11:$BY$85,72,0)),$B64=""),"",VLOOKUP($B64,'TICH LUY'!$B$11:$BY$85,72,0))</f>
        <v/>
      </c>
      <c r="FN64" s="507" t="str">
        <f>IF(OR(ISNA(VLOOKUP($B64,'TICH LUY'!$B$11:$BY$85,73,0)),$B64=""),"",VLOOKUP($B64,'TICH LUY'!$B$11:$BY$85,73,0))</f>
        <v/>
      </c>
      <c r="FO64" s="507" t="str">
        <f>IF(OR(ISNA(VLOOKUP($B64,'TICH LUY'!$B$11:$BY$85,74,0)),$B64=""),"",VLOOKUP($B64,'TICH LUY'!$B$11:$BY$85,74,0))</f>
        <v/>
      </c>
      <c r="FP64" s="507" t="str">
        <f>IF(OR(ISNA(VLOOKUP($B64,'TICH LUY'!$B$11:$BY$85,75,0)),$B64=""),"",VLOOKUP($B64,'TICH LUY'!$B$11:$BY$85,75,0))</f>
        <v/>
      </c>
      <c r="FQ64" s="529" t="str">
        <f>IF(OR(ISNA(VLOOKUP($B64,'TICH LUY'!$B$11:$BY$85,76,0)),$B64=""),"",VLOOKUP($B64,'TICH LUY'!$B$11:$BY$85,76,0))</f>
        <v/>
      </c>
      <c r="FR64" s="455" t="str">
        <f t="shared" si="69"/>
        <v/>
      </c>
      <c r="FS64" s="456" t="str">
        <f t="shared" si="70"/>
        <v/>
      </c>
      <c r="FT64" s="456" t="str">
        <f t="shared" si="71"/>
        <v/>
      </c>
      <c r="FU64" s="456" t="str">
        <f t="shared" si="72"/>
        <v/>
      </c>
      <c r="FV64" s="456" t="str">
        <f t="shared" si="73"/>
        <v/>
      </c>
      <c r="FW64" s="456" t="str">
        <f t="shared" si="74"/>
        <v/>
      </c>
      <c r="FX64" s="456" t="str">
        <f t="shared" si="75"/>
        <v/>
      </c>
      <c r="FY64" s="456" t="str">
        <f t="shared" si="76"/>
        <v/>
      </c>
      <c r="FZ64" s="456" t="str">
        <f t="shared" si="77"/>
        <v/>
      </c>
      <c r="GA64" s="456" t="str">
        <f t="shared" si="78"/>
        <v/>
      </c>
      <c r="GB64" s="459" t="str">
        <f t="shared" si="79"/>
        <v/>
      </c>
      <c r="GC64" s="457" t="str">
        <f t="shared" si="107"/>
        <v/>
      </c>
    </row>
    <row r="65" spans="1:202" s="221" customFormat="1" ht="15.75">
      <c r="A65" s="449" t="str">
        <f>IF(B65="","",SUBTOTAL(3,$B$11:B65))</f>
        <v/>
      </c>
      <c r="B65" s="460"/>
      <c r="C65" s="450" t="str">
        <f>IF($B65="","",VLOOKUP($B65,'DS LOP HKI'!$B$2:$F$2642,2,0))</f>
        <v/>
      </c>
      <c r="D65" s="451" t="str">
        <f>IF($B65="","",VLOOKUP($B65,'DS LOP HKI'!$B$2:$F$2642,3,0))</f>
        <v/>
      </c>
      <c r="E65" s="154"/>
      <c r="F65" s="152"/>
      <c r="G65" s="156"/>
      <c r="H65" s="181" t="str">
        <f>IF(OR($H$6="",$H$7=""),"",IF($B65="","",IF(ISNA(VLOOKUP($B65,'LT01'!$B$11:$R$75,13,FALSE)),"",IF(VLOOKUP($B65,'LT01'!$B$11:$R$75,13,FALSE)="","",VLOOKUP($B65,'LT01'!$B$11:$R$75,13,FALSE)))))</f>
        <v/>
      </c>
      <c r="I65" s="182" t="str">
        <f>IF(OR($H$6="",$H$7=""),"",IF($B65="","",IF(ISNA(VLOOKUP($B65,'LT01'!$B$11:$R$75,14,FALSE)),"",VLOOKUP($B65,'LT01'!$B$11:$R$75,14,FALSE))))</f>
        <v/>
      </c>
      <c r="J65" s="183"/>
      <c r="K65" s="182" t="str">
        <f>IF(OR($H$6="",$H$7=""),"",IF($B65="","",IF(ISNA(VLOOKUP($B65,'LT01'!$B$11:$R$75,17,FALSE)),"",VLOOKUP($B65,'LT01'!$B$11:$R$75,17,FALSE))))</f>
        <v/>
      </c>
      <c r="L65" s="185" t="str">
        <f>IF(OR($H$6="",$H$7=""),"",IF($B65="","",IF(ISNA(VLOOKUP($B65,'LT02'!$B$11:$R$75,13,FALSE)),"",IF(VLOOKUP($B65,'LT02'!$B$11:$R$75,13,FALSE)="","",VLOOKUP($B65,'LT02'!$B$11:$R$75,13,FALSE)))))</f>
        <v/>
      </c>
      <c r="M65" s="182" t="str">
        <f>IF(OR($H$6="",$H$7=""),"",IF($B65="","",IF(ISNA(VLOOKUP($B65,'LT02'!$B$11:$R$75,14,FALSE)),"",VLOOKUP($B65,'LT02'!$B$11:$R$75,14,FALSE))))</f>
        <v/>
      </c>
      <c r="N65" s="183"/>
      <c r="O65" s="182" t="str">
        <f>IF(OR($H$6="",$H$7=""),"",IF($B65="","",IF(ISNA(VLOOKUP($B65,'LT02'!$B$11:$R$75,17,FALSE)),"",VLOOKUP($B65,'LT02'!$B$11:$R$75,17,FALSE))))</f>
        <v/>
      </c>
      <c r="P65" s="185" t="str">
        <f>IF(OR($H$6="",$H$7=""),"",IF($B65="","",IF(ISNA(VLOOKUP($B65,'LT03'!$B$11:$R$75,13,FALSE)),"",IF(VLOOKUP($B65,'LT03'!$B$11:$R$75,13,FALSE)="","",VLOOKUP($B65,'LT03'!$B$11:$R$75,13,FALSE)))))</f>
        <v/>
      </c>
      <c r="Q65" s="182" t="str">
        <f>IF(OR($H$6="",$H$7=""),"",IF($B65="","",IF(ISNA(VLOOKUP($B65,'LT03'!$B$11:$R$75,14,FALSE)),"",VLOOKUP($B65,'LT03'!$B$11:$R$75,14,FALSE))))</f>
        <v/>
      </c>
      <c r="R65" s="183"/>
      <c r="S65" s="182" t="str">
        <f>IF(OR($H$6="",$H$7=""),"",IF($B65="","",IF(ISNA(VLOOKUP($B65,'LT03'!$B$11:$R$75,17,FALSE)),"",VLOOKUP($B65,'LT03'!$B$11:$R$75,17,FALSE))))</f>
        <v/>
      </c>
      <c r="T65" s="185" t="str">
        <f>IF(OR($H$6="",$H$7=""),"",IF($B65="","",IF(ISNA(VLOOKUP($B65,'LT04'!$B$11:$R$75,13,FALSE)),"",IF(VLOOKUP($B65,'LT04'!$B$11:$R$75,13,FALSE)="","",VLOOKUP($B65,'LT04'!$B$11:$R$75,13,FALSE)))))</f>
        <v/>
      </c>
      <c r="U65" s="182" t="str">
        <f>IF(OR($H$6="",$H$7=""),"",IF($B65="","",IF(ISNA(VLOOKUP($B65,'LT04'!$B$11:$R$75,14,FALSE)),"",VLOOKUP($B65,'LT04'!$B$11:$R$75,14,FALSE))))</f>
        <v/>
      </c>
      <c r="V65" s="183"/>
      <c r="W65" s="184" t="str">
        <f>IF(OR($H$6="",$H$7=""),"",IF($B65="","",IF(ISNA(VLOOKUP($B65,'LT04'!$B$11:$R$75,17,FALSE)),"",VLOOKUP($B65,'LT04'!$B$11:$R$75,17,FALSE))))</f>
        <v/>
      </c>
      <c r="X65" s="185" t="str">
        <f>IF(OR($H$6="",$H$7=""),"",IF($B65="","",IF(ISNA(VLOOKUP($B65,'LT05'!$B$11:$R$75,13,FALSE)),"",IF(VLOOKUP($B65,'LT05'!$B$11:$R$75,13,FALSE)="","",VLOOKUP($B65,'LT05'!$B$11:$R$75,13,FALSE)))))</f>
        <v/>
      </c>
      <c r="Y65" s="182" t="str">
        <f>IF(OR($H$6="",$H$7=""),"",IF($B65="","",IF(ISNA(VLOOKUP($B65,'LT05'!$B$11:$R$75,14,FALSE)),"",VLOOKUP($B65,'LT05'!$B$11:$R$75,14,FALSE))))</f>
        <v/>
      </c>
      <c r="Z65" s="183"/>
      <c r="AA65" s="182" t="str">
        <f>IF(OR($H$6="",$H$7=""),"",IF($B65="","",IF(ISNA(VLOOKUP($B65,'LT05'!$B$11:$R$75,17,FALSE)),"",VLOOKUP($B65,'LT05'!$B$11:$R$75,17,FALSE))))</f>
        <v/>
      </c>
      <c r="AB65" s="185" t="str">
        <f>IF(OR($H$6="",$H$7=""),"",IF($B65="","",IF(ISNA(VLOOKUP($B65,'LT06'!$B$11:$R$75,13,FALSE)),"",IF(VLOOKUP($B65,'LT06'!$B$11:$R$75,13,FALSE)="","",VLOOKUP($B65,'LT06'!$B$11:$R$75,13,FALSE)))))</f>
        <v/>
      </c>
      <c r="AC65" s="182" t="str">
        <f>IF(OR($H$6="",$H$7=""),"",IF($B65="","",IF(ISNA(VLOOKUP($B65,'LT06'!$B$11:$R$75,14,FALSE)),"",VLOOKUP($B65,'LT06'!$B$11:$R$75,14,FALSE))))</f>
        <v/>
      </c>
      <c r="AD65" s="183"/>
      <c r="AE65" s="182" t="str">
        <f>IF(OR($H$6="",$H$7=""),"",IF($B65="","",IF(ISNA(VLOOKUP($B65,'LT06'!$B$11:$R$75,17,FALSE)),"",VLOOKUP($B65,'LT06'!$B$11:$R$75,17,FALSE))))</f>
        <v/>
      </c>
      <c r="AF65" s="185" t="str">
        <f>IF(OR($H$6="",$H$7=""),"",IF($B65="","",IF(ISNA(VLOOKUP($B65,'LT07'!$B$11:$R$75,13,FALSE)),"",IF(VLOOKUP($B65,'LT07'!$B$11:$R$75,13,FALSE)="","",VLOOKUP($B65,'LT07'!$B$11:$R$75,13,FALSE)))))</f>
        <v/>
      </c>
      <c r="AG65" s="182" t="str">
        <f>IF(OR($H$6="",$H$7=""),"",IF($B65="","",IF(ISNA(VLOOKUP($B65,'LT07'!$B$11:$R$75,14,FALSE)),"",VLOOKUP($B65,'LT07'!$B$11:$R$75,14,FALSE))))</f>
        <v/>
      </c>
      <c r="AH65" s="183"/>
      <c r="AI65" s="182" t="str">
        <f>IF(OR($H$6="",$H$7=""),"",IF($B65="","",IF(ISNA(VLOOKUP($B65,'LT07'!$B$11:$R$75,17,FALSE)),"",VLOOKUP($B65,'LT07'!$B$11:$R$75,17,FALSE))))</f>
        <v/>
      </c>
      <c r="AJ65" s="185" t="str">
        <f>IF(OR($H$6="",$H$7=""),"",IF($B65="","",IF(ISNA(VLOOKUP($B65,'LT08'!$B$11:$R$75,13,FALSE)),"",IF(VLOOKUP($B65,'LT08'!$B$11:$R$75,13,FALSE)="","",VLOOKUP($B65,'LT08'!$B$11:$R$75,13,FALSE)))))</f>
        <v/>
      </c>
      <c r="AK65" s="182" t="str">
        <f>IF(OR($H$6="",$H$7=""),"",IF($B65="","",IF(ISNA(VLOOKUP($B65,'LT08'!$B$11:$R$75,14,FALSE)),"",VLOOKUP($B65,'LT08'!$B$11:$R$75,14,FALSE))))</f>
        <v/>
      </c>
      <c r="AL65" s="183"/>
      <c r="AM65" s="182" t="str">
        <f>IF(OR($H$6="",$H$7=""),"",IF($B65="","",IF(ISNA(VLOOKUP($B65,'LT08'!$B$11:$R$75,17,FALSE)),"",VLOOKUP($B65,'LT08'!$B$11:$R$75,17,FALSE))))</f>
        <v/>
      </c>
      <c r="AN65" s="185" t="str">
        <f>IF(OR($H$6="",$H$7=""),"",IF($B65="","",IF(ISNA(VLOOKUP($B65,'LT09'!$B$11:$R$75,13,FALSE)),"",IF(VLOOKUP($B65,'LT09'!$B$11:$R$75,13,FALSE)="","",VLOOKUP($B65,'LT09'!$B$11:$R$75,13,FALSE)))))</f>
        <v/>
      </c>
      <c r="AO65" s="182" t="str">
        <f>IF(OR($H$6="",$H$7=""),"",IF($B65="","",IF(ISNA(VLOOKUP($B65,'LT09'!$B$11:$R$75,14,FALSE)),"",VLOOKUP($B65,'LT09'!$B$11:$R$75,14,FALSE))))</f>
        <v/>
      </c>
      <c r="AP65" s="183"/>
      <c r="AQ65" s="182" t="str">
        <f>IF(OR($H$6="",$H$7=""),"",IF($B65="","",IF(ISNA(VLOOKUP($B65,'LT09'!$B$11:$R$75,17,FALSE)),"",VLOOKUP($B65,'LT09'!$B$11:$R$75,17,FALSE))))</f>
        <v/>
      </c>
      <c r="AR65" s="186"/>
      <c r="AS65" s="182" t="str">
        <f>IF(OR($H$6="",$H$7=""),"",IF($B65="","",IF(ISNA(VLOOKUP($B65,'TH01'!$B$11:$R$75,14,FALSE)),"",VLOOKUP($B65,'TH01'!$B$11:$R$75,14,FALSE))))</f>
        <v/>
      </c>
      <c r="AT65" s="183"/>
      <c r="AU65" s="187"/>
      <c r="AV65" s="186"/>
      <c r="AW65" s="182" t="str">
        <f>IF(OR($H$6="",$H$7=""),"",IF($B65="","",IF(ISNA(VLOOKUP($B65,'TH02'!$B$11:$R$75,14,FALSE)),"",VLOOKUP($B65,'TH02'!$B$11:$R$75,14,FALSE))))</f>
        <v/>
      </c>
      <c r="AX65" s="183"/>
      <c r="AY65" s="187"/>
      <c r="AZ65" s="54" t="str">
        <f t="shared" si="108"/>
        <v/>
      </c>
      <c r="BA65" s="54" t="str">
        <f t="shared" si="0"/>
        <v/>
      </c>
      <c r="BB65" s="70"/>
      <c r="BC65" s="52" t="str">
        <f t="shared" si="25"/>
        <v/>
      </c>
      <c r="BD65" s="52" t="str">
        <f t="shared" si="26"/>
        <v/>
      </c>
      <c r="BE65" s="52" t="str">
        <f t="shared" si="86"/>
        <v/>
      </c>
      <c r="BF65" s="149" t="str">
        <f t="shared" si="87"/>
        <v/>
      </c>
      <c r="BG65" s="52" t="str">
        <f t="shared" si="88"/>
        <v/>
      </c>
      <c r="BH65" s="52" t="str">
        <f t="shared" si="89"/>
        <v/>
      </c>
      <c r="BI65" s="52" t="str">
        <f t="shared" si="90"/>
        <v/>
      </c>
      <c r="BJ65" s="52" t="str">
        <f t="shared" si="91"/>
        <v/>
      </c>
      <c r="BK65" s="54" t="str">
        <f t="shared" si="92"/>
        <v/>
      </c>
      <c r="BL65" s="54" t="str">
        <f t="shared" si="93"/>
        <v/>
      </c>
      <c r="BM65" s="54" t="str">
        <f t="shared" si="94"/>
        <v/>
      </c>
      <c r="BN65" s="54" t="str">
        <f t="shared" si="95"/>
        <v/>
      </c>
      <c r="BO65" s="70"/>
      <c r="BP65" s="52" t="str">
        <f>IF(ISNA(VLOOKUP(B65,'TICH LUY'!B:D,2,0)),"",VLOOKUP(B65,'TICH LUY'!B:D,2,0)+BI65)</f>
        <v/>
      </c>
      <c r="BQ65" s="52" t="str">
        <f>IF(ISNA(VLOOKUP(B65,'TICH LUY'!B:D,3,0)),"",VLOOKUP(B65,'TICH LUY'!B:D,3,0)+BJ65)</f>
        <v/>
      </c>
      <c r="BR65" s="40" t="str">
        <f t="shared" si="96"/>
        <v/>
      </c>
      <c r="BS65" s="452" t="str">
        <f t="shared" si="97"/>
        <v/>
      </c>
      <c r="BT65" s="452" t="str">
        <f t="shared" si="98"/>
        <v/>
      </c>
      <c r="BU65" s="452" t="str">
        <f t="shared" si="99"/>
        <v/>
      </c>
      <c r="BV65" s="452" t="str">
        <f t="shared" si="100"/>
        <v/>
      </c>
      <c r="BW65" s="452" t="str">
        <f t="shared" si="101"/>
        <v/>
      </c>
      <c r="BX65" s="452" t="str">
        <f t="shared" si="102"/>
        <v/>
      </c>
      <c r="BY65" s="452" t="str">
        <f t="shared" si="103"/>
        <v/>
      </c>
      <c r="BZ65" s="452" t="str">
        <f t="shared" si="28"/>
        <v/>
      </c>
      <c r="CA65" s="452" t="str">
        <f t="shared" si="29"/>
        <v/>
      </c>
      <c r="CB65" s="452" t="str">
        <f t="shared" si="30"/>
        <v/>
      </c>
      <c r="CC65" s="452" t="str">
        <f t="shared" si="104"/>
        <v/>
      </c>
      <c r="CD65" s="40" t="str">
        <f t="shared" si="31"/>
        <v/>
      </c>
      <c r="CE65" s="453" t="str">
        <f t="shared" si="109"/>
        <v/>
      </c>
      <c r="CF65" s="452" t="str">
        <f t="shared" si="32"/>
        <v/>
      </c>
      <c r="CG65" s="452" t="str">
        <f t="shared" si="110"/>
        <v/>
      </c>
      <c r="CH65" s="452" t="str">
        <f t="shared" si="111"/>
        <v/>
      </c>
      <c r="CI65" s="452" t="str">
        <f t="shared" si="112"/>
        <v/>
      </c>
      <c r="CJ65" s="452" t="str">
        <f t="shared" si="113"/>
        <v/>
      </c>
      <c r="CK65" s="452" t="str">
        <f t="shared" si="114"/>
        <v/>
      </c>
      <c r="CL65" s="452" t="str">
        <f t="shared" si="33"/>
        <v/>
      </c>
      <c r="CM65" s="452" t="str">
        <f t="shared" si="34"/>
        <v/>
      </c>
      <c r="CN65" s="452" t="str">
        <f t="shared" si="35"/>
        <v/>
      </c>
      <c r="CO65" s="452" t="str">
        <f t="shared" si="105"/>
        <v/>
      </c>
      <c r="CP65" s="454" t="str">
        <f t="shared" si="36"/>
        <v/>
      </c>
      <c r="CQ65" s="527" t="str">
        <f>IF(OR(ISNA(VLOOKUP($B65,'TICH LUY'!$B$11:$BY$85,54,0)),$B65=""),"",VLOOKUP($B65,'TICH LUY'!$B$11:$BY$85,54,0))</f>
        <v/>
      </c>
      <c r="CR65" s="507" t="str">
        <f>IF(OR(ISNA(VLOOKUP($B65,'TICH LUY'!$B$11:$BY$85,55,0)),$B65=""),"",VLOOKUP($B65,'TICH LUY'!$B$11:$BY$85,55,0))</f>
        <v/>
      </c>
      <c r="CS65" s="507" t="str">
        <f>IF(OR(ISNA(VLOOKUP($B65,'TICH LUY'!$B$11:$BY$85,56,0)),$B65=""),"",VLOOKUP($B65,'TICH LUY'!$B$11:$BY$85,56,0))</f>
        <v/>
      </c>
      <c r="CT65" s="507" t="str">
        <f>IF(OR(ISNA(VLOOKUP($B65,'TICH LUY'!$B$11:$BY$85,57,0)),$B65=""),"",VLOOKUP($B65,'TICH LUY'!$B$11:$BY$85,57,0))</f>
        <v/>
      </c>
      <c r="CU65" s="507" t="str">
        <f>IF(OR(ISNA(VLOOKUP($B65,'TICH LUY'!$B$11:$BY$85,58,0)),$B65=""),"",VLOOKUP($B65,'TICH LUY'!$B$11:$BY$85,58,0))</f>
        <v/>
      </c>
      <c r="CV65" s="507" t="str">
        <f>IF(OR(ISNA(VLOOKUP($B65,'TICH LUY'!$B$11:$BY$85,59,0)),$B65=""),"",VLOOKUP($B65,'TICH LUY'!$B$11:$BY$85,59,0))</f>
        <v/>
      </c>
      <c r="CW65" s="507" t="str">
        <f>IF(OR(ISNA(VLOOKUP($B65,'TICH LUY'!$B$11:$BY$85,60,0)),$B65=""),"",VLOOKUP($B65,'TICH LUY'!$B$11:$BY$85,60,0))</f>
        <v/>
      </c>
      <c r="CX65" s="507" t="str">
        <f>IF(OR(ISNA(VLOOKUP($B65,'TICH LUY'!$B$11:$BY$85,61,0)),$B65=""),"",VLOOKUP($B65,'TICH LUY'!$B$11:$BY$85,61,0))</f>
        <v/>
      </c>
      <c r="CY65" s="507" t="str">
        <f>IF(OR(ISNA(VLOOKUP($B65,'TICH LUY'!$B$11:$BY$85,62,0)),$B65=""),"",VLOOKUP($B65,'TICH LUY'!$B$11:$BY$85,62,0))</f>
        <v/>
      </c>
      <c r="CZ65" s="507" t="str">
        <f>IF(OR(ISNA(VLOOKUP($B65,'TICH LUY'!$B$11:$BY$85,63,0)),$B65=""),"",VLOOKUP($B65,'TICH LUY'!$B$11:$BY$85,63,0))</f>
        <v/>
      </c>
      <c r="DA65" s="507" t="str">
        <f>IF(OR(ISNA(VLOOKUP($B65,'TICH LUY'!$B$11:$BY$85,64,0)),$B65=""),"",VLOOKUP($B65,'TICH LUY'!$B$11:$BY$85,64,0))</f>
        <v/>
      </c>
      <c r="DB65" s="507" t="str">
        <f>IF(OR(ISNA(VLOOKUP($B65,'TICH LUY'!$B$11:$BY$85,65,0)),$B65=""),"",VLOOKUP($B65,'TICH LUY'!$B$11:$BY$85,65,0))</f>
        <v/>
      </c>
      <c r="DC65" s="507" t="str">
        <f>IF(OR(ISNA(VLOOKUP($B65,'TICH LUY'!$B$11:$BY$85,66,0)),$B65=""),"",VLOOKUP($B65,'TICH LUY'!$B$11:$BY$85,66,0))</f>
        <v/>
      </c>
      <c r="DD65" s="507" t="str">
        <f>IF(OR(ISNA(VLOOKUP($B65,'TICH LUY'!$B$11:$BY$85,67,0)),$B65=""),"",VLOOKUP($B65,'TICH LUY'!$B$11:$BY$85,67,0))</f>
        <v/>
      </c>
      <c r="DE65" s="507" t="str">
        <f>IF(OR(ISNA(VLOOKUP($B65,'TICH LUY'!$B$11:$BY$85,68,0)),$B65=""),"",VLOOKUP($B65,'TICH LUY'!$B$11:$BY$85,68,0))</f>
        <v/>
      </c>
      <c r="DF65" s="507" t="str">
        <f>IF(OR(ISNA(VLOOKUP($B65,'TICH LUY'!$B$11:$BY$85,69,0)),$B65=""),"",VLOOKUP($B65,'TICH LUY'!$B$11:$BY$85,69,0))</f>
        <v/>
      </c>
      <c r="DG65" s="507" t="str">
        <f>IF(OR(ISNA(VLOOKUP($B65,'TICH LUY'!$B$11:$BY$85,70,0)),$B65=""),"",VLOOKUP($B65,'TICH LUY'!$B$11:$BY$85,70,0))</f>
        <v/>
      </c>
      <c r="DH65" s="507" t="str">
        <f>IF(OR(ISNA(VLOOKUP($B65,'TICH LUY'!$B$11:$BY$85,71,0)),$B65=""),"",VLOOKUP($B65,'TICH LUY'!$B$11:$BY$85,71,0))</f>
        <v/>
      </c>
      <c r="DI65" s="507" t="str">
        <f>IF(OR(ISNA(VLOOKUP($B65,'TICH LUY'!$B$11:$BY$85,72,0)),$B65=""),"",VLOOKUP($B65,'TICH LUY'!$B$11:$BY$85,72,0))</f>
        <v/>
      </c>
      <c r="DJ65" s="507" t="str">
        <f>IF(OR(ISNA(VLOOKUP($B65,'TICH LUY'!$B$11:$BY$85,73,0)),$B65=""),"",VLOOKUP($B65,'TICH LUY'!$B$11:$BY$85,73,0))</f>
        <v/>
      </c>
      <c r="DK65" s="507" t="str">
        <f>IF(OR(ISNA(VLOOKUP($B65,'TICH LUY'!$B$11:$BY$85,74,0)),$B65=""),"",VLOOKUP($B65,'TICH LUY'!$B$11:$BY$85,74,0))</f>
        <v/>
      </c>
      <c r="DL65" s="507" t="str">
        <f>IF(OR(ISNA(VLOOKUP($B65,'TICH LUY'!$B$11:$BY$85,75,0)),$B65=""),"",VLOOKUP($B65,'TICH LUY'!$B$11:$BY$85,75,0))</f>
        <v/>
      </c>
      <c r="DM65" s="529" t="str">
        <f>IF(OR(ISNA(VLOOKUP($B65,'TICH LUY'!$B$11:$BY$85,76,0)),$B65=""),"",VLOOKUP($B65,'TICH LUY'!$B$11:$BY$85,76,0))</f>
        <v/>
      </c>
      <c r="DN65" s="455" t="str">
        <f t="shared" si="37"/>
        <v/>
      </c>
      <c r="DO65" s="456" t="str">
        <f t="shared" si="38"/>
        <v/>
      </c>
      <c r="DP65" s="456" t="str">
        <f t="shared" si="39"/>
        <v/>
      </c>
      <c r="DQ65" s="456" t="str">
        <f t="shared" si="40"/>
        <v/>
      </c>
      <c r="DR65" s="456" t="str">
        <f t="shared" si="41"/>
        <v/>
      </c>
      <c r="DS65" s="456" t="str">
        <f t="shared" si="42"/>
        <v/>
      </c>
      <c r="DT65" s="456" t="str">
        <f t="shared" si="43"/>
        <v/>
      </c>
      <c r="DU65" s="456" t="str">
        <f t="shared" si="44"/>
        <v/>
      </c>
      <c r="DV65" s="456" t="str">
        <f t="shared" si="45"/>
        <v/>
      </c>
      <c r="DW65" s="456" t="str">
        <f t="shared" si="46"/>
        <v/>
      </c>
      <c r="DX65" s="456" t="str">
        <f t="shared" si="47"/>
        <v/>
      </c>
      <c r="DY65" s="457" t="str">
        <f t="shared" si="48"/>
        <v/>
      </c>
      <c r="DZ65" s="453" t="str">
        <f t="shared" si="115"/>
        <v/>
      </c>
      <c r="EA65" s="452" t="str">
        <f t="shared" si="50"/>
        <v/>
      </c>
      <c r="EB65" s="452" t="str">
        <f t="shared" si="116"/>
        <v/>
      </c>
      <c r="EC65" s="452" t="str">
        <f t="shared" si="117"/>
        <v/>
      </c>
      <c r="ED65" s="452" t="str">
        <f t="shared" si="118"/>
        <v/>
      </c>
      <c r="EE65" s="452" t="str">
        <f t="shared" si="119"/>
        <v/>
      </c>
      <c r="EF65" s="452" t="str">
        <f t="shared" si="120"/>
        <v/>
      </c>
      <c r="EG65" s="452" t="str">
        <f t="shared" si="56"/>
        <v/>
      </c>
      <c r="EH65" s="452" t="str">
        <f t="shared" si="57"/>
        <v/>
      </c>
      <c r="EI65" s="453" t="str">
        <f t="shared" si="58"/>
        <v/>
      </c>
      <c r="EJ65" s="452" t="str">
        <f t="shared" si="59"/>
        <v/>
      </c>
      <c r="EK65" s="452" t="str">
        <f t="shared" si="60"/>
        <v/>
      </c>
      <c r="EL65" s="452" t="str">
        <f t="shared" si="61"/>
        <v/>
      </c>
      <c r="EM65" s="452" t="str">
        <f t="shared" si="62"/>
        <v/>
      </c>
      <c r="EN65" s="452" t="str">
        <f t="shared" si="63"/>
        <v/>
      </c>
      <c r="EO65" s="452" t="str">
        <f t="shared" si="64"/>
        <v/>
      </c>
      <c r="EP65" s="452" t="str">
        <f t="shared" si="65"/>
        <v/>
      </c>
      <c r="EQ65" s="452" t="str">
        <f t="shared" si="66"/>
        <v/>
      </c>
      <c r="ER65" s="452" t="str">
        <f t="shared" si="67"/>
        <v/>
      </c>
      <c r="ES65" s="452" t="str">
        <f t="shared" si="106"/>
        <v/>
      </c>
      <c r="ET65" s="458" t="str">
        <f t="shared" si="68"/>
        <v/>
      </c>
      <c r="EU65" s="527" t="str">
        <f>IF(OR(ISNA(VLOOKUP($B65,'TICH LUY'!$B$11:$BY$85,54,0)),$B65=""),"",VLOOKUP($B65,'TICH LUY'!$B$11:$BY$85,54,0))</f>
        <v/>
      </c>
      <c r="EV65" s="507" t="str">
        <f>IF(OR(ISNA(VLOOKUP($B65,'TICH LUY'!$B$11:$BY$85,55,0)),$B65=""),"",VLOOKUP($B65,'TICH LUY'!$B$11:$BY$85,55,0))</f>
        <v/>
      </c>
      <c r="EW65" s="507" t="str">
        <f>IF(OR(ISNA(VLOOKUP($B65,'TICH LUY'!$B$11:$BY$85,56,0)),$B65=""),"",VLOOKUP($B65,'TICH LUY'!$B$11:$BY$85,56,0))</f>
        <v/>
      </c>
      <c r="EX65" s="507" t="str">
        <f>IF(OR(ISNA(VLOOKUP($B65,'TICH LUY'!$B$11:$BY$85,57,0)),$B65=""),"",VLOOKUP($B65,'TICH LUY'!$B$11:$BY$85,57,0))</f>
        <v/>
      </c>
      <c r="EY65" s="507" t="str">
        <f>IF(OR(ISNA(VLOOKUP($B65,'TICH LUY'!$B$11:$BY$85,58,0)),$B65=""),"",VLOOKUP($B65,'TICH LUY'!$B$11:$BY$85,58,0))</f>
        <v/>
      </c>
      <c r="EZ65" s="507" t="str">
        <f>IF(OR(ISNA(VLOOKUP($B65,'TICH LUY'!$B$11:$BY$85,59,0)),$B65=""),"",VLOOKUP($B65,'TICH LUY'!$B$11:$BY$85,59,0))</f>
        <v/>
      </c>
      <c r="FA65" s="507" t="str">
        <f>IF(OR(ISNA(VLOOKUP($B65,'TICH LUY'!$B$11:$BY$85,60,0)),$B65=""),"",VLOOKUP($B65,'TICH LUY'!$B$11:$BY$85,60,0))</f>
        <v/>
      </c>
      <c r="FB65" s="507" t="str">
        <f>IF(OR(ISNA(VLOOKUP($B65,'TICH LUY'!$B$11:$BY$85,61,0)),$B65=""),"",VLOOKUP($B65,'TICH LUY'!$B$11:$BY$85,61,0))</f>
        <v/>
      </c>
      <c r="FC65" s="507" t="str">
        <f>IF(OR(ISNA(VLOOKUP($B65,'TICH LUY'!$B$11:$BY$85,62,0)),$B65=""),"",VLOOKUP($B65,'TICH LUY'!$B$11:$BY$85,62,0))</f>
        <v/>
      </c>
      <c r="FD65" s="507" t="str">
        <f>IF(OR(ISNA(VLOOKUP($B65,'TICH LUY'!$B$11:$BY$85,63,0)),$B65=""),"",VLOOKUP($B65,'TICH LUY'!$B$11:$BY$85,63,0))</f>
        <v/>
      </c>
      <c r="FE65" s="507" t="str">
        <f>IF(OR(ISNA(VLOOKUP($B65,'TICH LUY'!$B$11:$BY$85,64,0)),$B65=""),"",VLOOKUP($B65,'TICH LUY'!$B$11:$BY$85,64,0))</f>
        <v/>
      </c>
      <c r="FF65" s="507" t="str">
        <f>IF(OR(ISNA(VLOOKUP($B65,'TICH LUY'!$B$11:$BY$85,65,0)),$B65=""),"",VLOOKUP($B65,'TICH LUY'!$B$11:$BY$85,65,0))</f>
        <v/>
      </c>
      <c r="FG65" s="507" t="str">
        <f>IF(OR(ISNA(VLOOKUP($B65,'TICH LUY'!$B$11:$BY$85,66,0)),$B65=""),"",VLOOKUP($B65,'TICH LUY'!$B$11:$BY$85,66,0))</f>
        <v/>
      </c>
      <c r="FH65" s="507" t="str">
        <f>IF(OR(ISNA(VLOOKUP($B65,'TICH LUY'!$B$11:$BY$85,67,0)),$B65=""),"",VLOOKUP($B65,'TICH LUY'!$B$11:$BY$85,67,0))</f>
        <v/>
      </c>
      <c r="FI65" s="507" t="str">
        <f>IF(OR(ISNA(VLOOKUP($B65,'TICH LUY'!$B$11:$BY$85,68,0)),$B65=""),"",VLOOKUP($B65,'TICH LUY'!$B$11:$BY$85,68,0))</f>
        <v/>
      </c>
      <c r="FJ65" s="507" t="str">
        <f>IF(OR(ISNA(VLOOKUP($B65,'TICH LUY'!$B$11:$BY$85,69,0)),$B65=""),"",VLOOKUP($B65,'TICH LUY'!$B$11:$BY$85,69,0))</f>
        <v/>
      </c>
      <c r="FK65" s="507" t="str">
        <f>IF(OR(ISNA(VLOOKUP($B65,'TICH LUY'!$B$11:$BY$85,70,0)),$B65=""),"",VLOOKUP($B65,'TICH LUY'!$B$11:$BY$85,70,0))</f>
        <v/>
      </c>
      <c r="FL65" s="507" t="str">
        <f>IF(OR(ISNA(VLOOKUP($B65,'TICH LUY'!$B$11:$BY$85,71,0)),$B65=""),"",VLOOKUP($B65,'TICH LUY'!$B$11:$BY$85,71,0))</f>
        <v/>
      </c>
      <c r="FM65" s="507" t="str">
        <f>IF(OR(ISNA(VLOOKUP($B65,'TICH LUY'!$B$11:$BY$85,72,0)),$B65=""),"",VLOOKUP($B65,'TICH LUY'!$B$11:$BY$85,72,0))</f>
        <v/>
      </c>
      <c r="FN65" s="507" t="str">
        <f>IF(OR(ISNA(VLOOKUP($B65,'TICH LUY'!$B$11:$BY$85,73,0)),$B65=""),"",VLOOKUP($B65,'TICH LUY'!$B$11:$BY$85,73,0))</f>
        <v/>
      </c>
      <c r="FO65" s="507" t="str">
        <f>IF(OR(ISNA(VLOOKUP($B65,'TICH LUY'!$B$11:$BY$85,74,0)),$B65=""),"",VLOOKUP($B65,'TICH LUY'!$B$11:$BY$85,74,0))</f>
        <v/>
      </c>
      <c r="FP65" s="507" t="str">
        <f>IF(OR(ISNA(VLOOKUP($B65,'TICH LUY'!$B$11:$BY$85,75,0)),$B65=""),"",VLOOKUP($B65,'TICH LUY'!$B$11:$BY$85,75,0))</f>
        <v/>
      </c>
      <c r="FQ65" s="529" t="str">
        <f>IF(OR(ISNA(VLOOKUP($B65,'TICH LUY'!$B$11:$BY$85,76,0)),$B65=""),"",VLOOKUP($B65,'TICH LUY'!$B$11:$BY$85,76,0))</f>
        <v/>
      </c>
      <c r="FR65" s="455" t="str">
        <f t="shared" si="69"/>
        <v/>
      </c>
      <c r="FS65" s="456" t="str">
        <f t="shared" si="70"/>
        <v/>
      </c>
      <c r="FT65" s="456" t="str">
        <f t="shared" si="71"/>
        <v/>
      </c>
      <c r="FU65" s="456" t="str">
        <f t="shared" si="72"/>
        <v/>
      </c>
      <c r="FV65" s="456" t="str">
        <f t="shared" si="73"/>
        <v/>
      </c>
      <c r="FW65" s="456" t="str">
        <f t="shared" si="74"/>
        <v/>
      </c>
      <c r="FX65" s="456" t="str">
        <f t="shared" si="75"/>
        <v/>
      </c>
      <c r="FY65" s="456" t="str">
        <f t="shared" si="76"/>
        <v/>
      </c>
      <c r="FZ65" s="456" t="str">
        <f t="shared" si="77"/>
        <v/>
      </c>
      <c r="GA65" s="456" t="str">
        <f t="shared" si="78"/>
        <v/>
      </c>
      <c r="GB65" s="459" t="str">
        <f t="shared" si="79"/>
        <v/>
      </c>
      <c r="GC65" s="457" t="str">
        <f t="shared" si="107"/>
        <v/>
      </c>
    </row>
    <row r="66" spans="1:202" s="221" customFormat="1" ht="15.75">
      <c r="A66" s="449" t="str">
        <f>IF(B66="","",SUBTOTAL(3,$B$11:B66))</f>
        <v/>
      </c>
      <c r="B66" s="460"/>
      <c r="C66" s="450" t="str">
        <f>IF($B66="","",VLOOKUP($B66,'DS LOP HKI'!$B$2:$F$2642,2,0))</f>
        <v/>
      </c>
      <c r="D66" s="451" t="str">
        <f>IF($B66="","",VLOOKUP($B66,'DS LOP HKI'!$B$2:$F$2642,3,0))</f>
        <v/>
      </c>
      <c r="E66" s="154"/>
      <c r="F66" s="152"/>
      <c r="G66" s="156"/>
      <c r="H66" s="181" t="str">
        <f>IF(OR($H$6="",$H$7=""),"",IF($B66="","",IF(ISNA(VLOOKUP($B66,'LT01'!$B$11:$R$75,13,FALSE)),"",IF(VLOOKUP($B66,'LT01'!$B$11:$R$75,13,FALSE)="","",VLOOKUP($B66,'LT01'!$B$11:$R$75,13,FALSE)))))</f>
        <v/>
      </c>
      <c r="I66" s="182" t="str">
        <f>IF(OR($H$6="",$H$7=""),"",IF($B66="","",IF(ISNA(VLOOKUP($B66,'LT01'!$B$11:$R$75,14,FALSE)),"",VLOOKUP($B66,'LT01'!$B$11:$R$75,14,FALSE))))</f>
        <v/>
      </c>
      <c r="J66" s="183"/>
      <c r="K66" s="182" t="str">
        <f>IF(OR($H$6="",$H$7=""),"",IF($B66="","",IF(ISNA(VLOOKUP($B66,'LT01'!$B$11:$R$75,17,FALSE)),"",VLOOKUP($B66,'LT01'!$B$11:$R$75,17,FALSE))))</f>
        <v/>
      </c>
      <c r="L66" s="185" t="str">
        <f>IF(OR($H$6="",$H$7=""),"",IF($B66="","",IF(ISNA(VLOOKUP($B66,'LT02'!$B$11:$R$75,13,FALSE)),"",IF(VLOOKUP($B66,'LT02'!$B$11:$R$75,13,FALSE)="","",VLOOKUP($B66,'LT02'!$B$11:$R$75,13,FALSE)))))</f>
        <v/>
      </c>
      <c r="M66" s="182" t="str">
        <f>IF(OR($H$6="",$H$7=""),"",IF($B66="","",IF(ISNA(VLOOKUP($B66,'LT02'!$B$11:$R$75,14,FALSE)),"",VLOOKUP($B66,'LT02'!$B$11:$R$75,14,FALSE))))</f>
        <v/>
      </c>
      <c r="N66" s="183"/>
      <c r="O66" s="182" t="str">
        <f>IF(OR($H$6="",$H$7=""),"",IF($B66="","",IF(ISNA(VLOOKUP($B66,'LT02'!$B$11:$R$75,17,FALSE)),"",VLOOKUP($B66,'LT02'!$B$11:$R$75,17,FALSE))))</f>
        <v/>
      </c>
      <c r="P66" s="185" t="str">
        <f>IF(OR($H$6="",$H$7=""),"",IF($B66="","",IF(ISNA(VLOOKUP($B66,'LT03'!$B$11:$R$75,13,FALSE)),"",IF(VLOOKUP($B66,'LT03'!$B$11:$R$75,13,FALSE)="","",VLOOKUP($B66,'LT03'!$B$11:$R$75,13,FALSE)))))</f>
        <v/>
      </c>
      <c r="Q66" s="182" t="str">
        <f>IF(OR($H$6="",$H$7=""),"",IF($B66="","",IF(ISNA(VLOOKUP($B66,'LT03'!$B$11:$R$75,14,FALSE)),"",VLOOKUP($B66,'LT03'!$B$11:$R$75,14,FALSE))))</f>
        <v/>
      </c>
      <c r="R66" s="183"/>
      <c r="S66" s="182" t="str">
        <f>IF(OR($H$6="",$H$7=""),"",IF($B66="","",IF(ISNA(VLOOKUP($B66,'LT03'!$B$11:$R$75,17,FALSE)),"",VLOOKUP($B66,'LT03'!$B$11:$R$75,17,FALSE))))</f>
        <v/>
      </c>
      <c r="T66" s="185" t="str">
        <f>IF(OR($H$6="",$H$7=""),"",IF($B66="","",IF(ISNA(VLOOKUP($B66,'LT04'!$B$11:$R$75,13,FALSE)),"",IF(VLOOKUP($B66,'LT04'!$B$11:$R$75,13,FALSE)="","",VLOOKUP($B66,'LT04'!$B$11:$R$75,13,FALSE)))))</f>
        <v/>
      </c>
      <c r="U66" s="182" t="str">
        <f>IF(OR($H$6="",$H$7=""),"",IF($B66="","",IF(ISNA(VLOOKUP($B66,'LT04'!$B$11:$R$75,14,FALSE)),"",VLOOKUP($B66,'LT04'!$B$11:$R$75,14,FALSE))))</f>
        <v/>
      </c>
      <c r="V66" s="183"/>
      <c r="W66" s="184" t="str">
        <f>IF(OR($H$6="",$H$7=""),"",IF($B66="","",IF(ISNA(VLOOKUP($B66,'LT04'!$B$11:$R$75,17,FALSE)),"",VLOOKUP($B66,'LT04'!$B$11:$R$75,17,FALSE))))</f>
        <v/>
      </c>
      <c r="X66" s="185" t="str">
        <f>IF(OR($H$6="",$H$7=""),"",IF($B66="","",IF(ISNA(VLOOKUP($B66,'LT05'!$B$11:$R$75,13,FALSE)),"",IF(VLOOKUP($B66,'LT05'!$B$11:$R$75,13,FALSE)="","",VLOOKUP($B66,'LT05'!$B$11:$R$75,13,FALSE)))))</f>
        <v/>
      </c>
      <c r="Y66" s="182" t="str">
        <f>IF(OR($H$6="",$H$7=""),"",IF($B66="","",IF(ISNA(VLOOKUP($B66,'LT05'!$B$11:$R$75,14,FALSE)),"",VLOOKUP($B66,'LT05'!$B$11:$R$75,14,FALSE))))</f>
        <v/>
      </c>
      <c r="Z66" s="183"/>
      <c r="AA66" s="182" t="str">
        <f>IF(OR($H$6="",$H$7=""),"",IF($B66="","",IF(ISNA(VLOOKUP($B66,'LT05'!$B$11:$R$75,17,FALSE)),"",VLOOKUP($B66,'LT05'!$B$11:$R$75,17,FALSE))))</f>
        <v/>
      </c>
      <c r="AB66" s="185" t="str">
        <f>IF(OR($H$6="",$H$7=""),"",IF($B66="","",IF(ISNA(VLOOKUP($B66,'LT06'!$B$11:$R$75,13,FALSE)),"",IF(VLOOKUP($B66,'LT06'!$B$11:$R$75,13,FALSE)="","",VLOOKUP($B66,'LT06'!$B$11:$R$75,13,FALSE)))))</f>
        <v/>
      </c>
      <c r="AC66" s="182" t="str">
        <f>IF(OR($H$6="",$H$7=""),"",IF($B66="","",IF(ISNA(VLOOKUP($B66,'LT06'!$B$11:$R$75,14,FALSE)),"",VLOOKUP($B66,'LT06'!$B$11:$R$75,14,FALSE))))</f>
        <v/>
      </c>
      <c r="AD66" s="183"/>
      <c r="AE66" s="182" t="str">
        <f>IF(OR($H$6="",$H$7=""),"",IF($B66="","",IF(ISNA(VLOOKUP($B66,'LT06'!$B$11:$R$75,17,FALSE)),"",VLOOKUP($B66,'LT06'!$B$11:$R$75,17,FALSE))))</f>
        <v/>
      </c>
      <c r="AF66" s="185" t="str">
        <f>IF(OR($H$6="",$H$7=""),"",IF($B66="","",IF(ISNA(VLOOKUP($B66,'LT07'!$B$11:$R$75,13,FALSE)),"",IF(VLOOKUP($B66,'LT07'!$B$11:$R$75,13,FALSE)="","",VLOOKUP($B66,'LT07'!$B$11:$R$75,13,FALSE)))))</f>
        <v/>
      </c>
      <c r="AG66" s="182" t="str">
        <f>IF(OR($H$6="",$H$7=""),"",IF($B66="","",IF(ISNA(VLOOKUP($B66,'LT07'!$B$11:$R$75,14,FALSE)),"",VLOOKUP($B66,'LT07'!$B$11:$R$75,14,FALSE))))</f>
        <v/>
      </c>
      <c r="AH66" s="183"/>
      <c r="AI66" s="182" t="str">
        <f>IF(OR($H$6="",$H$7=""),"",IF($B66="","",IF(ISNA(VLOOKUP($B66,'LT07'!$B$11:$R$75,17,FALSE)),"",VLOOKUP($B66,'LT07'!$B$11:$R$75,17,FALSE))))</f>
        <v/>
      </c>
      <c r="AJ66" s="185" t="str">
        <f>IF(OR($H$6="",$H$7=""),"",IF($B66="","",IF(ISNA(VLOOKUP($B66,'LT08'!$B$11:$R$75,13,FALSE)),"",IF(VLOOKUP($B66,'LT08'!$B$11:$R$75,13,FALSE)="","",VLOOKUP($B66,'LT08'!$B$11:$R$75,13,FALSE)))))</f>
        <v/>
      </c>
      <c r="AK66" s="182" t="str">
        <f>IF(OR($H$6="",$H$7=""),"",IF($B66="","",IF(ISNA(VLOOKUP($B66,'LT08'!$B$11:$R$75,14,FALSE)),"",VLOOKUP($B66,'LT08'!$B$11:$R$75,14,FALSE))))</f>
        <v/>
      </c>
      <c r="AL66" s="183"/>
      <c r="AM66" s="182" t="str">
        <f>IF(OR($H$6="",$H$7=""),"",IF($B66="","",IF(ISNA(VLOOKUP($B66,'LT08'!$B$11:$R$75,17,FALSE)),"",VLOOKUP($B66,'LT08'!$B$11:$R$75,17,FALSE))))</f>
        <v/>
      </c>
      <c r="AN66" s="185" t="str">
        <f>IF(OR($H$6="",$H$7=""),"",IF($B66="","",IF(ISNA(VLOOKUP($B66,'LT09'!$B$11:$R$75,13,FALSE)),"",IF(VLOOKUP($B66,'LT09'!$B$11:$R$75,13,FALSE)="","",VLOOKUP($B66,'LT09'!$B$11:$R$75,13,FALSE)))))</f>
        <v/>
      </c>
      <c r="AO66" s="182" t="str">
        <f>IF(OR($H$6="",$H$7=""),"",IF($B66="","",IF(ISNA(VLOOKUP($B66,'LT09'!$B$11:$R$75,14,FALSE)),"",VLOOKUP($B66,'LT09'!$B$11:$R$75,14,FALSE))))</f>
        <v/>
      </c>
      <c r="AP66" s="183"/>
      <c r="AQ66" s="182" t="str">
        <f>IF(OR($H$6="",$H$7=""),"",IF($B66="","",IF(ISNA(VLOOKUP($B66,'LT09'!$B$11:$R$75,17,FALSE)),"",VLOOKUP($B66,'LT09'!$B$11:$R$75,17,FALSE))))</f>
        <v/>
      </c>
      <c r="AR66" s="186"/>
      <c r="AS66" s="182" t="str">
        <f>IF(OR($H$6="",$H$7=""),"",IF($B66="","",IF(ISNA(VLOOKUP($B66,'TH01'!$B$11:$R$75,14,FALSE)),"",VLOOKUP($B66,'TH01'!$B$11:$R$75,14,FALSE))))</f>
        <v/>
      </c>
      <c r="AT66" s="183"/>
      <c r="AU66" s="187"/>
      <c r="AV66" s="186"/>
      <c r="AW66" s="182" t="str">
        <f>IF(OR($H$6="",$H$7=""),"",IF($B66="","",IF(ISNA(VLOOKUP($B66,'TH02'!$B$11:$R$75,14,FALSE)),"",VLOOKUP($B66,'TH02'!$B$11:$R$75,14,FALSE))))</f>
        <v/>
      </c>
      <c r="AX66" s="183"/>
      <c r="AY66" s="187"/>
      <c r="AZ66" s="54" t="str">
        <f t="shared" si="108"/>
        <v/>
      </c>
      <c r="BA66" s="54" t="str">
        <f t="shared" si="0"/>
        <v/>
      </c>
      <c r="BB66" s="70"/>
      <c r="BC66" s="52" t="str">
        <f t="shared" si="25"/>
        <v/>
      </c>
      <c r="BD66" s="52" t="str">
        <f t="shared" si="26"/>
        <v/>
      </c>
      <c r="BE66" s="52" t="str">
        <f t="shared" si="86"/>
        <v/>
      </c>
      <c r="BF66" s="149" t="str">
        <f t="shared" si="87"/>
        <v/>
      </c>
      <c r="BG66" s="52" t="str">
        <f t="shared" si="88"/>
        <v/>
      </c>
      <c r="BH66" s="52" t="str">
        <f t="shared" si="89"/>
        <v/>
      </c>
      <c r="BI66" s="52" t="str">
        <f t="shared" si="90"/>
        <v/>
      </c>
      <c r="BJ66" s="52" t="str">
        <f t="shared" si="91"/>
        <v/>
      </c>
      <c r="BK66" s="54" t="str">
        <f t="shared" si="92"/>
        <v/>
      </c>
      <c r="BL66" s="54" t="str">
        <f t="shared" si="93"/>
        <v/>
      </c>
      <c r="BM66" s="54" t="str">
        <f t="shared" si="94"/>
        <v/>
      </c>
      <c r="BN66" s="54" t="str">
        <f t="shared" si="95"/>
        <v/>
      </c>
      <c r="BO66" s="70"/>
      <c r="BP66" s="52" t="str">
        <f>IF(ISNA(VLOOKUP(B66,'TICH LUY'!B:D,2,0)),"",VLOOKUP(B66,'TICH LUY'!B:D,2,0)+BI66)</f>
        <v/>
      </c>
      <c r="BQ66" s="52" t="str">
        <f>IF(ISNA(VLOOKUP(B66,'TICH LUY'!B:D,3,0)),"",VLOOKUP(B66,'TICH LUY'!B:D,3,0)+BJ66)</f>
        <v/>
      </c>
      <c r="BR66" s="40" t="str">
        <f t="shared" si="96"/>
        <v/>
      </c>
      <c r="BS66" s="452" t="str">
        <f t="shared" si="97"/>
        <v/>
      </c>
      <c r="BT66" s="452" t="str">
        <f t="shared" si="98"/>
        <v/>
      </c>
      <c r="BU66" s="452" t="str">
        <f t="shared" si="99"/>
        <v/>
      </c>
      <c r="BV66" s="452" t="str">
        <f t="shared" si="100"/>
        <v/>
      </c>
      <c r="BW66" s="452" t="str">
        <f t="shared" si="101"/>
        <v/>
      </c>
      <c r="BX66" s="452" t="str">
        <f t="shared" si="102"/>
        <v/>
      </c>
      <c r="BY66" s="452" t="str">
        <f t="shared" si="103"/>
        <v/>
      </c>
      <c r="BZ66" s="452" t="str">
        <f t="shared" si="28"/>
        <v/>
      </c>
      <c r="CA66" s="452" t="str">
        <f t="shared" si="29"/>
        <v/>
      </c>
      <c r="CB66" s="452" t="str">
        <f t="shared" si="30"/>
        <v/>
      </c>
      <c r="CC66" s="452" t="str">
        <f t="shared" si="104"/>
        <v/>
      </c>
      <c r="CD66" s="40" t="str">
        <f t="shared" si="31"/>
        <v/>
      </c>
      <c r="CE66" s="453" t="str">
        <f t="shared" si="109"/>
        <v/>
      </c>
      <c r="CF66" s="452" t="str">
        <f t="shared" si="32"/>
        <v/>
      </c>
      <c r="CG66" s="452" t="str">
        <f t="shared" si="110"/>
        <v/>
      </c>
      <c r="CH66" s="452" t="str">
        <f t="shared" si="111"/>
        <v/>
      </c>
      <c r="CI66" s="452" t="str">
        <f t="shared" si="112"/>
        <v/>
      </c>
      <c r="CJ66" s="452" t="str">
        <f t="shared" si="113"/>
        <v/>
      </c>
      <c r="CK66" s="452" t="str">
        <f t="shared" si="114"/>
        <v/>
      </c>
      <c r="CL66" s="452" t="str">
        <f t="shared" si="33"/>
        <v/>
      </c>
      <c r="CM66" s="452" t="str">
        <f t="shared" si="34"/>
        <v/>
      </c>
      <c r="CN66" s="452" t="str">
        <f t="shared" si="35"/>
        <v/>
      </c>
      <c r="CO66" s="452" t="str">
        <f t="shared" si="105"/>
        <v/>
      </c>
      <c r="CP66" s="454" t="str">
        <f t="shared" si="36"/>
        <v/>
      </c>
      <c r="CQ66" s="527" t="str">
        <f>IF(OR(ISNA(VLOOKUP($B66,'TICH LUY'!$B$11:$BY$85,54,0)),$B66=""),"",VLOOKUP($B66,'TICH LUY'!$B$11:$BY$85,54,0))</f>
        <v/>
      </c>
      <c r="CR66" s="507" t="str">
        <f>IF(OR(ISNA(VLOOKUP($B66,'TICH LUY'!$B$11:$BY$85,55,0)),$B66=""),"",VLOOKUP($B66,'TICH LUY'!$B$11:$BY$85,55,0))</f>
        <v/>
      </c>
      <c r="CS66" s="507" t="str">
        <f>IF(OR(ISNA(VLOOKUP($B66,'TICH LUY'!$B$11:$BY$85,56,0)),$B66=""),"",VLOOKUP($B66,'TICH LUY'!$B$11:$BY$85,56,0))</f>
        <v/>
      </c>
      <c r="CT66" s="507" t="str">
        <f>IF(OR(ISNA(VLOOKUP($B66,'TICH LUY'!$B$11:$BY$85,57,0)),$B66=""),"",VLOOKUP($B66,'TICH LUY'!$B$11:$BY$85,57,0))</f>
        <v/>
      </c>
      <c r="CU66" s="507" t="str">
        <f>IF(OR(ISNA(VLOOKUP($B66,'TICH LUY'!$B$11:$BY$85,58,0)),$B66=""),"",VLOOKUP($B66,'TICH LUY'!$B$11:$BY$85,58,0))</f>
        <v/>
      </c>
      <c r="CV66" s="507" t="str">
        <f>IF(OR(ISNA(VLOOKUP($B66,'TICH LUY'!$B$11:$BY$85,59,0)),$B66=""),"",VLOOKUP($B66,'TICH LUY'!$B$11:$BY$85,59,0))</f>
        <v/>
      </c>
      <c r="CW66" s="507" t="str">
        <f>IF(OR(ISNA(VLOOKUP($B66,'TICH LUY'!$B$11:$BY$85,60,0)),$B66=""),"",VLOOKUP($B66,'TICH LUY'!$B$11:$BY$85,60,0))</f>
        <v/>
      </c>
      <c r="CX66" s="507" t="str">
        <f>IF(OR(ISNA(VLOOKUP($B66,'TICH LUY'!$B$11:$BY$85,61,0)),$B66=""),"",VLOOKUP($B66,'TICH LUY'!$B$11:$BY$85,61,0))</f>
        <v/>
      </c>
      <c r="CY66" s="507" t="str">
        <f>IF(OR(ISNA(VLOOKUP($B66,'TICH LUY'!$B$11:$BY$85,62,0)),$B66=""),"",VLOOKUP($B66,'TICH LUY'!$B$11:$BY$85,62,0))</f>
        <v/>
      </c>
      <c r="CZ66" s="507" t="str">
        <f>IF(OR(ISNA(VLOOKUP($B66,'TICH LUY'!$B$11:$BY$85,63,0)),$B66=""),"",VLOOKUP($B66,'TICH LUY'!$B$11:$BY$85,63,0))</f>
        <v/>
      </c>
      <c r="DA66" s="507" t="str">
        <f>IF(OR(ISNA(VLOOKUP($B66,'TICH LUY'!$B$11:$BY$85,64,0)),$B66=""),"",VLOOKUP($B66,'TICH LUY'!$B$11:$BY$85,64,0))</f>
        <v/>
      </c>
      <c r="DB66" s="507" t="str">
        <f>IF(OR(ISNA(VLOOKUP($B66,'TICH LUY'!$B$11:$BY$85,65,0)),$B66=""),"",VLOOKUP($B66,'TICH LUY'!$B$11:$BY$85,65,0))</f>
        <v/>
      </c>
      <c r="DC66" s="507" t="str">
        <f>IF(OR(ISNA(VLOOKUP($B66,'TICH LUY'!$B$11:$BY$85,66,0)),$B66=""),"",VLOOKUP($B66,'TICH LUY'!$B$11:$BY$85,66,0))</f>
        <v/>
      </c>
      <c r="DD66" s="507" t="str">
        <f>IF(OR(ISNA(VLOOKUP($B66,'TICH LUY'!$B$11:$BY$85,67,0)),$B66=""),"",VLOOKUP($B66,'TICH LUY'!$B$11:$BY$85,67,0))</f>
        <v/>
      </c>
      <c r="DE66" s="507" t="str">
        <f>IF(OR(ISNA(VLOOKUP($B66,'TICH LUY'!$B$11:$BY$85,68,0)),$B66=""),"",VLOOKUP($B66,'TICH LUY'!$B$11:$BY$85,68,0))</f>
        <v/>
      </c>
      <c r="DF66" s="507" t="str">
        <f>IF(OR(ISNA(VLOOKUP($B66,'TICH LUY'!$B$11:$BY$85,69,0)),$B66=""),"",VLOOKUP($B66,'TICH LUY'!$B$11:$BY$85,69,0))</f>
        <v/>
      </c>
      <c r="DG66" s="507" t="str">
        <f>IF(OR(ISNA(VLOOKUP($B66,'TICH LUY'!$B$11:$BY$85,70,0)),$B66=""),"",VLOOKUP($B66,'TICH LUY'!$B$11:$BY$85,70,0))</f>
        <v/>
      </c>
      <c r="DH66" s="507" t="str">
        <f>IF(OR(ISNA(VLOOKUP($B66,'TICH LUY'!$B$11:$BY$85,71,0)),$B66=""),"",VLOOKUP($B66,'TICH LUY'!$B$11:$BY$85,71,0))</f>
        <v/>
      </c>
      <c r="DI66" s="507" t="str">
        <f>IF(OR(ISNA(VLOOKUP($B66,'TICH LUY'!$B$11:$BY$85,72,0)),$B66=""),"",VLOOKUP($B66,'TICH LUY'!$B$11:$BY$85,72,0))</f>
        <v/>
      </c>
      <c r="DJ66" s="507" t="str">
        <f>IF(OR(ISNA(VLOOKUP($B66,'TICH LUY'!$B$11:$BY$85,73,0)),$B66=""),"",VLOOKUP($B66,'TICH LUY'!$B$11:$BY$85,73,0))</f>
        <v/>
      </c>
      <c r="DK66" s="507" t="str">
        <f>IF(OR(ISNA(VLOOKUP($B66,'TICH LUY'!$B$11:$BY$85,74,0)),$B66=""),"",VLOOKUP($B66,'TICH LUY'!$B$11:$BY$85,74,0))</f>
        <v/>
      </c>
      <c r="DL66" s="507" t="str">
        <f>IF(OR(ISNA(VLOOKUP($B66,'TICH LUY'!$B$11:$BY$85,75,0)),$B66=""),"",VLOOKUP($B66,'TICH LUY'!$B$11:$BY$85,75,0))</f>
        <v/>
      </c>
      <c r="DM66" s="529" t="str">
        <f>IF(OR(ISNA(VLOOKUP($B66,'TICH LUY'!$B$11:$BY$85,76,0)),$B66=""),"",VLOOKUP($B66,'TICH LUY'!$B$11:$BY$85,76,0))</f>
        <v/>
      </c>
      <c r="DN66" s="455" t="str">
        <f t="shared" si="37"/>
        <v/>
      </c>
      <c r="DO66" s="456" t="str">
        <f t="shared" si="38"/>
        <v/>
      </c>
      <c r="DP66" s="456" t="str">
        <f t="shared" si="39"/>
        <v/>
      </c>
      <c r="DQ66" s="456" t="str">
        <f t="shared" si="40"/>
        <v/>
      </c>
      <c r="DR66" s="456" t="str">
        <f t="shared" si="41"/>
        <v/>
      </c>
      <c r="DS66" s="456" t="str">
        <f t="shared" si="42"/>
        <v/>
      </c>
      <c r="DT66" s="456" t="str">
        <f t="shared" si="43"/>
        <v/>
      </c>
      <c r="DU66" s="456" t="str">
        <f t="shared" si="44"/>
        <v/>
      </c>
      <c r="DV66" s="456" t="str">
        <f t="shared" si="45"/>
        <v/>
      </c>
      <c r="DW66" s="456" t="str">
        <f t="shared" si="46"/>
        <v/>
      </c>
      <c r="DX66" s="456" t="str">
        <f t="shared" si="47"/>
        <v/>
      </c>
      <c r="DY66" s="457" t="str">
        <f t="shared" si="48"/>
        <v/>
      </c>
      <c r="DZ66" s="453" t="str">
        <f t="shared" si="115"/>
        <v/>
      </c>
      <c r="EA66" s="452" t="str">
        <f t="shared" si="50"/>
        <v/>
      </c>
      <c r="EB66" s="452" t="str">
        <f t="shared" si="116"/>
        <v/>
      </c>
      <c r="EC66" s="452" t="str">
        <f t="shared" si="117"/>
        <v/>
      </c>
      <c r="ED66" s="452" t="str">
        <f t="shared" si="118"/>
        <v/>
      </c>
      <c r="EE66" s="452" t="str">
        <f t="shared" si="119"/>
        <v/>
      </c>
      <c r="EF66" s="452" t="str">
        <f t="shared" si="120"/>
        <v/>
      </c>
      <c r="EG66" s="452" t="str">
        <f t="shared" si="56"/>
        <v/>
      </c>
      <c r="EH66" s="452" t="str">
        <f t="shared" si="57"/>
        <v/>
      </c>
      <c r="EI66" s="453" t="str">
        <f t="shared" si="58"/>
        <v/>
      </c>
      <c r="EJ66" s="452" t="str">
        <f t="shared" si="59"/>
        <v/>
      </c>
      <c r="EK66" s="452" t="str">
        <f t="shared" si="60"/>
        <v/>
      </c>
      <c r="EL66" s="452" t="str">
        <f t="shared" si="61"/>
        <v/>
      </c>
      <c r="EM66" s="452" t="str">
        <f t="shared" si="62"/>
        <v/>
      </c>
      <c r="EN66" s="452" t="str">
        <f t="shared" si="63"/>
        <v/>
      </c>
      <c r="EO66" s="452" t="str">
        <f t="shared" si="64"/>
        <v/>
      </c>
      <c r="EP66" s="452" t="str">
        <f t="shared" si="65"/>
        <v/>
      </c>
      <c r="EQ66" s="452" t="str">
        <f t="shared" si="66"/>
        <v/>
      </c>
      <c r="ER66" s="452" t="str">
        <f t="shared" si="67"/>
        <v/>
      </c>
      <c r="ES66" s="452" t="str">
        <f t="shared" si="106"/>
        <v/>
      </c>
      <c r="ET66" s="458" t="str">
        <f t="shared" si="68"/>
        <v/>
      </c>
      <c r="EU66" s="527" t="str">
        <f>IF(OR(ISNA(VLOOKUP($B66,'TICH LUY'!$B$11:$BY$85,54,0)),$B66=""),"",VLOOKUP($B66,'TICH LUY'!$B$11:$BY$85,54,0))</f>
        <v/>
      </c>
      <c r="EV66" s="507" t="str">
        <f>IF(OR(ISNA(VLOOKUP($B66,'TICH LUY'!$B$11:$BY$85,55,0)),$B66=""),"",VLOOKUP($B66,'TICH LUY'!$B$11:$BY$85,55,0))</f>
        <v/>
      </c>
      <c r="EW66" s="507" t="str">
        <f>IF(OR(ISNA(VLOOKUP($B66,'TICH LUY'!$B$11:$BY$85,56,0)),$B66=""),"",VLOOKUP($B66,'TICH LUY'!$B$11:$BY$85,56,0))</f>
        <v/>
      </c>
      <c r="EX66" s="507" t="str">
        <f>IF(OR(ISNA(VLOOKUP($B66,'TICH LUY'!$B$11:$BY$85,57,0)),$B66=""),"",VLOOKUP($B66,'TICH LUY'!$B$11:$BY$85,57,0))</f>
        <v/>
      </c>
      <c r="EY66" s="507" t="str">
        <f>IF(OR(ISNA(VLOOKUP($B66,'TICH LUY'!$B$11:$BY$85,58,0)),$B66=""),"",VLOOKUP($B66,'TICH LUY'!$B$11:$BY$85,58,0))</f>
        <v/>
      </c>
      <c r="EZ66" s="507" t="str">
        <f>IF(OR(ISNA(VLOOKUP($B66,'TICH LUY'!$B$11:$BY$85,59,0)),$B66=""),"",VLOOKUP($B66,'TICH LUY'!$B$11:$BY$85,59,0))</f>
        <v/>
      </c>
      <c r="FA66" s="507" t="str">
        <f>IF(OR(ISNA(VLOOKUP($B66,'TICH LUY'!$B$11:$BY$85,60,0)),$B66=""),"",VLOOKUP($B66,'TICH LUY'!$B$11:$BY$85,60,0))</f>
        <v/>
      </c>
      <c r="FB66" s="507" t="str">
        <f>IF(OR(ISNA(VLOOKUP($B66,'TICH LUY'!$B$11:$BY$85,61,0)),$B66=""),"",VLOOKUP($B66,'TICH LUY'!$B$11:$BY$85,61,0))</f>
        <v/>
      </c>
      <c r="FC66" s="507" t="str">
        <f>IF(OR(ISNA(VLOOKUP($B66,'TICH LUY'!$B$11:$BY$85,62,0)),$B66=""),"",VLOOKUP($B66,'TICH LUY'!$B$11:$BY$85,62,0))</f>
        <v/>
      </c>
      <c r="FD66" s="507" t="str">
        <f>IF(OR(ISNA(VLOOKUP($B66,'TICH LUY'!$B$11:$BY$85,63,0)),$B66=""),"",VLOOKUP($B66,'TICH LUY'!$B$11:$BY$85,63,0))</f>
        <v/>
      </c>
      <c r="FE66" s="507" t="str">
        <f>IF(OR(ISNA(VLOOKUP($B66,'TICH LUY'!$B$11:$BY$85,64,0)),$B66=""),"",VLOOKUP($B66,'TICH LUY'!$B$11:$BY$85,64,0))</f>
        <v/>
      </c>
      <c r="FF66" s="507" t="str">
        <f>IF(OR(ISNA(VLOOKUP($B66,'TICH LUY'!$B$11:$BY$85,65,0)),$B66=""),"",VLOOKUP($B66,'TICH LUY'!$B$11:$BY$85,65,0))</f>
        <v/>
      </c>
      <c r="FG66" s="507" t="str">
        <f>IF(OR(ISNA(VLOOKUP($B66,'TICH LUY'!$B$11:$BY$85,66,0)),$B66=""),"",VLOOKUP($B66,'TICH LUY'!$B$11:$BY$85,66,0))</f>
        <v/>
      </c>
      <c r="FH66" s="507" t="str">
        <f>IF(OR(ISNA(VLOOKUP($B66,'TICH LUY'!$B$11:$BY$85,67,0)),$B66=""),"",VLOOKUP($B66,'TICH LUY'!$B$11:$BY$85,67,0))</f>
        <v/>
      </c>
      <c r="FI66" s="507" t="str">
        <f>IF(OR(ISNA(VLOOKUP($B66,'TICH LUY'!$B$11:$BY$85,68,0)),$B66=""),"",VLOOKUP($B66,'TICH LUY'!$B$11:$BY$85,68,0))</f>
        <v/>
      </c>
      <c r="FJ66" s="507" t="str">
        <f>IF(OR(ISNA(VLOOKUP($B66,'TICH LUY'!$B$11:$BY$85,69,0)),$B66=""),"",VLOOKUP($B66,'TICH LUY'!$B$11:$BY$85,69,0))</f>
        <v/>
      </c>
      <c r="FK66" s="507" t="str">
        <f>IF(OR(ISNA(VLOOKUP($B66,'TICH LUY'!$B$11:$BY$85,70,0)),$B66=""),"",VLOOKUP($B66,'TICH LUY'!$B$11:$BY$85,70,0))</f>
        <v/>
      </c>
      <c r="FL66" s="507" t="str">
        <f>IF(OR(ISNA(VLOOKUP($B66,'TICH LUY'!$B$11:$BY$85,71,0)),$B66=""),"",VLOOKUP($B66,'TICH LUY'!$B$11:$BY$85,71,0))</f>
        <v/>
      </c>
      <c r="FM66" s="507" t="str">
        <f>IF(OR(ISNA(VLOOKUP($B66,'TICH LUY'!$B$11:$BY$85,72,0)),$B66=""),"",VLOOKUP($B66,'TICH LUY'!$B$11:$BY$85,72,0))</f>
        <v/>
      </c>
      <c r="FN66" s="507" t="str">
        <f>IF(OR(ISNA(VLOOKUP($B66,'TICH LUY'!$B$11:$BY$85,73,0)),$B66=""),"",VLOOKUP($B66,'TICH LUY'!$B$11:$BY$85,73,0))</f>
        <v/>
      </c>
      <c r="FO66" s="507" t="str">
        <f>IF(OR(ISNA(VLOOKUP($B66,'TICH LUY'!$B$11:$BY$85,74,0)),$B66=""),"",VLOOKUP($B66,'TICH LUY'!$B$11:$BY$85,74,0))</f>
        <v/>
      </c>
      <c r="FP66" s="507" t="str">
        <f>IF(OR(ISNA(VLOOKUP($B66,'TICH LUY'!$B$11:$BY$85,75,0)),$B66=""),"",VLOOKUP($B66,'TICH LUY'!$B$11:$BY$85,75,0))</f>
        <v/>
      </c>
      <c r="FQ66" s="529" t="str">
        <f>IF(OR(ISNA(VLOOKUP($B66,'TICH LUY'!$B$11:$BY$85,76,0)),$B66=""),"",VLOOKUP($B66,'TICH LUY'!$B$11:$BY$85,76,0))</f>
        <v/>
      </c>
      <c r="FR66" s="455" t="str">
        <f t="shared" si="69"/>
        <v/>
      </c>
      <c r="FS66" s="456" t="str">
        <f t="shared" si="70"/>
        <v/>
      </c>
      <c r="FT66" s="456" t="str">
        <f t="shared" si="71"/>
        <v/>
      </c>
      <c r="FU66" s="456" t="str">
        <f t="shared" si="72"/>
        <v/>
      </c>
      <c r="FV66" s="456" t="str">
        <f t="shared" si="73"/>
        <v/>
      </c>
      <c r="FW66" s="456" t="str">
        <f t="shared" si="74"/>
        <v/>
      </c>
      <c r="FX66" s="456" t="str">
        <f t="shared" si="75"/>
        <v/>
      </c>
      <c r="FY66" s="456" t="str">
        <f t="shared" si="76"/>
        <v/>
      </c>
      <c r="FZ66" s="456" t="str">
        <f t="shared" si="77"/>
        <v/>
      </c>
      <c r="GA66" s="456" t="str">
        <f t="shared" si="78"/>
        <v/>
      </c>
      <c r="GB66" s="459" t="str">
        <f t="shared" si="79"/>
        <v/>
      </c>
      <c r="GC66" s="457" t="str">
        <f t="shared" si="107"/>
        <v/>
      </c>
    </row>
    <row r="67" spans="1:202" s="221" customFormat="1" ht="15.75">
      <c r="A67" s="449" t="str">
        <f>IF(B67="","",SUBTOTAL(3,$B$11:B67))</f>
        <v/>
      </c>
      <c r="B67" s="460"/>
      <c r="C67" s="450" t="str">
        <f>IF($B67="","",VLOOKUP($B67,'DS LOP HKI'!$B$2:$F$2642,2,0))</f>
        <v/>
      </c>
      <c r="D67" s="451" t="str">
        <f>IF($B67="","",VLOOKUP($B67,'DS LOP HKI'!$B$2:$F$2642,3,0))</f>
        <v/>
      </c>
      <c r="E67" s="154"/>
      <c r="F67" s="152"/>
      <c r="G67" s="156"/>
      <c r="H67" s="181" t="str">
        <f>IF(OR($H$6="",$H$7=""),"",IF($B67="","",IF(ISNA(VLOOKUP($B67,'LT01'!$B$11:$R$75,13,FALSE)),"",IF(VLOOKUP($B67,'LT01'!$B$11:$R$75,13,FALSE)="","",VLOOKUP($B67,'LT01'!$B$11:$R$75,13,FALSE)))))</f>
        <v/>
      </c>
      <c r="I67" s="182" t="str">
        <f>IF(OR($H$6="",$H$7=""),"",IF($B67="","",IF(ISNA(VLOOKUP($B67,'LT01'!$B$11:$R$75,14,FALSE)),"",VLOOKUP($B67,'LT01'!$B$11:$R$75,14,FALSE))))</f>
        <v/>
      </c>
      <c r="J67" s="183"/>
      <c r="K67" s="182" t="str">
        <f>IF(OR($H$6="",$H$7=""),"",IF($B67="","",IF(ISNA(VLOOKUP($B67,'LT01'!$B$11:$R$75,17,FALSE)),"",VLOOKUP($B67,'LT01'!$B$11:$R$75,17,FALSE))))</f>
        <v/>
      </c>
      <c r="L67" s="185" t="str">
        <f>IF(OR($H$6="",$H$7=""),"",IF($B67="","",IF(ISNA(VLOOKUP($B67,'LT02'!$B$11:$R$75,13,FALSE)),"",IF(VLOOKUP($B67,'LT02'!$B$11:$R$75,13,FALSE)="","",VLOOKUP($B67,'LT02'!$B$11:$R$75,13,FALSE)))))</f>
        <v/>
      </c>
      <c r="M67" s="182" t="str">
        <f>IF(OR($H$6="",$H$7=""),"",IF($B67="","",IF(ISNA(VLOOKUP($B67,'LT02'!$B$11:$R$75,14,FALSE)),"",VLOOKUP($B67,'LT02'!$B$11:$R$75,14,FALSE))))</f>
        <v/>
      </c>
      <c r="N67" s="183"/>
      <c r="O67" s="182" t="str">
        <f>IF(OR($H$6="",$H$7=""),"",IF($B67="","",IF(ISNA(VLOOKUP($B67,'LT02'!$B$11:$R$75,17,FALSE)),"",VLOOKUP($B67,'LT02'!$B$11:$R$75,17,FALSE))))</f>
        <v/>
      </c>
      <c r="P67" s="185" t="str">
        <f>IF(OR($H$6="",$H$7=""),"",IF($B67="","",IF(ISNA(VLOOKUP($B67,'LT03'!$B$11:$R$75,13,FALSE)),"",IF(VLOOKUP($B67,'LT03'!$B$11:$R$75,13,FALSE)="","",VLOOKUP($B67,'LT03'!$B$11:$R$75,13,FALSE)))))</f>
        <v/>
      </c>
      <c r="Q67" s="182" t="str">
        <f>IF(OR($H$6="",$H$7=""),"",IF($B67="","",IF(ISNA(VLOOKUP($B67,'LT03'!$B$11:$R$75,14,FALSE)),"",VLOOKUP($B67,'LT03'!$B$11:$R$75,14,FALSE))))</f>
        <v/>
      </c>
      <c r="R67" s="183"/>
      <c r="S67" s="182" t="str">
        <f>IF(OR($H$6="",$H$7=""),"",IF($B67="","",IF(ISNA(VLOOKUP($B67,'LT03'!$B$11:$R$75,17,FALSE)),"",VLOOKUP($B67,'LT03'!$B$11:$R$75,17,FALSE))))</f>
        <v/>
      </c>
      <c r="T67" s="185" t="str">
        <f>IF(OR($H$6="",$H$7=""),"",IF($B67="","",IF(ISNA(VLOOKUP($B67,'LT04'!$B$11:$R$75,13,FALSE)),"",IF(VLOOKUP($B67,'LT04'!$B$11:$R$75,13,FALSE)="","",VLOOKUP($B67,'LT04'!$B$11:$R$75,13,FALSE)))))</f>
        <v/>
      </c>
      <c r="U67" s="182" t="str">
        <f>IF(OR($H$6="",$H$7=""),"",IF($B67="","",IF(ISNA(VLOOKUP($B67,'LT04'!$B$11:$R$75,14,FALSE)),"",VLOOKUP($B67,'LT04'!$B$11:$R$75,14,FALSE))))</f>
        <v/>
      </c>
      <c r="V67" s="183"/>
      <c r="W67" s="184" t="str">
        <f>IF(OR($H$6="",$H$7=""),"",IF($B67="","",IF(ISNA(VLOOKUP($B67,'LT04'!$B$11:$R$75,17,FALSE)),"",VLOOKUP($B67,'LT04'!$B$11:$R$75,17,FALSE))))</f>
        <v/>
      </c>
      <c r="X67" s="185" t="str">
        <f>IF(OR($H$6="",$H$7=""),"",IF($B67="","",IF(ISNA(VLOOKUP($B67,'LT05'!$B$11:$R$75,13,FALSE)),"",IF(VLOOKUP($B67,'LT05'!$B$11:$R$75,13,FALSE)="","",VLOOKUP($B67,'LT05'!$B$11:$R$75,13,FALSE)))))</f>
        <v/>
      </c>
      <c r="Y67" s="182" t="str">
        <f>IF(OR($H$6="",$H$7=""),"",IF($B67="","",IF(ISNA(VLOOKUP($B67,'LT05'!$B$11:$R$75,14,FALSE)),"",VLOOKUP($B67,'LT05'!$B$11:$R$75,14,FALSE))))</f>
        <v/>
      </c>
      <c r="Z67" s="183"/>
      <c r="AA67" s="182" t="str">
        <f>IF(OR($H$6="",$H$7=""),"",IF($B67="","",IF(ISNA(VLOOKUP($B67,'LT05'!$B$11:$R$75,17,FALSE)),"",VLOOKUP($B67,'LT05'!$B$11:$R$75,17,FALSE))))</f>
        <v/>
      </c>
      <c r="AB67" s="185" t="str">
        <f>IF(OR($H$6="",$H$7=""),"",IF($B67="","",IF(ISNA(VLOOKUP($B67,'LT06'!$B$11:$R$75,13,FALSE)),"",IF(VLOOKUP($B67,'LT06'!$B$11:$R$75,13,FALSE)="","",VLOOKUP($B67,'LT06'!$B$11:$R$75,13,FALSE)))))</f>
        <v/>
      </c>
      <c r="AC67" s="182" t="str">
        <f>IF(OR($H$6="",$H$7=""),"",IF($B67="","",IF(ISNA(VLOOKUP($B67,'LT06'!$B$11:$R$75,14,FALSE)),"",VLOOKUP($B67,'LT06'!$B$11:$R$75,14,FALSE))))</f>
        <v/>
      </c>
      <c r="AD67" s="183"/>
      <c r="AE67" s="182" t="str">
        <f>IF(OR($H$6="",$H$7=""),"",IF($B67="","",IF(ISNA(VLOOKUP($B67,'LT06'!$B$11:$R$75,17,FALSE)),"",VLOOKUP($B67,'LT06'!$B$11:$R$75,17,FALSE))))</f>
        <v/>
      </c>
      <c r="AF67" s="185" t="str">
        <f>IF(OR($H$6="",$H$7=""),"",IF($B67="","",IF(ISNA(VLOOKUP($B67,'LT07'!$B$11:$R$75,13,FALSE)),"",IF(VLOOKUP($B67,'LT07'!$B$11:$R$75,13,FALSE)="","",VLOOKUP($B67,'LT07'!$B$11:$R$75,13,FALSE)))))</f>
        <v/>
      </c>
      <c r="AG67" s="182" t="str">
        <f>IF(OR($H$6="",$H$7=""),"",IF($B67="","",IF(ISNA(VLOOKUP($B67,'LT07'!$B$11:$R$75,14,FALSE)),"",VLOOKUP($B67,'LT07'!$B$11:$R$75,14,FALSE))))</f>
        <v/>
      </c>
      <c r="AH67" s="183"/>
      <c r="AI67" s="182" t="str">
        <f>IF(OR($H$6="",$H$7=""),"",IF($B67="","",IF(ISNA(VLOOKUP($B67,'LT07'!$B$11:$R$75,17,FALSE)),"",VLOOKUP($B67,'LT07'!$B$11:$R$75,17,FALSE))))</f>
        <v/>
      </c>
      <c r="AJ67" s="185" t="str">
        <f>IF(OR($H$6="",$H$7=""),"",IF($B67="","",IF(ISNA(VLOOKUP($B67,'LT08'!$B$11:$R$75,13,FALSE)),"",IF(VLOOKUP($B67,'LT08'!$B$11:$R$75,13,FALSE)="","",VLOOKUP($B67,'LT08'!$B$11:$R$75,13,FALSE)))))</f>
        <v/>
      </c>
      <c r="AK67" s="182" t="str">
        <f>IF(OR($H$6="",$H$7=""),"",IF($B67="","",IF(ISNA(VLOOKUP($B67,'LT08'!$B$11:$R$75,14,FALSE)),"",VLOOKUP($B67,'LT08'!$B$11:$R$75,14,FALSE))))</f>
        <v/>
      </c>
      <c r="AL67" s="183"/>
      <c r="AM67" s="182" t="str">
        <f>IF(OR($H$6="",$H$7=""),"",IF($B67="","",IF(ISNA(VLOOKUP($B67,'LT08'!$B$11:$R$75,17,FALSE)),"",VLOOKUP($B67,'LT08'!$B$11:$R$75,17,FALSE))))</f>
        <v/>
      </c>
      <c r="AN67" s="185" t="str">
        <f>IF(OR($H$6="",$H$7=""),"",IF($B67="","",IF(ISNA(VLOOKUP($B67,'LT09'!$B$11:$R$75,13,FALSE)),"",IF(VLOOKUP($B67,'LT09'!$B$11:$R$75,13,FALSE)="","",VLOOKUP($B67,'LT09'!$B$11:$R$75,13,FALSE)))))</f>
        <v/>
      </c>
      <c r="AO67" s="182" t="str">
        <f>IF(OR($H$6="",$H$7=""),"",IF($B67="","",IF(ISNA(VLOOKUP($B67,'LT09'!$B$11:$R$75,14,FALSE)),"",VLOOKUP($B67,'LT09'!$B$11:$R$75,14,FALSE))))</f>
        <v/>
      </c>
      <c r="AP67" s="183"/>
      <c r="AQ67" s="182" t="str">
        <f>IF(OR($H$6="",$H$7=""),"",IF($B67="","",IF(ISNA(VLOOKUP($B67,'LT09'!$B$11:$R$75,17,FALSE)),"",VLOOKUP($B67,'LT09'!$B$11:$R$75,17,FALSE))))</f>
        <v/>
      </c>
      <c r="AR67" s="186"/>
      <c r="AS67" s="182" t="str">
        <f>IF(OR($H$6="",$H$7=""),"",IF($B67="","",IF(ISNA(VLOOKUP($B67,'TH01'!$B$11:$R$75,14,FALSE)),"",VLOOKUP($B67,'TH01'!$B$11:$R$75,14,FALSE))))</f>
        <v/>
      </c>
      <c r="AT67" s="183"/>
      <c r="AU67" s="187"/>
      <c r="AV67" s="186"/>
      <c r="AW67" s="182" t="str">
        <f>IF(OR($H$6="",$H$7=""),"",IF($B67="","",IF(ISNA(VLOOKUP($B67,'TH02'!$B$11:$R$75,14,FALSE)),"",VLOOKUP($B67,'TH02'!$B$11:$R$75,14,FALSE))))</f>
        <v/>
      </c>
      <c r="AX67" s="183"/>
      <c r="AY67" s="187"/>
      <c r="AZ67" s="54" t="str">
        <f t="shared" si="108"/>
        <v/>
      </c>
      <c r="BA67" s="54" t="str">
        <f t="shared" si="0"/>
        <v/>
      </c>
      <c r="BB67" s="70"/>
      <c r="BC67" s="52" t="str">
        <f t="shared" si="25"/>
        <v/>
      </c>
      <c r="BD67" s="52" t="str">
        <f t="shared" si="26"/>
        <v/>
      </c>
      <c r="BE67" s="52" t="str">
        <f t="shared" si="86"/>
        <v/>
      </c>
      <c r="BF67" s="149" t="str">
        <f t="shared" si="87"/>
        <v/>
      </c>
      <c r="BG67" s="52" t="str">
        <f t="shared" si="88"/>
        <v/>
      </c>
      <c r="BH67" s="52" t="str">
        <f t="shared" si="89"/>
        <v/>
      </c>
      <c r="BI67" s="52" t="str">
        <f t="shared" si="90"/>
        <v/>
      </c>
      <c r="BJ67" s="52" t="str">
        <f t="shared" si="91"/>
        <v/>
      </c>
      <c r="BK67" s="54" t="str">
        <f t="shared" si="92"/>
        <v/>
      </c>
      <c r="BL67" s="54" t="str">
        <f t="shared" si="93"/>
        <v/>
      </c>
      <c r="BM67" s="54" t="str">
        <f t="shared" si="94"/>
        <v/>
      </c>
      <c r="BN67" s="54" t="str">
        <f t="shared" si="95"/>
        <v/>
      </c>
      <c r="BO67" s="70"/>
      <c r="BP67" s="52" t="str">
        <f>IF(ISNA(VLOOKUP(B67,'TICH LUY'!B:D,2,0)),"",VLOOKUP(B67,'TICH LUY'!B:D,2,0)+BI67)</f>
        <v/>
      </c>
      <c r="BQ67" s="52" t="str">
        <f>IF(ISNA(VLOOKUP(B67,'TICH LUY'!B:D,3,0)),"",VLOOKUP(B67,'TICH LUY'!B:D,3,0)+BJ67)</f>
        <v/>
      </c>
      <c r="BR67" s="40" t="str">
        <f t="shared" si="96"/>
        <v/>
      </c>
      <c r="BS67" s="452" t="str">
        <f t="shared" si="97"/>
        <v/>
      </c>
      <c r="BT67" s="452" t="str">
        <f t="shared" si="98"/>
        <v/>
      </c>
      <c r="BU67" s="452" t="str">
        <f t="shared" si="99"/>
        <v/>
      </c>
      <c r="BV67" s="452" t="str">
        <f t="shared" si="100"/>
        <v/>
      </c>
      <c r="BW67" s="452" t="str">
        <f t="shared" si="101"/>
        <v/>
      </c>
      <c r="BX67" s="452" t="str">
        <f t="shared" si="102"/>
        <v/>
      </c>
      <c r="BY67" s="452" t="str">
        <f t="shared" si="103"/>
        <v/>
      </c>
      <c r="BZ67" s="452" t="str">
        <f t="shared" si="28"/>
        <v/>
      </c>
      <c r="CA67" s="452" t="str">
        <f t="shared" si="29"/>
        <v/>
      </c>
      <c r="CB67" s="452" t="str">
        <f t="shared" si="30"/>
        <v/>
      </c>
      <c r="CC67" s="452" t="str">
        <f t="shared" si="104"/>
        <v/>
      </c>
      <c r="CD67" s="40" t="str">
        <f t="shared" si="31"/>
        <v/>
      </c>
      <c r="CE67" s="453" t="str">
        <f t="shared" si="109"/>
        <v/>
      </c>
      <c r="CF67" s="452" t="str">
        <f t="shared" si="32"/>
        <v/>
      </c>
      <c r="CG67" s="452" t="str">
        <f t="shared" si="110"/>
        <v/>
      </c>
      <c r="CH67" s="452" t="str">
        <f t="shared" si="111"/>
        <v/>
      </c>
      <c r="CI67" s="452" t="str">
        <f t="shared" si="112"/>
        <v/>
      </c>
      <c r="CJ67" s="452" t="str">
        <f t="shared" si="113"/>
        <v/>
      </c>
      <c r="CK67" s="452" t="str">
        <f t="shared" si="114"/>
        <v/>
      </c>
      <c r="CL67" s="452" t="str">
        <f t="shared" si="33"/>
        <v/>
      </c>
      <c r="CM67" s="452" t="str">
        <f t="shared" si="34"/>
        <v/>
      </c>
      <c r="CN67" s="452" t="str">
        <f t="shared" si="35"/>
        <v/>
      </c>
      <c r="CO67" s="452" t="str">
        <f t="shared" si="105"/>
        <v/>
      </c>
      <c r="CP67" s="454" t="str">
        <f t="shared" si="36"/>
        <v/>
      </c>
      <c r="CQ67" s="527" t="str">
        <f>IF(OR(ISNA(VLOOKUP($B67,'TICH LUY'!$B$11:$BY$85,54,0)),$B67=""),"",VLOOKUP($B67,'TICH LUY'!$B$11:$BY$85,54,0))</f>
        <v/>
      </c>
      <c r="CR67" s="507" t="str">
        <f>IF(OR(ISNA(VLOOKUP($B67,'TICH LUY'!$B$11:$BY$85,55,0)),$B67=""),"",VLOOKUP($B67,'TICH LUY'!$B$11:$BY$85,55,0))</f>
        <v/>
      </c>
      <c r="CS67" s="507" t="str">
        <f>IF(OR(ISNA(VLOOKUP($B67,'TICH LUY'!$B$11:$BY$85,56,0)),$B67=""),"",VLOOKUP($B67,'TICH LUY'!$B$11:$BY$85,56,0))</f>
        <v/>
      </c>
      <c r="CT67" s="507" t="str">
        <f>IF(OR(ISNA(VLOOKUP($B67,'TICH LUY'!$B$11:$BY$85,57,0)),$B67=""),"",VLOOKUP($B67,'TICH LUY'!$B$11:$BY$85,57,0))</f>
        <v/>
      </c>
      <c r="CU67" s="507" t="str">
        <f>IF(OR(ISNA(VLOOKUP($B67,'TICH LUY'!$B$11:$BY$85,58,0)),$B67=""),"",VLOOKUP($B67,'TICH LUY'!$B$11:$BY$85,58,0))</f>
        <v/>
      </c>
      <c r="CV67" s="507" t="str">
        <f>IF(OR(ISNA(VLOOKUP($B67,'TICH LUY'!$B$11:$BY$85,59,0)),$B67=""),"",VLOOKUP($B67,'TICH LUY'!$B$11:$BY$85,59,0))</f>
        <v/>
      </c>
      <c r="CW67" s="507" t="str">
        <f>IF(OR(ISNA(VLOOKUP($B67,'TICH LUY'!$B$11:$BY$85,60,0)),$B67=""),"",VLOOKUP($B67,'TICH LUY'!$B$11:$BY$85,60,0))</f>
        <v/>
      </c>
      <c r="CX67" s="507" t="str">
        <f>IF(OR(ISNA(VLOOKUP($B67,'TICH LUY'!$B$11:$BY$85,61,0)),$B67=""),"",VLOOKUP($B67,'TICH LUY'!$B$11:$BY$85,61,0))</f>
        <v/>
      </c>
      <c r="CY67" s="507" t="str">
        <f>IF(OR(ISNA(VLOOKUP($B67,'TICH LUY'!$B$11:$BY$85,62,0)),$B67=""),"",VLOOKUP($B67,'TICH LUY'!$B$11:$BY$85,62,0))</f>
        <v/>
      </c>
      <c r="CZ67" s="507" t="str">
        <f>IF(OR(ISNA(VLOOKUP($B67,'TICH LUY'!$B$11:$BY$85,63,0)),$B67=""),"",VLOOKUP($B67,'TICH LUY'!$B$11:$BY$85,63,0))</f>
        <v/>
      </c>
      <c r="DA67" s="507" t="str">
        <f>IF(OR(ISNA(VLOOKUP($B67,'TICH LUY'!$B$11:$BY$85,64,0)),$B67=""),"",VLOOKUP($B67,'TICH LUY'!$B$11:$BY$85,64,0))</f>
        <v/>
      </c>
      <c r="DB67" s="507" t="str">
        <f>IF(OR(ISNA(VLOOKUP($B67,'TICH LUY'!$B$11:$BY$85,65,0)),$B67=""),"",VLOOKUP($B67,'TICH LUY'!$B$11:$BY$85,65,0))</f>
        <v/>
      </c>
      <c r="DC67" s="507" t="str">
        <f>IF(OR(ISNA(VLOOKUP($B67,'TICH LUY'!$B$11:$BY$85,66,0)),$B67=""),"",VLOOKUP($B67,'TICH LUY'!$B$11:$BY$85,66,0))</f>
        <v/>
      </c>
      <c r="DD67" s="507" t="str">
        <f>IF(OR(ISNA(VLOOKUP($B67,'TICH LUY'!$B$11:$BY$85,67,0)),$B67=""),"",VLOOKUP($B67,'TICH LUY'!$B$11:$BY$85,67,0))</f>
        <v/>
      </c>
      <c r="DE67" s="507" t="str">
        <f>IF(OR(ISNA(VLOOKUP($B67,'TICH LUY'!$B$11:$BY$85,68,0)),$B67=""),"",VLOOKUP($B67,'TICH LUY'!$B$11:$BY$85,68,0))</f>
        <v/>
      </c>
      <c r="DF67" s="507" t="str">
        <f>IF(OR(ISNA(VLOOKUP($B67,'TICH LUY'!$B$11:$BY$85,69,0)),$B67=""),"",VLOOKUP($B67,'TICH LUY'!$B$11:$BY$85,69,0))</f>
        <v/>
      </c>
      <c r="DG67" s="507" t="str">
        <f>IF(OR(ISNA(VLOOKUP($B67,'TICH LUY'!$B$11:$BY$85,70,0)),$B67=""),"",VLOOKUP($B67,'TICH LUY'!$B$11:$BY$85,70,0))</f>
        <v/>
      </c>
      <c r="DH67" s="507" t="str">
        <f>IF(OR(ISNA(VLOOKUP($B67,'TICH LUY'!$B$11:$BY$85,71,0)),$B67=""),"",VLOOKUP($B67,'TICH LUY'!$B$11:$BY$85,71,0))</f>
        <v/>
      </c>
      <c r="DI67" s="507" t="str">
        <f>IF(OR(ISNA(VLOOKUP($B67,'TICH LUY'!$B$11:$BY$85,72,0)),$B67=""),"",VLOOKUP($B67,'TICH LUY'!$B$11:$BY$85,72,0))</f>
        <v/>
      </c>
      <c r="DJ67" s="507" t="str">
        <f>IF(OR(ISNA(VLOOKUP($B67,'TICH LUY'!$B$11:$BY$85,73,0)),$B67=""),"",VLOOKUP($B67,'TICH LUY'!$B$11:$BY$85,73,0))</f>
        <v/>
      </c>
      <c r="DK67" s="507" t="str">
        <f>IF(OR(ISNA(VLOOKUP($B67,'TICH LUY'!$B$11:$BY$85,74,0)),$B67=""),"",VLOOKUP($B67,'TICH LUY'!$B$11:$BY$85,74,0))</f>
        <v/>
      </c>
      <c r="DL67" s="507" t="str">
        <f>IF(OR(ISNA(VLOOKUP($B67,'TICH LUY'!$B$11:$BY$85,75,0)),$B67=""),"",VLOOKUP($B67,'TICH LUY'!$B$11:$BY$85,75,0))</f>
        <v/>
      </c>
      <c r="DM67" s="529" t="str">
        <f>IF(OR(ISNA(VLOOKUP($B67,'TICH LUY'!$B$11:$BY$85,76,0)),$B67=""),"",VLOOKUP($B67,'TICH LUY'!$B$11:$BY$85,76,0))</f>
        <v/>
      </c>
      <c r="DN67" s="455" t="str">
        <f t="shared" si="37"/>
        <v/>
      </c>
      <c r="DO67" s="456" t="str">
        <f t="shared" si="38"/>
        <v/>
      </c>
      <c r="DP67" s="456" t="str">
        <f t="shared" si="39"/>
        <v/>
      </c>
      <c r="DQ67" s="456" t="str">
        <f t="shared" si="40"/>
        <v/>
      </c>
      <c r="DR67" s="456" t="str">
        <f t="shared" si="41"/>
        <v/>
      </c>
      <c r="DS67" s="456" t="str">
        <f t="shared" si="42"/>
        <v/>
      </c>
      <c r="DT67" s="456" t="str">
        <f t="shared" si="43"/>
        <v/>
      </c>
      <c r="DU67" s="456" t="str">
        <f t="shared" si="44"/>
        <v/>
      </c>
      <c r="DV67" s="456" t="str">
        <f t="shared" si="45"/>
        <v/>
      </c>
      <c r="DW67" s="456" t="str">
        <f t="shared" si="46"/>
        <v/>
      </c>
      <c r="DX67" s="456" t="str">
        <f t="shared" si="47"/>
        <v/>
      </c>
      <c r="DY67" s="457" t="str">
        <f t="shared" si="48"/>
        <v/>
      </c>
      <c r="DZ67" s="453" t="str">
        <f t="shared" si="115"/>
        <v/>
      </c>
      <c r="EA67" s="452" t="str">
        <f t="shared" si="50"/>
        <v/>
      </c>
      <c r="EB67" s="452" t="str">
        <f t="shared" si="116"/>
        <v/>
      </c>
      <c r="EC67" s="452" t="str">
        <f t="shared" si="117"/>
        <v/>
      </c>
      <c r="ED67" s="452" t="str">
        <f t="shared" si="118"/>
        <v/>
      </c>
      <c r="EE67" s="452" t="str">
        <f t="shared" si="119"/>
        <v/>
      </c>
      <c r="EF67" s="452" t="str">
        <f t="shared" si="120"/>
        <v/>
      </c>
      <c r="EG67" s="452" t="str">
        <f t="shared" si="56"/>
        <v/>
      </c>
      <c r="EH67" s="452" t="str">
        <f t="shared" si="57"/>
        <v/>
      </c>
      <c r="EI67" s="453" t="str">
        <f t="shared" si="58"/>
        <v/>
      </c>
      <c r="EJ67" s="452" t="str">
        <f t="shared" si="59"/>
        <v/>
      </c>
      <c r="EK67" s="452" t="str">
        <f t="shared" si="60"/>
        <v/>
      </c>
      <c r="EL67" s="452" t="str">
        <f t="shared" si="61"/>
        <v/>
      </c>
      <c r="EM67" s="452" t="str">
        <f t="shared" si="62"/>
        <v/>
      </c>
      <c r="EN67" s="452" t="str">
        <f t="shared" si="63"/>
        <v/>
      </c>
      <c r="EO67" s="452" t="str">
        <f t="shared" si="64"/>
        <v/>
      </c>
      <c r="EP67" s="452" t="str">
        <f t="shared" si="65"/>
        <v/>
      </c>
      <c r="EQ67" s="452" t="str">
        <f t="shared" si="66"/>
        <v/>
      </c>
      <c r="ER67" s="452" t="str">
        <f t="shared" si="67"/>
        <v/>
      </c>
      <c r="ES67" s="452" t="str">
        <f t="shared" si="106"/>
        <v/>
      </c>
      <c r="ET67" s="458" t="str">
        <f t="shared" si="68"/>
        <v/>
      </c>
      <c r="EU67" s="527" t="str">
        <f>IF(OR(ISNA(VLOOKUP($B67,'TICH LUY'!$B$11:$BY$85,54,0)),$B67=""),"",VLOOKUP($B67,'TICH LUY'!$B$11:$BY$85,54,0))</f>
        <v/>
      </c>
      <c r="EV67" s="507" t="str">
        <f>IF(OR(ISNA(VLOOKUP($B67,'TICH LUY'!$B$11:$BY$85,55,0)),$B67=""),"",VLOOKUP($B67,'TICH LUY'!$B$11:$BY$85,55,0))</f>
        <v/>
      </c>
      <c r="EW67" s="507" t="str">
        <f>IF(OR(ISNA(VLOOKUP($B67,'TICH LUY'!$B$11:$BY$85,56,0)),$B67=""),"",VLOOKUP($B67,'TICH LUY'!$B$11:$BY$85,56,0))</f>
        <v/>
      </c>
      <c r="EX67" s="507" t="str">
        <f>IF(OR(ISNA(VLOOKUP($B67,'TICH LUY'!$B$11:$BY$85,57,0)),$B67=""),"",VLOOKUP($B67,'TICH LUY'!$B$11:$BY$85,57,0))</f>
        <v/>
      </c>
      <c r="EY67" s="507" t="str">
        <f>IF(OR(ISNA(VLOOKUP($B67,'TICH LUY'!$B$11:$BY$85,58,0)),$B67=""),"",VLOOKUP($B67,'TICH LUY'!$B$11:$BY$85,58,0))</f>
        <v/>
      </c>
      <c r="EZ67" s="507" t="str">
        <f>IF(OR(ISNA(VLOOKUP($B67,'TICH LUY'!$B$11:$BY$85,59,0)),$B67=""),"",VLOOKUP($B67,'TICH LUY'!$B$11:$BY$85,59,0))</f>
        <v/>
      </c>
      <c r="FA67" s="507" t="str">
        <f>IF(OR(ISNA(VLOOKUP($B67,'TICH LUY'!$B$11:$BY$85,60,0)),$B67=""),"",VLOOKUP($B67,'TICH LUY'!$B$11:$BY$85,60,0))</f>
        <v/>
      </c>
      <c r="FB67" s="507" t="str">
        <f>IF(OR(ISNA(VLOOKUP($B67,'TICH LUY'!$B$11:$BY$85,61,0)),$B67=""),"",VLOOKUP($B67,'TICH LUY'!$B$11:$BY$85,61,0))</f>
        <v/>
      </c>
      <c r="FC67" s="507" t="str">
        <f>IF(OR(ISNA(VLOOKUP($B67,'TICH LUY'!$B$11:$BY$85,62,0)),$B67=""),"",VLOOKUP($B67,'TICH LUY'!$B$11:$BY$85,62,0))</f>
        <v/>
      </c>
      <c r="FD67" s="507" t="str">
        <f>IF(OR(ISNA(VLOOKUP($B67,'TICH LUY'!$B$11:$BY$85,63,0)),$B67=""),"",VLOOKUP($B67,'TICH LUY'!$B$11:$BY$85,63,0))</f>
        <v/>
      </c>
      <c r="FE67" s="507" t="str">
        <f>IF(OR(ISNA(VLOOKUP($B67,'TICH LUY'!$B$11:$BY$85,64,0)),$B67=""),"",VLOOKUP($B67,'TICH LUY'!$B$11:$BY$85,64,0))</f>
        <v/>
      </c>
      <c r="FF67" s="507" t="str">
        <f>IF(OR(ISNA(VLOOKUP($B67,'TICH LUY'!$B$11:$BY$85,65,0)),$B67=""),"",VLOOKUP($B67,'TICH LUY'!$B$11:$BY$85,65,0))</f>
        <v/>
      </c>
      <c r="FG67" s="507" t="str">
        <f>IF(OR(ISNA(VLOOKUP($B67,'TICH LUY'!$B$11:$BY$85,66,0)),$B67=""),"",VLOOKUP($B67,'TICH LUY'!$B$11:$BY$85,66,0))</f>
        <v/>
      </c>
      <c r="FH67" s="507" t="str">
        <f>IF(OR(ISNA(VLOOKUP($B67,'TICH LUY'!$B$11:$BY$85,67,0)),$B67=""),"",VLOOKUP($B67,'TICH LUY'!$B$11:$BY$85,67,0))</f>
        <v/>
      </c>
      <c r="FI67" s="507" t="str">
        <f>IF(OR(ISNA(VLOOKUP($B67,'TICH LUY'!$B$11:$BY$85,68,0)),$B67=""),"",VLOOKUP($B67,'TICH LUY'!$B$11:$BY$85,68,0))</f>
        <v/>
      </c>
      <c r="FJ67" s="507" t="str">
        <f>IF(OR(ISNA(VLOOKUP($B67,'TICH LUY'!$B$11:$BY$85,69,0)),$B67=""),"",VLOOKUP($B67,'TICH LUY'!$B$11:$BY$85,69,0))</f>
        <v/>
      </c>
      <c r="FK67" s="507" t="str">
        <f>IF(OR(ISNA(VLOOKUP($B67,'TICH LUY'!$B$11:$BY$85,70,0)),$B67=""),"",VLOOKUP($B67,'TICH LUY'!$B$11:$BY$85,70,0))</f>
        <v/>
      </c>
      <c r="FL67" s="507" t="str">
        <f>IF(OR(ISNA(VLOOKUP($B67,'TICH LUY'!$B$11:$BY$85,71,0)),$B67=""),"",VLOOKUP($B67,'TICH LUY'!$B$11:$BY$85,71,0))</f>
        <v/>
      </c>
      <c r="FM67" s="507" t="str">
        <f>IF(OR(ISNA(VLOOKUP($B67,'TICH LUY'!$B$11:$BY$85,72,0)),$B67=""),"",VLOOKUP($B67,'TICH LUY'!$B$11:$BY$85,72,0))</f>
        <v/>
      </c>
      <c r="FN67" s="507" t="str">
        <f>IF(OR(ISNA(VLOOKUP($B67,'TICH LUY'!$B$11:$BY$85,73,0)),$B67=""),"",VLOOKUP($B67,'TICH LUY'!$B$11:$BY$85,73,0))</f>
        <v/>
      </c>
      <c r="FO67" s="507" t="str">
        <f>IF(OR(ISNA(VLOOKUP($B67,'TICH LUY'!$B$11:$BY$85,74,0)),$B67=""),"",VLOOKUP($B67,'TICH LUY'!$B$11:$BY$85,74,0))</f>
        <v/>
      </c>
      <c r="FP67" s="507" t="str">
        <f>IF(OR(ISNA(VLOOKUP($B67,'TICH LUY'!$B$11:$BY$85,75,0)),$B67=""),"",VLOOKUP($B67,'TICH LUY'!$B$11:$BY$85,75,0))</f>
        <v/>
      </c>
      <c r="FQ67" s="529" t="str">
        <f>IF(OR(ISNA(VLOOKUP($B67,'TICH LUY'!$B$11:$BY$85,76,0)),$B67=""),"",VLOOKUP($B67,'TICH LUY'!$B$11:$BY$85,76,0))</f>
        <v/>
      </c>
      <c r="FR67" s="455" t="str">
        <f t="shared" si="69"/>
        <v/>
      </c>
      <c r="FS67" s="456" t="str">
        <f t="shared" si="70"/>
        <v/>
      </c>
      <c r="FT67" s="456" t="str">
        <f t="shared" si="71"/>
        <v/>
      </c>
      <c r="FU67" s="456" t="str">
        <f t="shared" si="72"/>
        <v/>
      </c>
      <c r="FV67" s="456" t="str">
        <f t="shared" si="73"/>
        <v/>
      </c>
      <c r="FW67" s="456" t="str">
        <f t="shared" si="74"/>
        <v/>
      </c>
      <c r="FX67" s="456" t="str">
        <f t="shared" si="75"/>
        <v/>
      </c>
      <c r="FY67" s="456" t="str">
        <f t="shared" si="76"/>
        <v/>
      </c>
      <c r="FZ67" s="456" t="str">
        <f t="shared" si="77"/>
        <v/>
      </c>
      <c r="GA67" s="456" t="str">
        <f t="shared" si="78"/>
        <v/>
      </c>
      <c r="GB67" s="459" t="str">
        <f t="shared" si="79"/>
        <v/>
      </c>
      <c r="GC67" s="457" t="str">
        <f t="shared" si="107"/>
        <v/>
      </c>
    </row>
    <row r="68" spans="1:202" s="221" customFormat="1" ht="15.75">
      <c r="A68" s="449" t="str">
        <f>IF(B68="","",SUBTOTAL(3,$B$11:B68))</f>
        <v/>
      </c>
      <c r="B68" s="460"/>
      <c r="C68" s="450" t="str">
        <f>IF($B68="","",VLOOKUP($B68,'DS LOP HKI'!$B$2:$F$2642,2,0))</f>
        <v/>
      </c>
      <c r="D68" s="451" t="str">
        <f>IF($B68="","",VLOOKUP($B68,'DS LOP HKI'!$B$2:$F$2642,3,0))</f>
        <v/>
      </c>
      <c r="E68" s="154"/>
      <c r="F68" s="152"/>
      <c r="G68" s="156"/>
      <c r="H68" s="181" t="str">
        <f>IF(OR($H$6="",$H$7=""),"",IF($B68="","",IF(ISNA(VLOOKUP($B68,'LT01'!$B$11:$R$75,13,FALSE)),"",IF(VLOOKUP($B68,'LT01'!$B$11:$R$75,13,FALSE)="","",VLOOKUP($B68,'LT01'!$B$11:$R$75,13,FALSE)))))</f>
        <v/>
      </c>
      <c r="I68" s="182" t="str">
        <f>IF(OR($H$6="",$H$7=""),"",IF($B68="","",IF(ISNA(VLOOKUP($B68,'LT01'!$B$11:$R$75,14,FALSE)),"",VLOOKUP($B68,'LT01'!$B$11:$R$75,14,FALSE))))</f>
        <v/>
      </c>
      <c r="J68" s="183"/>
      <c r="K68" s="182" t="str">
        <f>IF(OR($H$6="",$H$7=""),"",IF($B68="","",IF(ISNA(VLOOKUP($B68,'LT01'!$B$11:$R$75,17,FALSE)),"",VLOOKUP($B68,'LT01'!$B$11:$R$75,17,FALSE))))</f>
        <v/>
      </c>
      <c r="L68" s="185" t="str">
        <f>IF(OR($H$6="",$H$7=""),"",IF($B68="","",IF(ISNA(VLOOKUP($B68,'LT02'!$B$11:$R$75,13,FALSE)),"",IF(VLOOKUP($B68,'LT02'!$B$11:$R$75,13,FALSE)="","",VLOOKUP($B68,'LT02'!$B$11:$R$75,13,FALSE)))))</f>
        <v/>
      </c>
      <c r="M68" s="182" t="str">
        <f>IF(OR($H$6="",$H$7=""),"",IF($B68="","",IF(ISNA(VLOOKUP($B68,'LT02'!$B$11:$R$75,14,FALSE)),"",VLOOKUP($B68,'LT02'!$B$11:$R$75,14,FALSE))))</f>
        <v/>
      </c>
      <c r="N68" s="183"/>
      <c r="O68" s="182" t="str">
        <f>IF(OR($H$6="",$H$7=""),"",IF($B68="","",IF(ISNA(VLOOKUP($B68,'LT02'!$B$11:$R$75,17,FALSE)),"",VLOOKUP($B68,'LT02'!$B$11:$R$75,17,FALSE))))</f>
        <v/>
      </c>
      <c r="P68" s="185" t="str">
        <f>IF(OR($H$6="",$H$7=""),"",IF($B68="","",IF(ISNA(VLOOKUP($B68,'LT03'!$B$11:$R$75,13,FALSE)),"",IF(VLOOKUP($B68,'LT03'!$B$11:$R$75,13,FALSE)="","",VLOOKUP($B68,'LT03'!$B$11:$R$75,13,FALSE)))))</f>
        <v/>
      </c>
      <c r="Q68" s="182" t="str">
        <f>IF(OR($H$6="",$H$7=""),"",IF($B68="","",IF(ISNA(VLOOKUP($B68,'LT03'!$B$11:$R$75,14,FALSE)),"",VLOOKUP($B68,'LT03'!$B$11:$R$75,14,FALSE))))</f>
        <v/>
      </c>
      <c r="R68" s="183"/>
      <c r="S68" s="182" t="str">
        <f>IF(OR($H$6="",$H$7=""),"",IF($B68="","",IF(ISNA(VLOOKUP($B68,'LT03'!$B$11:$R$75,17,FALSE)),"",VLOOKUP($B68,'LT03'!$B$11:$R$75,17,FALSE))))</f>
        <v/>
      </c>
      <c r="T68" s="185" t="str">
        <f>IF(OR($H$6="",$H$7=""),"",IF($B68="","",IF(ISNA(VLOOKUP($B68,'LT04'!$B$11:$R$75,13,FALSE)),"",IF(VLOOKUP($B68,'LT04'!$B$11:$R$75,13,FALSE)="","",VLOOKUP($B68,'LT04'!$B$11:$R$75,13,FALSE)))))</f>
        <v/>
      </c>
      <c r="U68" s="182" t="str">
        <f>IF(OR($H$6="",$H$7=""),"",IF($B68="","",IF(ISNA(VLOOKUP($B68,'LT04'!$B$11:$R$75,14,FALSE)),"",VLOOKUP($B68,'LT04'!$B$11:$R$75,14,FALSE))))</f>
        <v/>
      </c>
      <c r="V68" s="183"/>
      <c r="W68" s="184" t="str">
        <f>IF(OR($H$6="",$H$7=""),"",IF($B68="","",IF(ISNA(VLOOKUP($B68,'LT04'!$B$11:$R$75,17,FALSE)),"",VLOOKUP($B68,'LT04'!$B$11:$R$75,17,FALSE))))</f>
        <v/>
      </c>
      <c r="X68" s="185" t="str">
        <f>IF(OR($H$6="",$H$7=""),"",IF($B68="","",IF(ISNA(VLOOKUP($B68,'LT05'!$B$11:$R$75,13,FALSE)),"",IF(VLOOKUP($B68,'LT05'!$B$11:$R$75,13,FALSE)="","",VLOOKUP($B68,'LT05'!$B$11:$R$75,13,FALSE)))))</f>
        <v/>
      </c>
      <c r="Y68" s="182" t="str">
        <f>IF(OR($H$6="",$H$7=""),"",IF($B68="","",IF(ISNA(VLOOKUP($B68,'LT05'!$B$11:$R$75,14,FALSE)),"",VLOOKUP($B68,'LT05'!$B$11:$R$75,14,FALSE))))</f>
        <v/>
      </c>
      <c r="Z68" s="183"/>
      <c r="AA68" s="182" t="str">
        <f>IF(OR($H$6="",$H$7=""),"",IF($B68="","",IF(ISNA(VLOOKUP($B68,'LT05'!$B$11:$R$75,17,FALSE)),"",VLOOKUP($B68,'LT05'!$B$11:$R$75,17,FALSE))))</f>
        <v/>
      </c>
      <c r="AB68" s="185" t="str">
        <f>IF(OR($H$6="",$H$7=""),"",IF($B68="","",IF(ISNA(VLOOKUP($B68,'LT06'!$B$11:$R$75,13,FALSE)),"",IF(VLOOKUP($B68,'LT06'!$B$11:$R$75,13,FALSE)="","",VLOOKUP($B68,'LT06'!$B$11:$R$75,13,FALSE)))))</f>
        <v/>
      </c>
      <c r="AC68" s="182" t="str">
        <f>IF(OR($H$6="",$H$7=""),"",IF($B68="","",IF(ISNA(VLOOKUP($B68,'LT06'!$B$11:$R$75,14,FALSE)),"",VLOOKUP($B68,'LT06'!$B$11:$R$75,14,FALSE))))</f>
        <v/>
      </c>
      <c r="AD68" s="183"/>
      <c r="AE68" s="182" t="str">
        <f>IF(OR($H$6="",$H$7=""),"",IF($B68="","",IF(ISNA(VLOOKUP($B68,'LT06'!$B$11:$R$75,17,FALSE)),"",VLOOKUP($B68,'LT06'!$B$11:$R$75,17,FALSE))))</f>
        <v/>
      </c>
      <c r="AF68" s="185" t="str">
        <f>IF(OR($H$6="",$H$7=""),"",IF($B68="","",IF(ISNA(VLOOKUP($B68,'LT07'!$B$11:$R$75,13,FALSE)),"",IF(VLOOKUP($B68,'LT07'!$B$11:$R$75,13,FALSE)="","",VLOOKUP($B68,'LT07'!$B$11:$R$75,13,FALSE)))))</f>
        <v/>
      </c>
      <c r="AG68" s="182" t="str">
        <f>IF(OR($H$6="",$H$7=""),"",IF($B68="","",IF(ISNA(VLOOKUP($B68,'LT07'!$B$11:$R$75,14,FALSE)),"",VLOOKUP($B68,'LT07'!$B$11:$R$75,14,FALSE))))</f>
        <v/>
      </c>
      <c r="AH68" s="183"/>
      <c r="AI68" s="182" t="str">
        <f>IF(OR($H$6="",$H$7=""),"",IF($B68="","",IF(ISNA(VLOOKUP($B68,'LT07'!$B$11:$R$75,17,FALSE)),"",VLOOKUP($B68,'LT07'!$B$11:$R$75,17,FALSE))))</f>
        <v/>
      </c>
      <c r="AJ68" s="185" t="str">
        <f>IF(OR($H$6="",$H$7=""),"",IF($B68="","",IF(ISNA(VLOOKUP($B68,'LT08'!$B$11:$R$75,13,FALSE)),"",IF(VLOOKUP($B68,'LT08'!$B$11:$R$75,13,FALSE)="","",VLOOKUP($B68,'LT08'!$B$11:$R$75,13,FALSE)))))</f>
        <v/>
      </c>
      <c r="AK68" s="182" t="str">
        <f>IF(OR($H$6="",$H$7=""),"",IF($B68="","",IF(ISNA(VLOOKUP($B68,'LT08'!$B$11:$R$75,14,FALSE)),"",VLOOKUP($B68,'LT08'!$B$11:$R$75,14,FALSE))))</f>
        <v/>
      </c>
      <c r="AL68" s="183"/>
      <c r="AM68" s="182" t="str">
        <f>IF(OR($H$6="",$H$7=""),"",IF($B68="","",IF(ISNA(VLOOKUP($B68,'LT08'!$B$11:$R$75,17,FALSE)),"",VLOOKUP($B68,'LT08'!$B$11:$R$75,17,FALSE))))</f>
        <v/>
      </c>
      <c r="AN68" s="185" t="str">
        <f>IF(OR($H$6="",$H$7=""),"",IF($B68="","",IF(ISNA(VLOOKUP($B68,'LT09'!$B$11:$R$75,13,FALSE)),"",IF(VLOOKUP($B68,'LT09'!$B$11:$R$75,13,FALSE)="","",VLOOKUP($B68,'LT09'!$B$11:$R$75,13,FALSE)))))</f>
        <v/>
      </c>
      <c r="AO68" s="182" t="str">
        <f>IF(OR($H$6="",$H$7=""),"",IF($B68="","",IF(ISNA(VLOOKUP($B68,'LT09'!$B$11:$R$75,14,FALSE)),"",VLOOKUP($B68,'LT09'!$B$11:$R$75,14,FALSE))))</f>
        <v/>
      </c>
      <c r="AP68" s="183"/>
      <c r="AQ68" s="182" t="str">
        <f>IF(OR($H$6="",$H$7=""),"",IF($B68="","",IF(ISNA(VLOOKUP($B68,'LT09'!$B$11:$R$75,17,FALSE)),"",VLOOKUP($B68,'LT09'!$B$11:$R$75,17,FALSE))))</f>
        <v/>
      </c>
      <c r="AR68" s="186"/>
      <c r="AS68" s="182" t="str">
        <f>IF(OR($H$6="",$H$7=""),"",IF($B68="","",IF(ISNA(VLOOKUP($B68,'TH01'!$B$11:$R$75,14,FALSE)),"",VLOOKUP($B68,'TH01'!$B$11:$R$75,14,FALSE))))</f>
        <v/>
      </c>
      <c r="AT68" s="183"/>
      <c r="AU68" s="187"/>
      <c r="AV68" s="186"/>
      <c r="AW68" s="182" t="str">
        <f>IF(OR($H$6="",$H$7=""),"",IF($B68="","",IF(ISNA(VLOOKUP($B68,'TH02'!$B$11:$R$75,14,FALSE)),"",VLOOKUP($B68,'TH02'!$B$11:$R$75,14,FALSE))))</f>
        <v/>
      </c>
      <c r="AX68" s="183"/>
      <c r="AY68" s="187"/>
      <c r="AZ68" s="54" t="str">
        <f t="shared" si="108"/>
        <v/>
      </c>
      <c r="BA68" s="54" t="str">
        <f t="shared" si="0"/>
        <v/>
      </c>
      <c r="BB68" s="70"/>
      <c r="BC68" s="52" t="str">
        <f t="shared" si="25"/>
        <v/>
      </c>
      <c r="BD68" s="52" t="str">
        <f t="shared" si="26"/>
        <v/>
      </c>
      <c r="BE68" s="52" t="str">
        <f t="shared" si="86"/>
        <v/>
      </c>
      <c r="BF68" s="149" t="str">
        <f t="shared" si="87"/>
        <v/>
      </c>
      <c r="BG68" s="52" t="str">
        <f t="shared" si="88"/>
        <v/>
      </c>
      <c r="BH68" s="52" t="str">
        <f t="shared" si="89"/>
        <v/>
      </c>
      <c r="BI68" s="52" t="str">
        <f t="shared" si="90"/>
        <v/>
      </c>
      <c r="BJ68" s="52" t="str">
        <f t="shared" si="91"/>
        <v/>
      </c>
      <c r="BK68" s="54" t="str">
        <f t="shared" si="92"/>
        <v/>
      </c>
      <c r="BL68" s="54" t="str">
        <f t="shared" si="93"/>
        <v/>
      </c>
      <c r="BM68" s="54" t="str">
        <f t="shared" si="94"/>
        <v/>
      </c>
      <c r="BN68" s="54" t="str">
        <f t="shared" si="95"/>
        <v/>
      </c>
      <c r="BO68" s="70"/>
      <c r="BP68" s="52" t="str">
        <f>IF(ISNA(VLOOKUP(B68,'TICH LUY'!B:D,2,0)),"",VLOOKUP(B68,'TICH LUY'!B:D,2,0)+BI68)</f>
        <v/>
      </c>
      <c r="BQ68" s="52" t="str">
        <f>IF(ISNA(VLOOKUP(B68,'TICH LUY'!B:D,3,0)),"",VLOOKUP(B68,'TICH LUY'!B:D,3,0)+BJ68)</f>
        <v/>
      </c>
      <c r="BR68" s="40" t="str">
        <f t="shared" si="96"/>
        <v/>
      </c>
      <c r="BS68" s="452" t="str">
        <f t="shared" si="97"/>
        <v/>
      </c>
      <c r="BT68" s="452" t="str">
        <f t="shared" si="98"/>
        <v/>
      </c>
      <c r="BU68" s="452" t="str">
        <f t="shared" si="99"/>
        <v/>
      </c>
      <c r="BV68" s="452" t="str">
        <f t="shared" si="100"/>
        <v/>
      </c>
      <c r="BW68" s="452" t="str">
        <f t="shared" si="101"/>
        <v/>
      </c>
      <c r="BX68" s="452" t="str">
        <f t="shared" si="102"/>
        <v/>
      </c>
      <c r="BY68" s="452" t="str">
        <f t="shared" si="103"/>
        <v/>
      </c>
      <c r="BZ68" s="452" t="str">
        <f t="shared" si="28"/>
        <v/>
      </c>
      <c r="CA68" s="452" t="str">
        <f t="shared" si="29"/>
        <v/>
      </c>
      <c r="CB68" s="452" t="str">
        <f t="shared" si="30"/>
        <v/>
      </c>
      <c r="CC68" s="452" t="str">
        <f t="shared" si="104"/>
        <v/>
      </c>
      <c r="CD68" s="40" t="str">
        <f t="shared" si="31"/>
        <v/>
      </c>
      <c r="CE68" s="453" t="str">
        <f t="shared" si="109"/>
        <v/>
      </c>
      <c r="CF68" s="452" t="str">
        <f t="shared" si="32"/>
        <v/>
      </c>
      <c r="CG68" s="452" t="str">
        <f t="shared" si="110"/>
        <v/>
      </c>
      <c r="CH68" s="452" t="str">
        <f t="shared" si="111"/>
        <v/>
      </c>
      <c r="CI68" s="452" t="str">
        <f t="shared" si="112"/>
        <v/>
      </c>
      <c r="CJ68" s="452" t="str">
        <f t="shared" si="113"/>
        <v/>
      </c>
      <c r="CK68" s="452" t="str">
        <f t="shared" si="114"/>
        <v/>
      </c>
      <c r="CL68" s="452" t="str">
        <f t="shared" si="33"/>
        <v/>
      </c>
      <c r="CM68" s="452" t="str">
        <f t="shared" si="34"/>
        <v/>
      </c>
      <c r="CN68" s="452" t="str">
        <f t="shared" si="35"/>
        <v/>
      </c>
      <c r="CO68" s="452" t="str">
        <f t="shared" si="105"/>
        <v/>
      </c>
      <c r="CP68" s="454" t="str">
        <f t="shared" si="36"/>
        <v/>
      </c>
      <c r="CQ68" s="527" t="str">
        <f>IF(OR(ISNA(VLOOKUP($B68,'TICH LUY'!$B$11:$BY$85,54,0)),$B68=""),"",VLOOKUP($B68,'TICH LUY'!$B$11:$BY$85,54,0))</f>
        <v/>
      </c>
      <c r="CR68" s="507" t="str">
        <f>IF(OR(ISNA(VLOOKUP($B68,'TICH LUY'!$B$11:$BY$85,55,0)),$B68=""),"",VLOOKUP($B68,'TICH LUY'!$B$11:$BY$85,55,0))</f>
        <v/>
      </c>
      <c r="CS68" s="507" t="str">
        <f>IF(OR(ISNA(VLOOKUP($B68,'TICH LUY'!$B$11:$BY$85,56,0)),$B68=""),"",VLOOKUP($B68,'TICH LUY'!$B$11:$BY$85,56,0))</f>
        <v/>
      </c>
      <c r="CT68" s="507" t="str">
        <f>IF(OR(ISNA(VLOOKUP($B68,'TICH LUY'!$B$11:$BY$85,57,0)),$B68=""),"",VLOOKUP($B68,'TICH LUY'!$B$11:$BY$85,57,0))</f>
        <v/>
      </c>
      <c r="CU68" s="507" t="str">
        <f>IF(OR(ISNA(VLOOKUP($B68,'TICH LUY'!$B$11:$BY$85,58,0)),$B68=""),"",VLOOKUP($B68,'TICH LUY'!$B$11:$BY$85,58,0))</f>
        <v/>
      </c>
      <c r="CV68" s="507" t="str">
        <f>IF(OR(ISNA(VLOOKUP($B68,'TICH LUY'!$B$11:$BY$85,59,0)),$B68=""),"",VLOOKUP($B68,'TICH LUY'!$B$11:$BY$85,59,0))</f>
        <v/>
      </c>
      <c r="CW68" s="507" t="str">
        <f>IF(OR(ISNA(VLOOKUP($B68,'TICH LUY'!$B$11:$BY$85,60,0)),$B68=""),"",VLOOKUP($B68,'TICH LUY'!$B$11:$BY$85,60,0))</f>
        <v/>
      </c>
      <c r="CX68" s="507" t="str">
        <f>IF(OR(ISNA(VLOOKUP($B68,'TICH LUY'!$B$11:$BY$85,61,0)),$B68=""),"",VLOOKUP($B68,'TICH LUY'!$B$11:$BY$85,61,0))</f>
        <v/>
      </c>
      <c r="CY68" s="507" t="str">
        <f>IF(OR(ISNA(VLOOKUP($B68,'TICH LUY'!$B$11:$BY$85,62,0)),$B68=""),"",VLOOKUP($B68,'TICH LUY'!$B$11:$BY$85,62,0))</f>
        <v/>
      </c>
      <c r="CZ68" s="507" t="str">
        <f>IF(OR(ISNA(VLOOKUP($B68,'TICH LUY'!$B$11:$BY$85,63,0)),$B68=""),"",VLOOKUP($B68,'TICH LUY'!$B$11:$BY$85,63,0))</f>
        <v/>
      </c>
      <c r="DA68" s="507" t="str">
        <f>IF(OR(ISNA(VLOOKUP($B68,'TICH LUY'!$B$11:$BY$85,64,0)),$B68=""),"",VLOOKUP($B68,'TICH LUY'!$B$11:$BY$85,64,0))</f>
        <v/>
      </c>
      <c r="DB68" s="507" t="str">
        <f>IF(OR(ISNA(VLOOKUP($B68,'TICH LUY'!$B$11:$BY$85,65,0)),$B68=""),"",VLOOKUP($B68,'TICH LUY'!$B$11:$BY$85,65,0))</f>
        <v/>
      </c>
      <c r="DC68" s="507" t="str">
        <f>IF(OR(ISNA(VLOOKUP($B68,'TICH LUY'!$B$11:$BY$85,66,0)),$B68=""),"",VLOOKUP($B68,'TICH LUY'!$B$11:$BY$85,66,0))</f>
        <v/>
      </c>
      <c r="DD68" s="507" t="str">
        <f>IF(OR(ISNA(VLOOKUP($B68,'TICH LUY'!$B$11:$BY$85,67,0)),$B68=""),"",VLOOKUP($B68,'TICH LUY'!$B$11:$BY$85,67,0))</f>
        <v/>
      </c>
      <c r="DE68" s="507" t="str">
        <f>IF(OR(ISNA(VLOOKUP($B68,'TICH LUY'!$B$11:$BY$85,68,0)),$B68=""),"",VLOOKUP($B68,'TICH LUY'!$B$11:$BY$85,68,0))</f>
        <v/>
      </c>
      <c r="DF68" s="507" t="str">
        <f>IF(OR(ISNA(VLOOKUP($B68,'TICH LUY'!$B$11:$BY$85,69,0)),$B68=""),"",VLOOKUP($B68,'TICH LUY'!$B$11:$BY$85,69,0))</f>
        <v/>
      </c>
      <c r="DG68" s="507" t="str">
        <f>IF(OR(ISNA(VLOOKUP($B68,'TICH LUY'!$B$11:$BY$85,70,0)),$B68=""),"",VLOOKUP($B68,'TICH LUY'!$B$11:$BY$85,70,0))</f>
        <v/>
      </c>
      <c r="DH68" s="507" t="str">
        <f>IF(OR(ISNA(VLOOKUP($B68,'TICH LUY'!$B$11:$BY$85,71,0)),$B68=""),"",VLOOKUP($B68,'TICH LUY'!$B$11:$BY$85,71,0))</f>
        <v/>
      </c>
      <c r="DI68" s="507" t="str">
        <f>IF(OR(ISNA(VLOOKUP($B68,'TICH LUY'!$B$11:$BY$85,72,0)),$B68=""),"",VLOOKUP($B68,'TICH LUY'!$B$11:$BY$85,72,0))</f>
        <v/>
      </c>
      <c r="DJ68" s="507" t="str">
        <f>IF(OR(ISNA(VLOOKUP($B68,'TICH LUY'!$B$11:$BY$85,73,0)),$B68=""),"",VLOOKUP($B68,'TICH LUY'!$B$11:$BY$85,73,0))</f>
        <v/>
      </c>
      <c r="DK68" s="507" t="str">
        <f>IF(OR(ISNA(VLOOKUP($B68,'TICH LUY'!$B$11:$BY$85,74,0)),$B68=""),"",VLOOKUP($B68,'TICH LUY'!$B$11:$BY$85,74,0))</f>
        <v/>
      </c>
      <c r="DL68" s="507" t="str">
        <f>IF(OR(ISNA(VLOOKUP($B68,'TICH LUY'!$B$11:$BY$85,75,0)),$B68=""),"",VLOOKUP($B68,'TICH LUY'!$B$11:$BY$85,75,0))</f>
        <v/>
      </c>
      <c r="DM68" s="529" t="str">
        <f>IF(OR(ISNA(VLOOKUP($B68,'TICH LUY'!$B$11:$BY$85,76,0)),$B68=""),"",VLOOKUP($B68,'TICH LUY'!$B$11:$BY$85,76,0))</f>
        <v/>
      </c>
      <c r="DN68" s="455" t="str">
        <f t="shared" si="37"/>
        <v/>
      </c>
      <c r="DO68" s="456" t="str">
        <f t="shared" si="38"/>
        <v/>
      </c>
      <c r="DP68" s="456" t="str">
        <f t="shared" si="39"/>
        <v/>
      </c>
      <c r="DQ68" s="456" t="str">
        <f t="shared" si="40"/>
        <v/>
      </c>
      <c r="DR68" s="456" t="str">
        <f t="shared" si="41"/>
        <v/>
      </c>
      <c r="DS68" s="456" t="str">
        <f t="shared" si="42"/>
        <v/>
      </c>
      <c r="DT68" s="456" t="str">
        <f t="shared" si="43"/>
        <v/>
      </c>
      <c r="DU68" s="456" t="str">
        <f t="shared" si="44"/>
        <v/>
      </c>
      <c r="DV68" s="456" t="str">
        <f t="shared" si="45"/>
        <v/>
      </c>
      <c r="DW68" s="456" t="str">
        <f t="shared" si="46"/>
        <v/>
      </c>
      <c r="DX68" s="456" t="str">
        <f t="shared" si="47"/>
        <v/>
      </c>
      <c r="DY68" s="457" t="str">
        <f t="shared" si="48"/>
        <v/>
      </c>
      <c r="DZ68" s="453" t="str">
        <f t="shared" si="115"/>
        <v/>
      </c>
      <c r="EA68" s="452" t="str">
        <f t="shared" si="50"/>
        <v/>
      </c>
      <c r="EB68" s="452" t="str">
        <f t="shared" si="116"/>
        <v/>
      </c>
      <c r="EC68" s="452" t="str">
        <f t="shared" si="117"/>
        <v/>
      </c>
      <c r="ED68" s="452" t="str">
        <f t="shared" si="118"/>
        <v/>
      </c>
      <c r="EE68" s="452" t="str">
        <f t="shared" si="119"/>
        <v/>
      </c>
      <c r="EF68" s="452" t="str">
        <f t="shared" si="120"/>
        <v/>
      </c>
      <c r="EG68" s="452" t="str">
        <f t="shared" si="56"/>
        <v/>
      </c>
      <c r="EH68" s="452" t="str">
        <f t="shared" si="57"/>
        <v/>
      </c>
      <c r="EI68" s="453" t="str">
        <f t="shared" si="58"/>
        <v/>
      </c>
      <c r="EJ68" s="452" t="str">
        <f t="shared" si="59"/>
        <v/>
      </c>
      <c r="EK68" s="452" t="str">
        <f t="shared" si="60"/>
        <v/>
      </c>
      <c r="EL68" s="452" t="str">
        <f t="shared" si="61"/>
        <v/>
      </c>
      <c r="EM68" s="452" t="str">
        <f t="shared" si="62"/>
        <v/>
      </c>
      <c r="EN68" s="452" t="str">
        <f t="shared" si="63"/>
        <v/>
      </c>
      <c r="EO68" s="452" t="str">
        <f t="shared" si="64"/>
        <v/>
      </c>
      <c r="EP68" s="452" t="str">
        <f t="shared" si="65"/>
        <v/>
      </c>
      <c r="EQ68" s="452" t="str">
        <f t="shared" si="66"/>
        <v/>
      </c>
      <c r="ER68" s="452" t="str">
        <f t="shared" si="67"/>
        <v/>
      </c>
      <c r="ES68" s="452" t="str">
        <f t="shared" si="106"/>
        <v/>
      </c>
      <c r="ET68" s="458" t="str">
        <f t="shared" si="68"/>
        <v/>
      </c>
      <c r="EU68" s="527" t="str">
        <f>IF(OR(ISNA(VLOOKUP($B68,'TICH LUY'!$B$11:$BY$85,54,0)),$B68=""),"",VLOOKUP($B68,'TICH LUY'!$B$11:$BY$85,54,0))</f>
        <v/>
      </c>
      <c r="EV68" s="507" t="str">
        <f>IF(OR(ISNA(VLOOKUP($B68,'TICH LUY'!$B$11:$BY$85,55,0)),$B68=""),"",VLOOKUP($B68,'TICH LUY'!$B$11:$BY$85,55,0))</f>
        <v/>
      </c>
      <c r="EW68" s="507" t="str">
        <f>IF(OR(ISNA(VLOOKUP($B68,'TICH LUY'!$B$11:$BY$85,56,0)),$B68=""),"",VLOOKUP($B68,'TICH LUY'!$B$11:$BY$85,56,0))</f>
        <v/>
      </c>
      <c r="EX68" s="507" t="str">
        <f>IF(OR(ISNA(VLOOKUP($B68,'TICH LUY'!$B$11:$BY$85,57,0)),$B68=""),"",VLOOKUP($B68,'TICH LUY'!$B$11:$BY$85,57,0))</f>
        <v/>
      </c>
      <c r="EY68" s="507" t="str">
        <f>IF(OR(ISNA(VLOOKUP($B68,'TICH LUY'!$B$11:$BY$85,58,0)),$B68=""),"",VLOOKUP($B68,'TICH LUY'!$B$11:$BY$85,58,0))</f>
        <v/>
      </c>
      <c r="EZ68" s="507" t="str">
        <f>IF(OR(ISNA(VLOOKUP($B68,'TICH LUY'!$B$11:$BY$85,59,0)),$B68=""),"",VLOOKUP($B68,'TICH LUY'!$B$11:$BY$85,59,0))</f>
        <v/>
      </c>
      <c r="FA68" s="507" t="str">
        <f>IF(OR(ISNA(VLOOKUP($B68,'TICH LUY'!$B$11:$BY$85,60,0)),$B68=""),"",VLOOKUP($B68,'TICH LUY'!$B$11:$BY$85,60,0))</f>
        <v/>
      </c>
      <c r="FB68" s="507" t="str">
        <f>IF(OR(ISNA(VLOOKUP($B68,'TICH LUY'!$B$11:$BY$85,61,0)),$B68=""),"",VLOOKUP($B68,'TICH LUY'!$B$11:$BY$85,61,0))</f>
        <v/>
      </c>
      <c r="FC68" s="507" t="str">
        <f>IF(OR(ISNA(VLOOKUP($B68,'TICH LUY'!$B$11:$BY$85,62,0)),$B68=""),"",VLOOKUP($B68,'TICH LUY'!$B$11:$BY$85,62,0))</f>
        <v/>
      </c>
      <c r="FD68" s="507" t="str">
        <f>IF(OR(ISNA(VLOOKUP($B68,'TICH LUY'!$B$11:$BY$85,63,0)),$B68=""),"",VLOOKUP($B68,'TICH LUY'!$B$11:$BY$85,63,0))</f>
        <v/>
      </c>
      <c r="FE68" s="507" t="str">
        <f>IF(OR(ISNA(VLOOKUP($B68,'TICH LUY'!$B$11:$BY$85,64,0)),$B68=""),"",VLOOKUP($B68,'TICH LUY'!$B$11:$BY$85,64,0))</f>
        <v/>
      </c>
      <c r="FF68" s="507" t="str">
        <f>IF(OR(ISNA(VLOOKUP($B68,'TICH LUY'!$B$11:$BY$85,65,0)),$B68=""),"",VLOOKUP($B68,'TICH LUY'!$B$11:$BY$85,65,0))</f>
        <v/>
      </c>
      <c r="FG68" s="507" t="str">
        <f>IF(OR(ISNA(VLOOKUP($B68,'TICH LUY'!$B$11:$BY$85,66,0)),$B68=""),"",VLOOKUP($B68,'TICH LUY'!$B$11:$BY$85,66,0))</f>
        <v/>
      </c>
      <c r="FH68" s="507" t="str">
        <f>IF(OR(ISNA(VLOOKUP($B68,'TICH LUY'!$B$11:$BY$85,67,0)),$B68=""),"",VLOOKUP($B68,'TICH LUY'!$B$11:$BY$85,67,0))</f>
        <v/>
      </c>
      <c r="FI68" s="507" t="str">
        <f>IF(OR(ISNA(VLOOKUP($B68,'TICH LUY'!$B$11:$BY$85,68,0)),$B68=""),"",VLOOKUP($B68,'TICH LUY'!$B$11:$BY$85,68,0))</f>
        <v/>
      </c>
      <c r="FJ68" s="507" t="str">
        <f>IF(OR(ISNA(VLOOKUP($B68,'TICH LUY'!$B$11:$BY$85,69,0)),$B68=""),"",VLOOKUP($B68,'TICH LUY'!$B$11:$BY$85,69,0))</f>
        <v/>
      </c>
      <c r="FK68" s="507" t="str">
        <f>IF(OR(ISNA(VLOOKUP($B68,'TICH LUY'!$B$11:$BY$85,70,0)),$B68=""),"",VLOOKUP($B68,'TICH LUY'!$B$11:$BY$85,70,0))</f>
        <v/>
      </c>
      <c r="FL68" s="507" t="str">
        <f>IF(OR(ISNA(VLOOKUP($B68,'TICH LUY'!$B$11:$BY$85,71,0)),$B68=""),"",VLOOKUP($B68,'TICH LUY'!$B$11:$BY$85,71,0))</f>
        <v/>
      </c>
      <c r="FM68" s="507" t="str">
        <f>IF(OR(ISNA(VLOOKUP($B68,'TICH LUY'!$B$11:$BY$85,72,0)),$B68=""),"",VLOOKUP($B68,'TICH LUY'!$B$11:$BY$85,72,0))</f>
        <v/>
      </c>
      <c r="FN68" s="507" t="str">
        <f>IF(OR(ISNA(VLOOKUP($B68,'TICH LUY'!$B$11:$BY$85,73,0)),$B68=""),"",VLOOKUP($B68,'TICH LUY'!$B$11:$BY$85,73,0))</f>
        <v/>
      </c>
      <c r="FO68" s="507" t="str">
        <f>IF(OR(ISNA(VLOOKUP($B68,'TICH LUY'!$B$11:$BY$85,74,0)),$B68=""),"",VLOOKUP($B68,'TICH LUY'!$B$11:$BY$85,74,0))</f>
        <v/>
      </c>
      <c r="FP68" s="507" t="str">
        <f>IF(OR(ISNA(VLOOKUP($B68,'TICH LUY'!$B$11:$BY$85,75,0)),$B68=""),"",VLOOKUP($B68,'TICH LUY'!$B$11:$BY$85,75,0))</f>
        <v/>
      </c>
      <c r="FQ68" s="529" t="str">
        <f>IF(OR(ISNA(VLOOKUP($B68,'TICH LUY'!$B$11:$BY$85,76,0)),$B68=""),"",VLOOKUP($B68,'TICH LUY'!$B$11:$BY$85,76,0))</f>
        <v/>
      </c>
      <c r="FR68" s="455" t="str">
        <f t="shared" si="69"/>
        <v/>
      </c>
      <c r="FS68" s="456" t="str">
        <f t="shared" si="70"/>
        <v/>
      </c>
      <c r="FT68" s="456" t="str">
        <f t="shared" si="71"/>
        <v/>
      </c>
      <c r="FU68" s="456" t="str">
        <f t="shared" si="72"/>
        <v/>
      </c>
      <c r="FV68" s="456" t="str">
        <f t="shared" si="73"/>
        <v/>
      </c>
      <c r="FW68" s="456" t="str">
        <f t="shared" si="74"/>
        <v/>
      </c>
      <c r="FX68" s="456" t="str">
        <f t="shared" si="75"/>
        <v/>
      </c>
      <c r="FY68" s="456" t="str">
        <f t="shared" si="76"/>
        <v/>
      </c>
      <c r="FZ68" s="456" t="str">
        <f t="shared" si="77"/>
        <v/>
      </c>
      <c r="GA68" s="456" t="str">
        <f t="shared" si="78"/>
        <v/>
      </c>
      <c r="GB68" s="459" t="str">
        <f t="shared" si="79"/>
        <v/>
      </c>
      <c r="GC68" s="457" t="str">
        <f t="shared" si="107"/>
        <v/>
      </c>
    </row>
    <row r="69" spans="1:202" s="221" customFormat="1" ht="15.75">
      <c r="A69" s="449" t="str">
        <f>IF(B69="","",SUBTOTAL(3,$B$11:B69))</f>
        <v/>
      </c>
      <c r="B69" s="460"/>
      <c r="C69" s="450" t="str">
        <f>IF($B69="","",VLOOKUP($B69,'DS LOP HKI'!$B$2:$F$2642,2,0))</f>
        <v/>
      </c>
      <c r="D69" s="451" t="str">
        <f>IF($B69="","",VLOOKUP($B69,'DS LOP HKI'!$B$2:$F$2642,3,0))</f>
        <v/>
      </c>
      <c r="E69" s="154"/>
      <c r="F69" s="152"/>
      <c r="G69" s="156"/>
      <c r="H69" s="181" t="str">
        <f>IF(OR($H$6="",$H$7=""),"",IF($B69="","",IF(ISNA(VLOOKUP($B69,'LT01'!$B$11:$R$75,13,FALSE)),"",IF(VLOOKUP($B69,'LT01'!$B$11:$R$75,13,FALSE)="","",VLOOKUP($B69,'LT01'!$B$11:$R$75,13,FALSE)))))</f>
        <v/>
      </c>
      <c r="I69" s="182" t="str">
        <f>IF(OR($H$6="",$H$7=""),"",IF($B69="","",IF(ISNA(VLOOKUP($B69,'LT01'!$B$11:$R$75,14,FALSE)),"",VLOOKUP($B69,'LT01'!$B$11:$R$75,14,FALSE))))</f>
        <v/>
      </c>
      <c r="J69" s="183"/>
      <c r="K69" s="182" t="str">
        <f>IF(OR($H$6="",$H$7=""),"",IF($B69="","",IF(ISNA(VLOOKUP($B69,'LT01'!$B$11:$R$75,17,FALSE)),"",VLOOKUP($B69,'LT01'!$B$11:$R$75,17,FALSE))))</f>
        <v/>
      </c>
      <c r="L69" s="185" t="str">
        <f>IF(OR($H$6="",$H$7=""),"",IF($B69="","",IF(ISNA(VLOOKUP($B69,'LT02'!$B$11:$R$75,13,FALSE)),"",IF(VLOOKUP($B69,'LT02'!$B$11:$R$75,13,FALSE)="","",VLOOKUP($B69,'LT02'!$B$11:$R$75,13,FALSE)))))</f>
        <v/>
      </c>
      <c r="M69" s="182" t="str">
        <f>IF(OR($H$6="",$H$7=""),"",IF($B69="","",IF(ISNA(VLOOKUP($B69,'LT02'!$B$11:$R$75,14,FALSE)),"",VLOOKUP($B69,'LT02'!$B$11:$R$75,14,FALSE))))</f>
        <v/>
      </c>
      <c r="N69" s="183"/>
      <c r="O69" s="182" t="str">
        <f>IF(OR($H$6="",$H$7=""),"",IF($B69="","",IF(ISNA(VLOOKUP($B69,'LT02'!$B$11:$R$75,17,FALSE)),"",VLOOKUP($B69,'LT02'!$B$11:$R$75,17,FALSE))))</f>
        <v/>
      </c>
      <c r="P69" s="185" t="str">
        <f>IF(OR($H$6="",$H$7=""),"",IF($B69="","",IF(ISNA(VLOOKUP($B69,'LT03'!$B$11:$R$75,13,FALSE)),"",IF(VLOOKUP($B69,'LT03'!$B$11:$R$75,13,FALSE)="","",VLOOKUP($B69,'LT03'!$B$11:$R$75,13,FALSE)))))</f>
        <v/>
      </c>
      <c r="Q69" s="182" t="str">
        <f>IF(OR($H$6="",$H$7=""),"",IF($B69="","",IF(ISNA(VLOOKUP($B69,'LT03'!$B$11:$R$75,14,FALSE)),"",VLOOKUP($B69,'LT03'!$B$11:$R$75,14,FALSE))))</f>
        <v/>
      </c>
      <c r="R69" s="183"/>
      <c r="S69" s="182" t="str">
        <f>IF(OR($H$6="",$H$7=""),"",IF($B69="","",IF(ISNA(VLOOKUP($B69,'LT03'!$B$11:$R$75,17,FALSE)),"",VLOOKUP($B69,'LT03'!$B$11:$R$75,17,FALSE))))</f>
        <v/>
      </c>
      <c r="T69" s="185" t="str">
        <f>IF(OR($H$6="",$H$7=""),"",IF($B69="","",IF(ISNA(VLOOKUP($B69,'LT04'!$B$11:$R$75,13,FALSE)),"",IF(VLOOKUP($B69,'LT04'!$B$11:$R$75,13,FALSE)="","",VLOOKUP($B69,'LT04'!$B$11:$R$75,13,FALSE)))))</f>
        <v/>
      </c>
      <c r="U69" s="182" t="str">
        <f>IF(OR($H$6="",$H$7=""),"",IF($B69="","",IF(ISNA(VLOOKUP($B69,'LT04'!$B$11:$R$75,14,FALSE)),"",VLOOKUP($B69,'LT04'!$B$11:$R$75,14,FALSE))))</f>
        <v/>
      </c>
      <c r="V69" s="183"/>
      <c r="W69" s="184" t="str">
        <f>IF(OR($H$6="",$H$7=""),"",IF($B69="","",IF(ISNA(VLOOKUP($B69,'LT04'!$B$11:$R$75,17,FALSE)),"",VLOOKUP($B69,'LT04'!$B$11:$R$75,17,FALSE))))</f>
        <v/>
      </c>
      <c r="X69" s="185" t="str">
        <f>IF(OR($H$6="",$H$7=""),"",IF($B69="","",IF(ISNA(VLOOKUP($B69,'LT05'!$B$11:$R$75,13,FALSE)),"",IF(VLOOKUP($B69,'LT05'!$B$11:$R$75,13,FALSE)="","",VLOOKUP($B69,'LT05'!$B$11:$R$75,13,FALSE)))))</f>
        <v/>
      </c>
      <c r="Y69" s="182" t="str">
        <f>IF(OR($H$6="",$H$7=""),"",IF($B69="","",IF(ISNA(VLOOKUP($B69,'LT05'!$B$11:$R$75,14,FALSE)),"",VLOOKUP($B69,'LT05'!$B$11:$R$75,14,FALSE))))</f>
        <v/>
      </c>
      <c r="Z69" s="183"/>
      <c r="AA69" s="182" t="str">
        <f>IF(OR($H$6="",$H$7=""),"",IF($B69="","",IF(ISNA(VLOOKUP($B69,'LT05'!$B$11:$R$75,17,FALSE)),"",VLOOKUP($B69,'LT05'!$B$11:$R$75,17,FALSE))))</f>
        <v/>
      </c>
      <c r="AB69" s="185" t="str">
        <f>IF(OR($H$6="",$H$7=""),"",IF($B69="","",IF(ISNA(VLOOKUP($B69,'LT06'!$B$11:$R$75,13,FALSE)),"",IF(VLOOKUP($B69,'LT06'!$B$11:$R$75,13,FALSE)="","",VLOOKUP($B69,'LT06'!$B$11:$R$75,13,FALSE)))))</f>
        <v/>
      </c>
      <c r="AC69" s="182" t="str">
        <f>IF(OR($H$6="",$H$7=""),"",IF($B69="","",IF(ISNA(VLOOKUP($B69,'LT06'!$B$11:$R$75,14,FALSE)),"",VLOOKUP($B69,'LT06'!$B$11:$R$75,14,FALSE))))</f>
        <v/>
      </c>
      <c r="AD69" s="183"/>
      <c r="AE69" s="182" t="str">
        <f>IF(OR($H$6="",$H$7=""),"",IF($B69="","",IF(ISNA(VLOOKUP($B69,'LT06'!$B$11:$R$75,17,FALSE)),"",VLOOKUP($B69,'LT06'!$B$11:$R$75,17,FALSE))))</f>
        <v/>
      </c>
      <c r="AF69" s="185" t="str">
        <f>IF(OR($H$6="",$H$7=""),"",IF($B69="","",IF(ISNA(VLOOKUP($B69,'LT07'!$B$11:$R$75,13,FALSE)),"",IF(VLOOKUP($B69,'LT07'!$B$11:$R$75,13,FALSE)="","",VLOOKUP($B69,'LT07'!$B$11:$R$75,13,FALSE)))))</f>
        <v/>
      </c>
      <c r="AG69" s="182" t="str">
        <f>IF(OR($H$6="",$H$7=""),"",IF($B69="","",IF(ISNA(VLOOKUP($B69,'LT07'!$B$11:$R$75,14,FALSE)),"",VLOOKUP($B69,'LT07'!$B$11:$R$75,14,FALSE))))</f>
        <v/>
      </c>
      <c r="AH69" s="183"/>
      <c r="AI69" s="182" t="str">
        <f>IF(OR($H$6="",$H$7=""),"",IF($B69="","",IF(ISNA(VLOOKUP($B69,'LT07'!$B$11:$R$75,17,FALSE)),"",VLOOKUP($B69,'LT07'!$B$11:$R$75,17,FALSE))))</f>
        <v/>
      </c>
      <c r="AJ69" s="185" t="str">
        <f>IF(OR($H$6="",$H$7=""),"",IF($B69="","",IF(ISNA(VLOOKUP($B69,'LT08'!$B$11:$R$75,13,FALSE)),"",IF(VLOOKUP($B69,'LT08'!$B$11:$R$75,13,FALSE)="","",VLOOKUP($B69,'LT08'!$B$11:$R$75,13,FALSE)))))</f>
        <v/>
      </c>
      <c r="AK69" s="182" t="str">
        <f>IF(OR($H$6="",$H$7=""),"",IF($B69="","",IF(ISNA(VLOOKUP($B69,'LT08'!$B$11:$R$75,14,FALSE)),"",VLOOKUP($B69,'LT08'!$B$11:$R$75,14,FALSE))))</f>
        <v/>
      </c>
      <c r="AL69" s="183"/>
      <c r="AM69" s="182" t="str">
        <f>IF(OR($H$6="",$H$7=""),"",IF($B69="","",IF(ISNA(VLOOKUP($B69,'LT08'!$B$11:$R$75,17,FALSE)),"",VLOOKUP($B69,'LT08'!$B$11:$R$75,17,FALSE))))</f>
        <v/>
      </c>
      <c r="AN69" s="185" t="str">
        <f>IF(OR($H$6="",$H$7=""),"",IF($B69="","",IF(ISNA(VLOOKUP($B69,'LT09'!$B$11:$R$75,13,FALSE)),"",IF(VLOOKUP($B69,'LT09'!$B$11:$R$75,13,FALSE)="","",VLOOKUP($B69,'LT09'!$B$11:$R$75,13,FALSE)))))</f>
        <v/>
      </c>
      <c r="AO69" s="182" t="str">
        <f>IF(OR($H$6="",$H$7=""),"",IF($B69="","",IF(ISNA(VLOOKUP($B69,'LT09'!$B$11:$R$75,14,FALSE)),"",VLOOKUP($B69,'LT09'!$B$11:$R$75,14,FALSE))))</f>
        <v/>
      </c>
      <c r="AP69" s="183"/>
      <c r="AQ69" s="182" t="str">
        <f>IF(OR($H$6="",$H$7=""),"",IF($B69="","",IF(ISNA(VLOOKUP($B69,'LT09'!$B$11:$R$75,17,FALSE)),"",VLOOKUP($B69,'LT09'!$B$11:$R$75,17,FALSE))))</f>
        <v/>
      </c>
      <c r="AR69" s="186"/>
      <c r="AS69" s="182" t="str">
        <f>IF(OR($H$6="",$H$7=""),"",IF($B69="","",IF(ISNA(VLOOKUP($B69,'TH01'!$B$11:$R$75,14,FALSE)),"",VLOOKUP($B69,'TH01'!$B$11:$R$75,14,FALSE))))</f>
        <v/>
      </c>
      <c r="AT69" s="183"/>
      <c r="AU69" s="187"/>
      <c r="AV69" s="186"/>
      <c r="AW69" s="182" t="str">
        <f>IF(OR($H$6="",$H$7=""),"",IF($B69="","",IF(ISNA(VLOOKUP($B69,'TH02'!$B$11:$R$75,14,FALSE)),"",VLOOKUP($B69,'TH02'!$B$11:$R$75,14,FALSE))))</f>
        <v/>
      </c>
      <c r="AX69" s="183"/>
      <c r="AY69" s="187"/>
      <c r="AZ69" s="54" t="str">
        <f t="shared" si="108"/>
        <v/>
      </c>
      <c r="BA69" s="54" t="str">
        <f t="shared" si="0"/>
        <v/>
      </c>
      <c r="BB69" s="70"/>
      <c r="BC69" s="52" t="str">
        <f t="shared" si="25"/>
        <v/>
      </c>
      <c r="BD69" s="52" t="str">
        <f t="shared" si="26"/>
        <v/>
      </c>
      <c r="BE69" s="52" t="str">
        <f t="shared" si="86"/>
        <v/>
      </c>
      <c r="BF69" s="149" t="str">
        <f t="shared" si="87"/>
        <v/>
      </c>
      <c r="BG69" s="52" t="str">
        <f t="shared" si="88"/>
        <v/>
      </c>
      <c r="BH69" s="52" t="str">
        <f t="shared" si="89"/>
        <v/>
      </c>
      <c r="BI69" s="52" t="str">
        <f t="shared" si="90"/>
        <v/>
      </c>
      <c r="BJ69" s="52" t="str">
        <f t="shared" si="91"/>
        <v/>
      </c>
      <c r="BK69" s="54" t="str">
        <f t="shared" si="92"/>
        <v/>
      </c>
      <c r="BL69" s="54" t="str">
        <f t="shared" si="93"/>
        <v/>
      </c>
      <c r="BM69" s="54" t="str">
        <f t="shared" si="94"/>
        <v/>
      </c>
      <c r="BN69" s="54" t="str">
        <f t="shared" si="95"/>
        <v/>
      </c>
      <c r="BO69" s="70"/>
      <c r="BP69" s="52" t="str">
        <f>IF(ISNA(VLOOKUP(B69,'TICH LUY'!B:D,2,0)),"",VLOOKUP(B69,'TICH LUY'!B:D,2,0)+BI69)</f>
        <v/>
      </c>
      <c r="BQ69" s="52" t="str">
        <f>IF(ISNA(VLOOKUP(B69,'TICH LUY'!B:D,3,0)),"",VLOOKUP(B69,'TICH LUY'!B:D,3,0)+BJ69)</f>
        <v/>
      </c>
      <c r="BR69" s="40" t="str">
        <f t="shared" si="96"/>
        <v/>
      </c>
      <c r="BS69" s="452" t="str">
        <f t="shared" si="97"/>
        <v/>
      </c>
      <c r="BT69" s="452" t="str">
        <f t="shared" si="98"/>
        <v/>
      </c>
      <c r="BU69" s="452" t="str">
        <f t="shared" si="99"/>
        <v/>
      </c>
      <c r="BV69" s="452" t="str">
        <f t="shared" si="100"/>
        <v/>
      </c>
      <c r="BW69" s="452" t="str">
        <f t="shared" si="101"/>
        <v/>
      </c>
      <c r="BX69" s="452" t="str">
        <f t="shared" si="102"/>
        <v/>
      </c>
      <c r="BY69" s="452" t="str">
        <f t="shared" si="103"/>
        <v/>
      </c>
      <c r="BZ69" s="452" t="str">
        <f t="shared" si="28"/>
        <v/>
      </c>
      <c r="CA69" s="452" t="str">
        <f t="shared" si="29"/>
        <v/>
      </c>
      <c r="CB69" s="452" t="str">
        <f t="shared" si="30"/>
        <v/>
      </c>
      <c r="CC69" s="452" t="str">
        <f t="shared" si="104"/>
        <v/>
      </c>
      <c r="CD69" s="40" t="str">
        <f t="shared" si="31"/>
        <v/>
      </c>
      <c r="CE69" s="453" t="str">
        <f t="shared" si="109"/>
        <v/>
      </c>
      <c r="CF69" s="452" t="str">
        <f t="shared" si="32"/>
        <v/>
      </c>
      <c r="CG69" s="452" t="str">
        <f t="shared" si="110"/>
        <v/>
      </c>
      <c r="CH69" s="452" t="str">
        <f t="shared" si="111"/>
        <v/>
      </c>
      <c r="CI69" s="452" t="str">
        <f t="shared" si="112"/>
        <v/>
      </c>
      <c r="CJ69" s="452" t="str">
        <f t="shared" si="113"/>
        <v/>
      </c>
      <c r="CK69" s="452" t="str">
        <f t="shared" si="114"/>
        <v/>
      </c>
      <c r="CL69" s="452" t="str">
        <f t="shared" si="33"/>
        <v/>
      </c>
      <c r="CM69" s="452" t="str">
        <f t="shared" si="34"/>
        <v/>
      </c>
      <c r="CN69" s="452" t="str">
        <f t="shared" si="35"/>
        <v/>
      </c>
      <c r="CO69" s="452" t="str">
        <f t="shared" si="105"/>
        <v/>
      </c>
      <c r="CP69" s="454" t="str">
        <f t="shared" si="36"/>
        <v/>
      </c>
      <c r="CQ69" s="527" t="str">
        <f>IF(OR(ISNA(VLOOKUP($B69,'TICH LUY'!$B$11:$BY$85,54,0)),$B69=""),"",VLOOKUP($B69,'TICH LUY'!$B$11:$BY$85,54,0))</f>
        <v/>
      </c>
      <c r="CR69" s="507" t="str">
        <f>IF(OR(ISNA(VLOOKUP($B69,'TICH LUY'!$B$11:$BY$85,55,0)),$B69=""),"",VLOOKUP($B69,'TICH LUY'!$B$11:$BY$85,55,0))</f>
        <v/>
      </c>
      <c r="CS69" s="507" t="str">
        <f>IF(OR(ISNA(VLOOKUP($B69,'TICH LUY'!$B$11:$BY$85,56,0)),$B69=""),"",VLOOKUP($B69,'TICH LUY'!$B$11:$BY$85,56,0))</f>
        <v/>
      </c>
      <c r="CT69" s="507" t="str">
        <f>IF(OR(ISNA(VLOOKUP($B69,'TICH LUY'!$B$11:$BY$85,57,0)),$B69=""),"",VLOOKUP($B69,'TICH LUY'!$B$11:$BY$85,57,0))</f>
        <v/>
      </c>
      <c r="CU69" s="507" t="str">
        <f>IF(OR(ISNA(VLOOKUP($B69,'TICH LUY'!$B$11:$BY$85,58,0)),$B69=""),"",VLOOKUP($B69,'TICH LUY'!$B$11:$BY$85,58,0))</f>
        <v/>
      </c>
      <c r="CV69" s="507" t="str">
        <f>IF(OR(ISNA(VLOOKUP($B69,'TICH LUY'!$B$11:$BY$85,59,0)),$B69=""),"",VLOOKUP($B69,'TICH LUY'!$B$11:$BY$85,59,0))</f>
        <v/>
      </c>
      <c r="CW69" s="507" t="str">
        <f>IF(OR(ISNA(VLOOKUP($B69,'TICH LUY'!$B$11:$BY$85,60,0)),$B69=""),"",VLOOKUP($B69,'TICH LUY'!$B$11:$BY$85,60,0))</f>
        <v/>
      </c>
      <c r="CX69" s="507" t="str">
        <f>IF(OR(ISNA(VLOOKUP($B69,'TICH LUY'!$B$11:$BY$85,61,0)),$B69=""),"",VLOOKUP($B69,'TICH LUY'!$B$11:$BY$85,61,0))</f>
        <v/>
      </c>
      <c r="CY69" s="507" t="str">
        <f>IF(OR(ISNA(VLOOKUP($B69,'TICH LUY'!$B$11:$BY$85,62,0)),$B69=""),"",VLOOKUP($B69,'TICH LUY'!$B$11:$BY$85,62,0))</f>
        <v/>
      </c>
      <c r="CZ69" s="507" t="str">
        <f>IF(OR(ISNA(VLOOKUP($B69,'TICH LUY'!$B$11:$BY$85,63,0)),$B69=""),"",VLOOKUP($B69,'TICH LUY'!$B$11:$BY$85,63,0))</f>
        <v/>
      </c>
      <c r="DA69" s="507" t="str">
        <f>IF(OR(ISNA(VLOOKUP($B69,'TICH LUY'!$B$11:$BY$85,64,0)),$B69=""),"",VLOOKUP($B69,'TICH LUY'!$B$11:$BY$85,64,0))</f>
        <v/>
      </c>
      <c r="DB69" s="507" t="str">
        <f>IF(OR(ISNA(VLOOKUP($B69,'TICH LUY'!$B$11:$BY$85,65,0)),$B69=""),"",VLOOKUP($B69,'TICH LUY'!$B$11:$BY$85,65,0))</f>
        <v/>
      </c>
      <c r="DC69" s="507" t="str">
        <f>IF(OR(ISNA(VLOOKUP($B69,'TICH LUY'!$B$11:$BY$85,66,0)),$B69=""),"",VLOOKUP($B69,'TICH LUY'!$B$11:$BY$85,66,0))</f>
        <v/>
      </c>
      <c r="DD69" s="507" t="str">
        <f>IF(OR(ISNA(VLOOKUP($B69,'TICH LUY'!$B$11:$BY$85,67,0)),$B69=""),"",VLOOKUP($B69,'TICH LUY'!$B$11:$BY$85,67,0))</f>
        <v/>
      </c>
      <c r="DE69" s="507" t="str">
        <f>IF(OR(ISNA(VLOOKUP($B69,'TICH LUY'!$B$11:$BY$85,68,0)),$B69=""),"",VLOOKUP($B69,'TICH LUY'!$B$11:$BY$85,68,0))</f>
        <v/>
      </c>
      <c r="DF69" s="507" t="str">
        <f>IF(OR(ISNA(VLOOKUP($B69,'TICH LUY'!$B$11:$BY$85,69,0)),$B69=""),"",VLOOKUP($B69,'TICH LUY'!$B$11:$BY$85,69,0))</f>
        <v/>
      </c>
      <c r="DG69" s="507" t="str">
        <f>IF(OR(ISNA(VLOOKUP($B69,'TICH LUY'!$B$11:$BY$85,70,0)),$B69=""),"",VLOOKUP($B69,'TICH LUY'!$B$11:$BY$85,70,0))</f>
        <v/>
      </c>
      <c r="DH69" s="507" t="str">
        <f>IF(OR(ISNA(VLOOKUP($B69,'TICH LUY'!$B$11:$BY$85,71,0)),$B69=""),"",VLOOKUP($B69,'TICH LUY'!$B$11:$BY$85,71,0))</f>
        <v/>
      </c>
      <c r="DI69" s="507" t="str">
        <f>IF(OR(ISNA(VLOOKUP($B69,'TICH LUY'!$B$11:$BY$85,72,0)),$B69=""),"",VLOOKUP($B69,'TICH LUY'!$B$11:$BY$85,72,0))</f>
        <v/>
      </c>
      <c r="DJ69" s="507" t="str">
        <f>IF(OR(ISNA(VLOOKUP($B69,'TICH LUY'!$B$11:$BY$85,73,0)),$B69=""),"",VLOOKUP($B69,'TICH LUY'!$B$11:$BY$85,73,0))</f>
        <v/>
      </c>
      <c r="DK69" s="507" t="str">
        <f>IF(OR(ISNA(VLOOKUP($B69,'TICH LUY'!$B$11:$BY$85,74,0)),$B69=""),"",VLOOKUP($B69,'TICH LUY'!$B$11:$BY$85,74,0))</f>
        <v/>
      </c>
      <c r="DL69" s="507" t="str">
        <f>IF(OR(ISNA(VLOOKUP($B69,'TICH LUY'!$B$11:$BY$85,75,0)),$B69=""),"",VLOOKUP($B69,'TICH LUY'!$B$11:$BY$85,75,0))</f>
        <v/>
      </c>
      <c r="DM69" s="529" t="str">
        <f>IF(OR(ISNA(VLOOKUP($B69,'TICH LUY'!$B$11:$BY$85,76,0)),$B69=""),"",VLOOKUP($B69,'TICH LUY'!$B$11:$BY$85,76,0))</f>
        <v/>
      </c>
      <c r="DN69" s="455" t="str">
        <f t="shared" si="37"/>
        <v/>
      </c>
      <c r="DO69" s="456" t="str">
        <f t="shared" si="38"/>
        <v/>
      </c>
      <c r="DP69" s="456" t="str">
        <f t="shared" si="39"/>
        <v/>
      </c>
      <c r="DQ69" s="456" t="str">
        <f t="shared" si="40"/>
        <v/>
      </c>
      <c r="DR69" s="456" t="str">
        <f t="shared" si="41"/>
        <v/>
      </c>
      <c r="DS69" s="456" t="str">
        <f t="shared" si="42"/>
        <v/>
      </c>
      <c r="DT69" s="456" t="str">
        <f t="shared" si="43"/>
        <v/>
      </c>
      <c r="DU69" s="456" t="str">
        <f t="shared" si="44"/>
        <v/>
      </c>
      <c r="DV69" s="456" t="str">
        <f t="shared" si="45"/>
        <v/>
      </c>
      <c r="DW69" s="456" t="str">
        <f t="shared" si="46"/>
        <v/>
      </c>
      <c r="DX69" s="456" t="str">
        <f t="shared" si="47"/>
        <v/>
      </c>
      <c r="DY69" s="457" t="str">
        <f t="shared" si="48"/>
        <v/>
      </c>
      <c r="DZ69" s="453" t="str">
        <f t="shared" si="115"/>
        <v/>
      </c>
      <c r="EA69" s="452" t="str">
        <f t="shared" si="50"/>
        <v/>
      </c>
      <c r="EB69" s="452" t="str">
        <f t="shared" si="116"/>
        <v/>
      </c>
      <c r="EC69" s="452" t="str">
        <f t="shared" si="117"/>
        <v/>
      </c>
      <c r="ED69" s="452" t="str">
        <f t="shared" si="118"/>
        <v/>
      </c>
      <c r="EE69" s="452" t="str">
        <f t="shared" si="119"/>
        <v/>
      </c>
      <c r="EF69" s="452" t="str">
        <f t="shared" si="120"/>
        <v/>
      </c>
      <c r="EG69" s="452" t="str">
        <f t="shared" si="56"/>
        <v/>
      </c>
      <c r="EH69" s="452" t="str">
        <f t="shared" si="57"/>
        <v/>
      </c>
      <c r="EI69" s="453" t="str">
        <f t="shared" si="58"/>
        <v/>
      </c>
      <c r="EJ69" s="452" t="str">
        <f t="shared" si="59"/>
        <v/>
      </c>
      <c r="EK69" s="452" t="str">
        <f t="shared" si="60"/>
        <v/>
      </c>
      <c r="EL69" s="452" t="str">
        <f t="shared" si="61"/>
        <v/>
      </c>
      <c r="EM69" s="452" t="str">
        <f t="shared" si="62"/>
        <v/>
      </c>
      <c r="EN69" s="452" t="str">
        <f t="shared" si="63"/>
        <v/>
      </c>
      <c r="EO69" s="452" t="str">
        <f t="shared" si="64"/>
        <v/>
      </c>
      <c r="EP69" s="452" t="str">
        <f t="shared" si="65"/>
        <v/>
      </c>
      <c r="EQ69" s="452" t="str">
        <f t="shared" si="66"/>
        <v/>
      </c>
      <c r="ER69" s="452" t="str">
        <f t="shared" si="67"/>
        <v/>
      </c>
      <c r="ES69" s="452" t="str">
        <f t="shared" si="106"/>
        <v/>
      </c>
      <c r="ET69" s="458" t="str">
        <f t="shared" si="68"/>
        <v/>
      </c>
      <c r="EU69" s="527" t="str">
        <f>IF(OR(ISNA(VLOOKUP($B69,'TICH LUY'!$B$11:$BY$85,54,0)),$B69=""),"",VLOOKUP($B69,'TICH LUY'!$B$11:$BY$85,54,0))</f>
        <v/>
      </c>
      <c r="EV69" s="507" t="str">
        <f>IF(OR(ISNA(VLOOKUP($B69,'TICH LUY'!$B$11:$BY$85,55,0)),$B69=""),"",VLOOKUP($B69,'TICH LUY'!$B$11:$BY$85,55,0))</f>
        <v/>
      </c>
      <c r="EW69" s="507" t="str">
        <f>IF(OR(ISNA(VLOOKUP($B69,'TICH LUY'!$B$11:$BY$85,56,0)),$B69=""),"",VLOOKUP($B69,'TICH LUY'!$B$11:$BY$85,56,0))</f>
        <v/>
      </c>
      <c r="EX69" s="507" t="str">
        <f>IF(OR(ISNA(VLOOKUP($B69,'TICH LUY'!$B$11:$BY$85,57,0)),$B69=""),"",VLOOKUP($B69,'TICH LUY'!$B$11:$BY$85,57,0))</f>
        <v/>
      </c>
      <c r="EY69" s="507" t="str">
        <f>IF(OR(ISNA(VLOOKUP($B69,'TICH LUY'!$B$11:$BY$85,58,0)),$B69=""),"",VLOOKUP($B69,'TICH LUY'!$B$11:$BY$85,58,0))</f>
        <v/>
      </c>
      <c r="EZ69" s="507" t="str">
        <f>IF(OR(ISNA(VLOOKUP($B69,'TICH LUY'!$B$11:$BY$85,59,0)),$B69=""),"",VLOOKUP($B69,'TICH LUY'!$B$11:$BY$85,59,0))</f>
        <v/>
      </c>
      <c r="FA69" s="507" t="str">
        <f>IF(OR(ISNA(VLOOKUP($B69,'TICH LUY'!$B$11:$BY$85,60,0)),$B69=""),"",VLOOKUP($B69,'TICH LUY'!$B$11:$BY$85,60,0))</f>
        <v/>
      </c>
      <c r="FB69" s="507" t="str">
        <f>IF(OR(ISNA(VLOOKUP($B69,'TICH LUY'!$B$11:$BY$85,61,0)),$B69=""),"",VLOOKUP($B69,'TICH LUY'!$B$11:$BY$85,61,0))</f>
        <v/>
      </c>
      <c r="FC69" s="507" t="str">
        <f>IF(OR(ISNA(VLOOKUP($B69,'TICH LUY'!$B$11:$BY$85,62,0)),$B69=""),"",VLOOKUP($B69,'TICH LUY'!$B$11:$BY$85,62,0))</f>
        <v/>
      </c>
      <c r="FD69" s="507" t="str">
        <f>IF(OR(ISNA(VLOOKUP($B69,'TICH LUY'!$B$11:$BY$85,63,0)),$B69=""),"",VLOOKUP($B69,'TICH LUY'!$B$11:$BY$85,63,0))</f>
        <v/>
      </c>
      <c r="FE69" s="507" t="str">
        <f>IF(OR(ISNA(VLOOKUP($B69,'TICH LUY'!$B$11:$BY$85,64,0)),$B69=""),"",VLOOKUP($B69,'TICH LUY'!$B$11:$BY$85,64,0))</f>
        <v/>
      </c>
      <c r="FF69" s="507" t="str">
        <f>IF(OR(ISNA(VLOOKUP($B69,'TICH LUY'!$B$11:$BY$85,65,0)),$B69=""),"",VLOOKUP($B69,'TICH LUY'!$B$11:$BY$85,65,0))</f>
        <v/>
      </c>
      <c r="FG69" s="507" t="str">
        <f>IF(OR(ISNA(VLOOKUP($B69,'TICH LUY'!$B$11:$BY$85,66,0)),$B69=""),"",VLOOKUP($B69,'TICH LUY'!$B$11:$BY$85,66,0))</f>
        <v/>
      </c>
      <c r="FH69" s="507" t="str">
        <f>IF(OR(ISNA(VLOOKUP($B69,'TICH LUY'!$B$11:$BY$85,67,0)),$B69=""),"",VLOOKUP($B69,'TICH LUY'!$B$11:$BY$85,67,0))</f>
        <v/>
      </c>
      <c r="FI69" s="507" t="str">
        <f>IF(OR(ISNA(VLOOKUP($B69,'TICH LUY'!$B$11:$BY$85,68,0)),$B69=""),"",VLOOKUP($B69,'TICH LUY'!$B$11:$BY$85,68,0))</f>
        <v/>
      </c>
      <c r="FJ69" s="507" t="str">
        <f>IF(OR(ISNA(VLOOKUP($B69,'TICH LUY'!$B$11:$BY$85,69,0)),$B69=""),"",VLOOKUP($B69,'TICH LUY'!$B$11:$BY$85,69,0))</f>
        <v/>
      </c>
      <c r="FK69" s="507" t="str">
        <f>IF(OR(ISNA(VLOOKUP($B69,'TICH LUY'!$B$11:$BY$85,70,0)),$B69=""),"",VLOOKUP($B69,'TICH LUY'!$B$11:$BY$85,70,0))</f>
        <v/>
      </c>
      <c r="FL69" s="507" t="str">
        <f>IF(OR(ISNA(VLOOKUP($B69,'TICH LUY'!$B$11:$BY$85,71,0)),$B69=""),"",VLOOKUP($B69,'TICH LUY'!$B$11:$BY$85,71,0))</f>
        <v/>
      </c>
      <c r="FM69" s="507" t="str">
        <f>IF(OR(ISNA(VLOOKUP($B69,'TICH LUY'!$B$11:$BY$85,72,0)),$B69=""),"",VLOOKUP($B69,'TICH LUY'!$B$11:$BY$85,72,0))</f>
        <v/>
      </c>
      <c r="FN69" s="507" t="str">
        <f>IF(OR(ISNA(VLOOKUP($B69,'TICH LUY'!$B$11:$BY$85,73,0)),$B69=""),"",VLOOKUP($B69,'TICH LUY'!$B$11:$BY$85,73,0))</f>
        <v/>
      </c>
      <c r="FO69" s="507" t="str">
        <f>IF(OR(ISNA(VLOOKUP($B69,'TICH LUY'!$B$11:$BY$85,74,0)),$B69=""),"",VLOOKUP($B69,'TICH LUY'!$B$11:$BY$85,74,0))</f>
        <v/>
      </c>
      <c r="FP69" s="507" t="str">
        <f>IF(OR(ISNA(VLOOKUP($B69,'TICH LUY'!$B$11:$BY$85,75,0)),$B69=""),"",VLOOKUP($B69,'TICH LUY'!$B$11:$BY$85,75,0))</f>
        <v/>
      </c>
      <c r="FQ69" s="529" t="str">
        <f>IF(OR(ISNA(VLOOKUP($B69,'TICH LUY'!$B$11:$BY$85,76,0)),$B69=""),"",VLOOKUP($B69,'TICH LUY'!$B$11:$BY$85,76,0))</f>
        <v/>
      </c>
      <c r="FR69" s="455" t="str">
        <f t="shared" si="69"/>
        <v/>
      </c>
      <c r="FS69" s="456" t="str">
        <f t="shared" si="70"/>
        <v/>
      </c>
      <c r="FT69" s="456" t="str">
        <f t="shared" si="71"/>
        <v/>
      </c>
      <c r="FU69" s="456" t="str">
        <f t="shared" si="72"/>
        <v/>
      </c>
      <c r="FV69" s="456" t="str">
        <f t="shared" si="73"/>
        <v/>
      </c>
      <c r="FW69" s="456" t="str">
        <f t="shared" si="74"/>
        <v/>
      </c>
      <c r="FX69" s="456" t="str">
        <f t="shared" si="75"/>
        <v/>
      </c>
      <c r="FY69" s="456" t="str">
        <f t="shared" si="76"/>
        <v/>
      </c>
      <c r="FZ69" s="456" t="str">
        <f t="shared" si="77"/>
        <v/>
      </c>
      <c r="GA69" s="456" t="str">
        <f t="shared" si="78"/>
        <v/>
      </c>
      <c r="GB69" s="459" t="str">
        <f t="shared" si="79"/>
        <v/>
      </c>
      <c r="GC69" s="457" t="str">
        <f t="shared" si="107"/>
        <v/>
      </c>
    </row>
    <row r="70" spans="1:202" s="221" customFormat="1" ht="15.75">
      <c r="A70" s="449" t="str">
        <f>IF(B70="","",SUBTOTAL(3,$B$11:B70))</f>
        <v/>
      </c>
      <c r="B70" s="460"/>
      <c r="C70" s="450" t="str">
        <f>IF($B70="","",VLOOKUP($B70,'DS LOP HKI'!$B$2:$F$2642,2,0))</f>
        <v/>
      </c>
      <c r="D70" s="451" t="str">
        <f>IF($B70="","",VLOOKUP($B70,'DS LOP HKI'!$B$2:$F$2642,3,0))</f>
        <v/>
      </c>
      <c r="E70" s="154"/>
      <c r="F70" s="152"/>
      <c r="G70" s="156"/>
      <c r="H70" s="181" t="str">
        <f>IF(OR($H$6="",$H$7=""),"",IF($B70="","",IF(ISNA(VLOOKUP($B70,'LT01'!$B$11:$R$75,13,FALSE)),"",IF(VLOOKUP($B70,'LT01'!$B$11:$R$75,13,FALSE)="","",VLOOKUP($B70,'LT01'!$B$11:$R$75,13,FALSE)))))</f>
        <v/>
      </c>
      <c r="I70" s="182" t="str">
        <f>IF(OR($H$6="",$H$7=""),"",IF($B70="","",IF(ISNA(VLOOKUP($B70,'LT01'!$B$11:$R$75,14,FALSE)),"",VLOOKUP($B70,'LT01'!$B$11:$R$75,14,FALSE))))</f>
        <v/>
      </c>
      <c r="J70" s="183"/>
      <c r="K70" s="182" t="str">
        <f>IF(OR($H$6="",$H$7=""),"",IF($B70="","",IF(ISNA(VLOOKUP($B70,'LT01'!$B$11:$R$75,17,FALSE)),"",VLOOKUP($B70,'LT01'!$B$11:$R$75,17,FALSE))))</f>
        <v/>
      </c>
      <c r="L70" s="185" t="str">
        <f>IF(OR($H$6="",$H$7=""),"",IF($B70="","",IF(ISNA(VLOOKUP($B70,'LT02'!$B$11:$R$75,13,FALSE)),"",IF(VLOOKUP($B70,'LT02'!$B$11:$R$75,13,FALSE)="","",VLOOKUP($B70,'LT02'!$B$11:$R$75,13,FALSE)))))</f>
        <v/>
      </c>
      <c r="M70" s="182" t="str">
        <f>IF(OR($H$6="",$H$7=""),"",IF($B70="","",IF(ISNA(VLOOKUP($B70,'LT02'!$B$11:$R$75,14,FALSE)),"",VLOOKUP($B70,'LT02'!$B$11:$R$75,14,FALSE))))</f>
        <v/>
      </c>
      <c r="N70" s="183"/>
      <c r="O70" s="182" t="str">
        <f>IF(OR($H$6="",$H$7=""),"",IF($B70="","",IF(ISNA(VLOOKUP($B70,'LT02'!$B$11:$R$75,17,FALSE)),"",VLOOKUP($B70,'LT02'!$B$11:$R$75,17,FALSE))))</f>
        <v/>
      </c>
      <c r="P70" s="185" t="str">
        <f>IF(OR($H$6="",$H$7=""),"",IF($B70="","",IF(ISNA(VLOOKUP($B70,'LT03'!$B$11:$R$75,13,FALSE)),"",IF(VLOOKUP($B70,'LT03'!$B$11:$R$75,13,FALSE)="","",VLOOKUP($B70,'LT03'!$B$11:$R$75,13,FALSE)))))</f>
        <v/>
      </c>
      <c r="Q70" s="182" t="str">
        <f>IF(OR($H$6="",$H$7=""),"",IF($B70="","",IF(ISNA(VLOOKUP($B70,'LT03'!$B$11:$R$75,14,FALSE)),"",VLOOKUP($B70,'LT03'!$B$11:$R$75,14,FALSE))))</f>
        <v/>
      </c>
      <c r="R70" s="183"/>
      <c r="S70" s="182" t="str">
        <f>IF(OR($H$6="",$H$7=""),"",IF($B70="","",IF(ISNA(VLOOKUP($B70,'LT03'!$B$11:$R$75,17,FALSE)),"",VLOOKUP($B70,'LT03'!$B$11:$R$75,17,FALSE))))</f>
        <v/>
      </c>
      <c r="T70" s="185" t="str">
        <f>IF(OR($H$6="",$H$7=""),"",IF($B70="","",IF(ISNA(VLOOKUP($B70,'LT04'!$B$11:$R$75,13,FALSE)),"",IF(VLOOKUP($B70,'LT04'!$B$11:$R$75,13,FALSE)="","",VLOOKUP($B70,'LT04'!$B$11:$R$75,13,FALSE)))))</f>
        <v/>
      </c>
      <c r="U70" s="182" t="str">
        <f>IF(OR($H$6="",$H$7=""),"",IF($B70="","",IF(ISNA(VLOOKUP($B70,'LT04'!$B$11:$R$75,14,FALSE)),"",VLOOKUP($B70,'LT04'!$B$11:$R$75,14,FALSE))))</f>
        <v/>
      </c>
      <c r="V70" s="183"/>
      <c r="W70" s="184" t="str">
        <f>IF(OR($H$6="",$H$7=""),"",IF($B70="","",IF(ISNA(VLOOKUP($B70,'LT04'!$B$11:$R$75,17,FALSE)),"",VLOOKUP($B70,'LT04'!$B$11:$R$75,17,FALSE))))</f>
        <v/>
      </c>
      <c r="X70" s="185" t="str">
        <f>IF(OR($H$6="",$H$7=""),"",IF($B70="","",IF(ISNA(VLOOKUP($B70,'LT05'!$B$11:$R$75,13,FALSE)),"",IF(VLOOKUP($B70,'LT05'!$B$11:$R$75,13,FALSE)="","",VLOOKUP($B70,'LT05'!$B$11:$R$75,13,FALSE)))))</f>
        <v/>
      </c>
      <c r="Y70" s="182" t="str">
        <f>IF(OR($H$6="",$H$7=""),"",IF($B70="","",IF(ISNA(VLOOKUP($B70,'LT05'!$B$11:$R$75,14,FALSE)),"",VLOOKUP($B70,'LT05'!$B$11:$R$75,14,FALSE))))</f>
        <v/>
      </c>
      <c r="Z70" s="183"/>
      <c r="AA70" s="182" t="str">
        <f>IF(OR($H$6="",$H$7=""),"",IF($B70="","",IF(ISNA(VLOOKUP($B70,'LT05'!$B$11:$R$75,17,FALSE)),"",VLOOKUP($B70,'LT05'!$B$11:$R$75,17,FALSE))))</f>
        <v/>
      </c>
      <c r="AB70" s="185" t="str">
        <f>IF(OR($H$6="",$H$7=""),"",IF($B70="","",IF(ISNA(VLOOKUP($B70,'LT06'!$B$11:$R$75,13,FALSE)),"",IF(VLOOKUP($B70,'LT06'!$B$11:$R$75,13,FALSE)="","",VLOOKUP($B70,'LT06'!$B$11:$R$75,13,FALSE)))))</f>
        <v/>
      </c>
      <c r="AC70" s="182" t="str">
        <f>IF(OR($H$6="",$H$7=""),"",IF($B70="","",IF(ISNA(VLOOKUP($B70,'LT06'!$B$11:$R$75,14,FALSE)),"",VLOOKUP($B70,'LT06'!$B$11:$R$75,14,FALSE))))</f>
        <v/>
      </c>
      <c r="AD70" s="183"/>
      <c r="AE70" s="182" t="str">
        <f>IF(OR($H$6="",$H$7=""),"",IF($B70="","",IF(ISNA(VLOOKUP($B70,'LT06'!$B$11:$R$75,17,FALSE)),"",VLOOKUP($B70,'LT06'!$B$11:$R$75,17,FALSE))))</f>
        <v/>
      </c>
      <c r="AF70" s="185" t="str">
        <f>IF(OR($H$6="",$H$7=""),"",IF($B70="","",IF(ISNA(VLOOKUP($B70,'LT07'!$B$11:$R$75,13,FALSE)),"",IF(VLOOKUP($B70,'LT07'!$B$11:$R$75,13,FALSE)="","",VLOOKUP($B70,'LT07'!$B$11:$R$75,13,FALSE)))))</f>
        <v/>
      </c>
      <c r="AG70" s="182" t="str">
        <f>IF(OR($H$6="",$H$7=""),"",IF($B70="","",IF(ISNA(VLOOKUP($B70,'LT07'!$B$11:$R$75,14,FALSE)),"",VLOOKUP($B70,'LT07'!$B$11:$R$75,14,FALSE))))</f>
        <v/>
      </c>
      <c r="AH70" s="183"/>
      <c r="AI70" s="182" t="str">
        <f>IF(OR($H$6="",$H$7=""),"",IF($B70="","",IF(ISNA(VLOOKUP($B70,'LT07'!$B$11:$R$75,17,FALSE)),"",VLOOKUP($B70,'LT07'!$B$11:$R$75,17,FALSE))))</f>
        <v/>
      </c>
      <c r="AJ70" s="185" t="str">
        <f>IF(OR($H$6="",$H$7=""),"",IF($B70="","",IF(ISNA(VLOOKUP($B70,'LT08'!$B$11:$R$75,13,FALSE)),"",IF(VLOOKUP($B70,'LT08'!$B$11:$R$75,13,FALSE)="","",VLOOKUP($B70,'LT08'!$B$11:$R$75,13,FALSE)))))</f>
        <v/>
      </c>
      <c r="AK70" s="182" t="str">
        <f>IF(OR($H$6="",$H$7=""),"",IF($B70="","",IF(ISNA(VLOOKUP($B70,'LT08'!$B$11:$R$75,14,FALSE)),"",VLOOKUP($B70,'LT08'!$B$11:$R$75,14,FALSE))))</f>
        <v/>
      </c>
      <c r="AL70" s="183"/>
      <c r="AM70" s="182" t="str">
        <f>IF(OR($H$6="",$H$7=""),"",IF($B70="","",IF(ISNA(VLOOKUP($B70,'LT08'!$B$11:$R$75,17,FALSE)),"",VLOOKUP($B70,'LT08'!$B$11:$R$75,17,FALSE))))</f>
        <v/>
      </c>
      <c r="AN70" s="185" t="str">
        <f>IF(OR($H$6="",$H$7=""),"",IF($B70="","",IF(ISNA(VLOOKUP($B70,'LT09'!$B$11:$R$75,13,FALSE)),"",IF(VLOOKUP($B70,'LT09'!$B$11:$R$75,13,FALSE)="","",VLOOKUP($B70,'LT09'!$B$11:$R$75,13,FALSE)))))</f>
        <v/>
      </c>
      <c r="AO70" s="182" t="str">
        <f>IF(OR($H$6="",$H$7=""),"",IF($B70="","",IF(ISNA(VLOOKUP($B70,'LT09'!$B$11:$R$75,14,FALSE)),"",VLOOKUP($B70,'LT09'!$B$11:$R$75,14,FALSE))))</f>
        <v/>
      </c>
      <c r="AP70" s="183"/>
      <c r="AQ70" s="182" t="str">
        <f>IF(OR($H$6="",$H$7=""),"",IF($B70="","",IF(ISNA(VLOOKUP($B70,'LT09'!$B$11:$R$75,17,FALSE)),"",VLOOKUP($B70,'LT09'!$B$11:$R$75,17,FALSE))))</f>
        <v/>
      </c>
      <c r="AR70" s="186"/>
      <c r="AS70" s="182" t="str">
        <f>IF(OR($H$6="",$H$7=""),"",IF($B70="","",IF(ISNA(VLOOKUP($B70,'TH01'!$B$11:$R$75,14,FALSE)),"",VLOOKUP($B70,'TH01'!$B$11:$R$75,14,FALSE))))</f>
        <v/>
      </c>
      <c r="AT70" s="183"/>
      <c r="AU70" s="187"/>
      <c r="AV70" s="186"/>
      <c r="AW70" s="182" t="str">
        <f>IF(OR($H$6="",$H$7=""),"",IF($B70="","",IF(ISNA(VLOOKUP($B70,'TH02'!$B$11:$R$75,14,FALSE)),"",VLOOKUP($B70,'TH02'!$B$11:$R$75,14,FALSE))))</f>
        <v/>
      </c>
      <c r="AX70" s="183"/>
      <c r="AY70" s="187"/>
      <c r="AZ70" s="54" t="str">
        <f t="shared" si="108"/>
        <v/>
      </c>
      <c r="BA70" s="54" t="str">
        <f t="shared" si="0"/>
        <v/>
      </c>
      <c r="BB70" s="70"/>
      <c r="BC70" s="52" t="str">
        <f t="shared" si="25"/>
        <v/>
      </c>
      <c r="BD70" s="52" t="str">
        <f t="shared" si="26"/>
        <v/>
      </c>
      <c r="BE70" s="52" t="str">
        <f t="shared" si="86"/>
        <v/>
      </c>
      <c r="BF70" s="149" t="str">
        <f t="shared" si="87"/>
        <v/>
      </c>
      <c r="BG70" s="52" t="str">
        <f t="shared" si="88"/>
        <v/>
      </c>
      <c r="BH70" s="52" t="str">
        <f t="shared" si="89"/>
        <v/>
      </c>
      <c r="BI70" s="52" t="str">
        <f t="shared" si="90"/>
        <v/>
      </c>
      <c r="BJ70" s="52" t="str">
        <f t="shared" si="91"/>
        <v/>
      </c>
      <c r="BK70" s="54" t="str">
        <f t="shared" si="92"/>
        <v/>
      </c>
      <c r="BL70" s="54" t="str">
        <f t="shared" si="93"/>
        <v/>
      </c>
      <c r="BM70" s="54" t="str">
        <f t="shared" si="94"/>
        <v/>
      </c>
      <c r="BN70" s="54" t="str">
        <f t="shared" si="95"/>
        <v/>
      </c>
      <c r="BO70" s="70"/>
      <c r="BP70" s="52" t="str">
        <f>IF(ISNA(VLOOKUP(B70,'TICH LUY'!B:D,2,0)),"",VLOOKUP(B70,'TICH LUY'!B:D,2,0)+BI70)</f>
        <v/>
      </c>
      <c r="BQ70" s="52" t="str">
        <f>IF(ISNA(VLOOKUP(B70,'TICH LUY'!B:D,3,0)),"",VLOOKUP(B70,'TICH LUY'!B:D,3,0)+BJ70)</f>
        <v/>
      </c>
      <c r="BR70" s="40" t="str">
        <f t="shared" si="96"/>
        <v/>
      </c>
      <c r="BS70" s="452" t="str">
        <f t="shared" si="97"/>
        <v/>
      </c>
      <c r="BT70" s="452" t="str">
        <f t="shared" si="98"/>
        <v/>
      </c>
      <c r="BU70" s="452" t="str">
        <f t="shared" si="99"/>
        <v/>
      </c>
      <c r="BV70" s="452" t="str">
        <f t="shared" si="100"/>
        <v/>
      </c>
      <c r="BW70" s="452" t="str">
        <f t="shared" si="101"/>
        <v/>
      </c>
      <c r="BX70" s="452" t="str">
        <f t="shared" si="102"/>
        <v/>
      </c>
      <c r="BY70" s="452" t="str">
        <f t="shared" si="103"/>
        <v/>
      </c>
      <c r="BZ70" s="452" t="str">
        <f t="shared" si="28"/>
        <v/>
      </c>
      <c r="CA70" s="452" t="str">
        <f t="shared" si="29"/>
        <v/>
      </c>
      <c r="CB70" s="452" t="str">
        <f t="shared" si="30"/>
        <v/>
      </c>
      <c r="CC70" s="452" t="str">
        <f t="shared" si="104"/>
        <v/>
      </c>
      <c r="CD70" s="40" t="str">
        <f t="shared" si="31"/>
        <v/>
      </c>
      <c r="CE70" s="453" t="str">
        <f t="shared" si="109"/>
        <v/>
      </c>
      <c r="CF70" s="452" t="str">
        <f t="shared" si="32"/>
        <v/>
      </c>
      <c r="CG70" s="452" t="str">
        <f t="shared" si="110"/>
        <v/>
      </c>
      <c r="CH70" s="452" t="str">
        <f t="shared" si="111"/>
        <v/>
      </c>
      <c r="CI70" s="452" t="str">
        <f t="shared" si="112"/>
        <v/>
      </c>
      <c r="CJ70" s="452" t="str">
        <f t="shared" si="113"/>
        <v/>
      </c>
      <c r="CK70" s="452" t="str">
        <f t="shared" si="114"/>
        <v/>
      </c>
      <c r="CL70" s="452" t="str">
        <f t="shared" si="33"/>
        <v/>
      </c>
      <c r="CM70" s="452" t="str">
        <f t="shared" si="34"/>
        <v/>
      </c>
      <c r="CN70" s="452" t="str">
        <f t="shared" si="35"/>
        <v/>
      </c>
      <c r="CO70" s="452" t="str">
        <f t="shared" si="105"/>
        <v/>
      </c>
      <c r="CP70" s="454" t="str">
        <f t="shared" si="36"/>
        <v/>
      </c>
      <c r="CQ70" s="527" t="str">
        <f>IF(OR(ISNA(VLOOKUP($B70,'TICH LUY'!$B$11:$BY$85,54,0)),$B70=""),"",VLOOKUP($B70,'TICH LUY'!$B$11:$BY$85,54,0))</f>
        <v/>
      </c>
      <c r="CR70" s="507" t="str">
        <f>IF(OR(ISNA(VLOOKUP($B70,'TICH LUY'!$B$11:$BY$85,55,0)),$B70=""),"",VLOOKUP($B70,'TICH LUY'!$B$11:$BY$85,55,0))</f>
        <v/>
      </c>
      <c r="CS70" s="507" t="str">
        <f>IF(OR(ISNA(VLOOKUP($B70,'TICH LUY'!$B$11:$BY$85,56,0)),$B70=""),"",VLOOKUP($B70,'TICH LUY'!$B$11:$BY$85,56,0))</f>
        <v/>
      </c>
      <c r="CT70" s="507" t="str">
        <f>IF(OR(ISNA(VLOOKUP($B70,'TICH LUY'!$B$11:$BY$85,57,0)),$B70=""),"",VLOOKUP($B70,'TICH LUY'!$B$11:$BY$85,57,0))</f>
        <v/>
      </c>
      <c r="CU70" s="507" t="str">
        <f>IF(OR(ISNA(VLOOKUP($B70,'TICH LUY'!$B$11:$BY$85,58,0)),$B70=""),"",VLOOKUP($B70,'TICH LUY'!$B$11:$BY$85,58,0))</f>
        <v/>
      </c>
      <c r="CV70" s="507" t="str">
        <f>IF(OR(ISNA(VLOOKUP($B70,'TICH LUY'!$B$11:$BY$85,59,0)),$B70=""),"",VLOOKUP($B70,'TICH LUY'!$B$11:$BY$85,59,0))</f>
        <v/>
      </c>
      <c r="CW70" s="507" t="str">
        <f>IF(OR(ISNA(VLOOKUP($B70,'TICH LUY'!$B$11:$BY$85,60,0)),$B70=""),"",VLOOKUP($B70,'TICH LUY'!$B$11:$BY$85,60,0))</f>
        <v/>
      </c>
      <c r="CX70" s="507" t="str">
        <f>IF(OR(ISNA(VLOOKUP($B70,'TICH LUY'!$B$11:$BY$85,61,0)),$B70=""),"",VLOOKUP($B70,'TICH LUY'!$B$11:$BY$85,61,0))</f>
        <v/>
      </c>
      <c r="CY70" s="507" t="str">
        <f>IF(OR(ISNA(VLOOKUP($B70,'TICH LUY'!$B$11:$BY$85,62,0)),$B70=""),"",VLOOKUP($B70,'TICH LUY'!$B$11:$BY$85,62,0))</f>
        <v/>
      </c>
      <c r="CZ70" s="507" t="str">
        <f>IF(OR(ISNA(VLOOKUP($B70,'TICH LUY'!$B$11:$BY$85,63,0)),$B70=""),"",VLOOKUP($B70,'TICH LUY'!$B$11:$BY$85,63,0))</f>
        <v/>
      </c>
      <c r="DA70" s="507" t="str">
        <f>IF(OR(ISNA(VLOOKUP($B70,'TICH LUY'!$B$11:$BY$85,64,0)),$B70=""),"",VLOOKUP($B70,'TICH LUY'!$B$11:$BY$85,64,0))</f>
        <v/>
      </c>
      <c r="DB70" s="507" t="str">
        <f>IF(OR(ISNA(VLOOKUP($B70,'TICH LUY'!$B$11:$BY$85,65,0)),$B70=""),"",VLOOKUP($B70,'TICH LUY'!$B$11:$BY$85,65,0))</f>
        <v/>
      </c>
      <c r="DC70" s="507" t="str">
        <f>IF(OR(ISNA(VLOOKUP($B70,'TICH LUY'!$B$11:$BY$85,66,0)),$B70=""),"",VLOOKUP($B70,'TICH LUY'!$B$11:$BY$85,66,0))</f>
        <v/>
      </c>
      <c r="DD70" s="507" t="str">
        <f>IF(OR(ISNA(VLOOKUP($B70,'TICH LUY'!$B$11:$BY$85,67,0)),$B70=""),"",VLOOKUP($B70,'TICH LUY'!$B$11:$BY$85,67,0))</f>
        <v/>
      </c>
      <c r="DE70" s="507" t="str">
        <f>IF(OR(ISNA(VLOOKUP($B70,'TICH LUY'!$B$11:$BY$85,68,0)),$B70=""),"",VLOOKUP($B70,'TICH LUY'!$B$11:$BY$85,68,0))</f>
        <v/>
      </c>
      <c r="DF70" s="507" t="str">
        <f>IF(OR(ISNA(VLOOKUP($B70,'TICH LUY'!$B$11:$BY$85,69,0)),$B70=""),"",VLOOKUP($B70,'TICH LUY'!$B$11:$BY$85,69,0))</f>
        <v/>
      </c>
      <c r="DG70" s="507" t="str">
        <f>IF(OR(ISNA(VLOOKUP($B70,'TICH LUY'!$B$11:$BY$85,70,0)),$B70=""),"",VLOOKUP($B70,'TICH LUY'!$B$11:$BY$85,70,0))</f>
        <v/>
      </c>
      <c r="DH70" s="507" t="str">
        <f>IF(OR(ISNA(VLOOKUP($B70,'TICH LUY'!$B$11:$BY$85,71,0)),$B70=""),"",VLOOKUP($B70,'TICH LUY'!$B$11:$BY$85,71,0))</f>
        <v/>
      </c>
      <c r="DI70" s="507" t="str">
        <f>IF(OR(ISNA(VLOOKUP($B70,'TICH LUY'!$B$11:$BY$85,72,0)),$B70=""),"",VLOOKUP($B70,'TICH LUY'!$B$11:$BY$85,72,0))</f>
        <v/>
      </c>
      <c r="DJ70" s="507" t="str">
        <f>IF(OR(ISNA(VLOOKUP($B70,'TICH LUY'!$B$11:$BY$85,73,0)),$B70=""),"",VLOOKUP($B70,'TICH LUY'!$B$11:$BY$85,73,0))</f>
        <v/>
      </c>
      <c r="DK70" s="507" t="str">
        <f>IF(OR(ISNA(VLOOKUP($B70,'TICH LUY'!$B$11:$BY$85,74,0)),$B70=""),"",VLOOKUP($B70,'TICH LUY'!$B$11:$BY$85,74,0))</f>
        <v/>
      </c>
      <c r="DL70" s="507" t="str">
        <f>IF(OR(ISNA(VLOOKUP($B70,'TICH LUY'!$B$11:$BY$85,75,0)),$B70=""),"",VLOOKUP($B70,'TICH LUY'!$B$11:$BY$85,75,0))</f>
        <v/>
      </c>
      <c r="DM70" s="529" t="str">
        <f>IF(OR(ISNA(VLOOKUP($B70,'TICH LUY'!$B$11:$BY$85,76,0)),$B70=""),"",VLOOKUP($B70,'TICH LUY'!$B$11:$BY$85,76,0))</f>
        <v/>
      </c>
      <c r="DN70" s="455" t="str">
        <f t="shared" si="37"/>
        <v/>
      </c>
      <c r="DO70" s="456" t="str">
        <f t="shared" si="38"/>
        <v/>
      </c>
      <c r="DP70" s="456" t="str">
        <f t="shared" si="39"/>
        <v/>
      </c>
      <c r="DQ70" s="456" t="str">
        <f t="shared" si="40"/>
        <v/>
      </c>
      <c r="DR70" s="456" t="str">
        <f t="shared" si="41"/>
        <v/>
      </c>
      <c r="DS70" s="456" t="str">
        <f t="shared" si="42"/>
        <v/>
      </c>
      <c r="DT70" s="456" t="str">
        <f t="shared" si="43"/>
        <v/>
      </c>
      <c r="DU70" s="456" t="str">
        <f t="shared" si="44"/>
        <v/>
      </c>
      <c r="DV70" s="456" t="str">
        <f t="shared" si="45"/>
        <v/>
      </c>
      <c r="DW70" s="456" t="str">
        <f t="shared" si="46"/>
        <v/>
      </c>
      <c r="DX70" s="456" t="str">
        <f t="shared" si="47"/>
        <v/>
      </c>
      <c r="DY70" s="457" t="str">
        <f t="shared" si="48"/>
        <v/>
      </c>
      <c r="DZ70" s="453" t="str">
        <f t="shared" si="115"/>
        <v/>
      </c>
      <c r="EA70" s="452" t="str">
        <f t="shared" si="50"/>
        <v/>
      </c>
      <c r="EB70" s="452" t="str">
        <f t="shared" si="116"/>
        <v/>
      </c>
      <c r="EC70" s="452" t="str">
        <f t="shared" si="117"/>
        <v/>
      </c>
      <c r="ED70" s="452" t="str">
        <f t="shared" si="118"/>
        <v/>
      </c>
      <c r="EE70" s="452" t="str">
        <f t="shared" si="119"/>
        <v/>
      </c>
      <c r="EF70" s="452" t="str">
        <f t="shared" si="120"/>
        <v/>
      </c>
      <c r="EG70" s="452" t="str">
        <f t="shared" si="56"/>
        <v/>
      </c>
      <c r="EH70" s="452" t="str">
        <f t="shared" si="57"/>
        <v/>
      </c>
      <c r="EI70" s="453" t="str">
        <f t="shared" si="58"/>
        <v/>
      </c>
      <c r="EJ70" s="452" t="str">
        <f t="shared" si="59"/>
        <v/>
      </c>
      <c r="EK70" s="452" t="str">
        <f t="shared" si="60"/>
        <v/>
      </c>
      <c r="EL70" s="452" t="str">
        <f t="shared" si="61"/>
        <v/>
      </c>
      <c r="EM70" s="452" t="str">
        <f t="shared" si="62"/>
        <v/>
      </c>
      <c r="EN70" s="452" t="str">
        <f t="shared" si="63"/>
        <v/>
      </c>
      <c r="EO70" s="452" t="str">
        <f t="shared" si="64"/>
        <v/>
      </c>
      <c r="EP70" s="452" t="str">
        <f t="shared" si="65"/>
        <v/>
      </c>
      <c r="EQ70" s="452" t="str">
        <f t="shared" si="66"/>
        <v/>
      </c>
      <c r="ER70" s="452" t="str">
        <f t="shared" si="67"/>
        <v/>
      </c>
      <c r="ES70" s="452" t="str">
        <f t="shared" si="106"/>
        <v/>
      </c>
      <c r="ET70" s="458" t="str">
        <f t="shared" si="68"/>
        <v/>
      </c>
      <c r="EU70" s="527" t="str">
        <f>IF(OR(ISNA(VLOOKUP($B70,'TICH LUY'!$B$11:$BY$85,54,0)),$B70=""),"",VLOOKUP($B70,'TICH LUY'!$B$11:$BY$85,54,0))</f>
        <v/>
      </c>
      <c r="EV70" s="507" t="str">
        <f>IF(OR(ISNA(VLOOKUP($B70,'TICH LUY'!$B$11:$BY$85,55,0)),$B70=""),"",VLOOKUP($B70,'TICH LUY'!$B$11:$BY$85,55,0))</f>
        <v/>
      </c>
      <c r="EW70" s="507" t="str">
        <f>IF(OR(ISNA(VLOOKUP($B70,'TICH LUY'!$B$11:$BY$85,56,0)),$B70=""),"",VLOOKUP($B70,'TICH LUY'!$B$11:$BY$85,56,0))</f>
        <v/>
      </c>
      <c r="EX70" s="507" t="str">
        <f>IF(OR(ISNA(VLOOKUP($B70,'TICH LUY'!$B$11:$BY$85,57,0)),$B70=""),"",VLOOKUP($B70,'TICH LUY'!$B$11:$BY$85,57,0))</f>
        <v/>
      </c>
      <c r="EY70" s="507" t="str">
        <f>IF(OR(ISNA(VLOOKUP($B70,'TICH LUY'!$B$11:$BY$85,58,0)),$B70=""),"",VLOOKUP($B70,'TICH LUY'!$B$11:$BY$85,58,0))</f>
        <v/>
      </c>
      <c r="EZ70" s="507" t="str">
        <f>IF(OR(ISNA(VLOOKUP($B70,'TICH LUY'!$B$11:$BY$85,59,0)),$B70=""),"",VLOOKUP($B70,'TICH LUY'!$B$11:$BY$85,59,0))</f>
        <v/>
      </c>
      <c r="FA70" s="507" t="str">
        <f>IF(OR(ISNA(VLOOKUP($B70,'TICH LUY'!$B$11:$BY$85,60,0)),$B70=""),"",VLOOKUP($B70,'TICH LUY'!$B$11:$BY$85,60,0))</f>
        <v/>
      </c>
      <c r="FB70" s="507" t="str">
        <f>IF(OR(ISNA(VLOOKUP($B70,'TICH LUY'!$B$11:$BY$85,61,0)),$B70=""),"",VLOOKUP($B70,'TICH LUY'!$B$11:$BY$85,61,0))</f>
        <v/>
      </c>
      <c r="FC70" s="507" t="str">
        <f>IF(OR(ISNA(VLOOKUP($B70,'TICH LUY'!$B$11:$BY$85,62,0)),$B70=""),"",VLOOKUP($B70,'TICH LUY'!$B$11:$BY$85,62,0))</f>
        <v/>
      </c>
      <c r="FD70" s="507" t="str">
        <f>IF(OR(ISNA(VLOOKUP($B70,'TICH LUY'!$B$11:$BY$85,63,0)),$B70=""),"",VLOOKUP($B70,'TICH LUY'!$B$11:$BY$85,63,0))</f>
        <v/>
      </c>
      <c r="FE70" s="507" t="str">
        <f>IF(OR(ISNA(VLOOKUP($B70,'TICH LUY'!$B$11:$BY$85,64,0)),$B70=""),"",VLOOKUP($B70,'TICH LUY'!$B$11:$BY$85,64,0))</f>
        <v/>
      </c>
      <c r="FF70" s="507" t="str">
        <f>IF(OR(ISNA(VLOOKUP($B70,'TICH LUY'!$B$11:$BY$85,65,0)),$B70=""),"",VLOOKUP($B70,'TICH LUY'!$B$11:$BY$85,65,0))</f>
        <v/>
      </c>
      <c r="FG70" s="507" t="str">
        <f>IF(OR(ISNA(VLOOKUP($B70,'TICH LUY'!$B$11:$BY$85,66,0)),$B70=""),"",VLOOKUP($B70,'TICH LUY'!$B$11:$BY$85,66,0))</f>
        <v/>
      </c>
      <c r="FH70" s="507" t="str">
        <f>IF(OR(ISNA(VLOOKUP($B70,'TICH LUY'!$B$11:$BY$85,67,0)),$B70=""),"",VLOOKUP($B70,'TICH LUY'!$B$11:$BY$85,67,0))</f>
        <v/>
      </c>
      <c r="FI70" s="507" t="str">
        <f>IF(OR(ISNA(VLOOKUP($B70,'TICH LUY'!$B$11:$BY$85,68,0)),$B70=""),"",VLOOKUP($B70,'TICH LUY'!$B$11:$BY$85,68,0))</f>
        <v/>
      </c>
      <c r="FJ70" s="507" t="str">
        <f>IF(OR(ISNA(VLOOKUP($B70,'TICH LUY'!$B$11:$BY$85,69,0)),$B70=""),"",VLOOKUP($B70,'TICH LUY'!$B$11:$BY$85,69,0))</f>
        <v/>
      </c>
      <c r="FK70" s="507" t="str">
        <f>IF(OR(ISNA(VLOOKUP($B70,'TICH LUY'!$B$11:$BY$85,70,0)),$B70=""),"",VLOOKUP($B70,'TICH LUY'!$B$11:$BY$85,70,0))</f>
        <v/>
      </c>
      <c r="FL70" s="507" t="str">
        <f>IF(OR(ISNA(VLOOKUP($B70,'TICH LUY'!$B$11:$BY$85,71,0)),$B70=""),"",VLOOKUP($B70,'TICH LUY'!$B$11:$BY$85,71,0))</f>
        <v/>
      </c>
      <c r="FM70" s="507" t="str">
        <f>IF(OR(ISNA(VLOOKUP($B70,'TICH LUY'!$B$11:$BY$85,72,0)),$B70=""),"",VLOOKUP($B70,'TICH LUY'!$B$11:$BY$85,72,0))</f>
        <v/>
      </c>
      <c r="FN70" s="507" t="str">
        <f>IF(OR(ISNA(VLOOKUP($B70,'TICH LUY'!$B$11:$BY$85,73,0)),$B70=""),"",VLOOKUP($B70,'TICH LUY'!$B$11:$BY$85,73,0))</f>
        <v/>
      </c>
      <c r="FO70" s="507" t="str">
        <f>IF(OR(ISNA(VLOOKUP($B70,'TICH LUY'!$B$11:$BY$85,74,0)),$B70=""),"",VLOOKUP($B70,'TICH LUY'!$B$11:$BY$85,74,0))</f>
        <v/>
      </c>
      <c r="FP70" s="507" t="str">
        <f>IF(OR(ISNA(VLOOKUP($B70,'TICH LUY'!$B$11:$BY$85,75,0)),$B70=""),"",VLOOKUP($B70,'TICH LUY'!$B$11:$BY$85,75,0))</f>
        <v/>
      </c>
      <c r="FQ70" s="529" t="str">
        <f>IF(OR(ISNA(VLOOKUP($B70,'TICH LUY'!$B$11:$BY$85,76,0)),$B70=""),"",VLOOKUP($B70,'TICH LUY'!$B$11:$BY$85,76,0))</f>
        <v/>
      </c>
      <c r="FR70" s="455" t="str">
        <f t="shared" si="69"/>
        <v/>
      </c>
      <c r="FS70" s="456" t="str">
        <f t="shared" si="70"/>
        <v/>
      </c>
      <c r="FT70" s="456" t="str">
        <f t="shared" si="71"/>
        <v/>
      </c>
      <c r="FU70" s="456" t="str">
        <f t="shared" si="72"/>
        <v/>
      </c>
      <c r="FV70" s="456" t="str">
        <f t="shared" si="73"/>
        <v/>
      </c>
      <c r="FW70" s="456" t="str">
        <f t="shared" si="74"/>
        <v/>
      </c>
      <c r="FX70" s="456" t="str">
        <f t="shared" si="75"/>
        <v/>
      </c>
      <c r="FY70" s="456" t="str">
        <f t="shared" si="76"/>
        <v/>
      </c>
      <c r="FZ70" s="456" t="str">
        <f t="shared" si="77"/>
        <v/>
      </c>
      <c r="GA70" s="456" t="str">
        <f t="shared" si="78"/>
        <v/>
      </c>
      <c r="GB70" s="459" t="str">
        <f t="shared" si="79"/>
        <v/>
      </c>
      <c r="GC70" s="457" t="str">
        <f t="shared" si="107"/>
        <v/>
      </c>
    </row>
    <row r="71" spans="1:202" s="221" customFormat="1" ht="15.75">
      <c r="A71" s="449" t="str">
        <f>IF(B71="","",SUBTOTAL(3,$B$11:B71))</f>
        <v/>
      </c>
      <c r="B71" s="460"/>
      <c r="C71" s="450" t="str">
        <f>IF($B71="","",VLOOKUP($B71,'DS LOP HKI'!$B$2:$F$2642,2,0))</f>
        <v/>
      </c>
      <c r="D71" s="451" t="str">
        <f>IF($B71="","",VLOOKUP($B71,'DS LOP HKI'!$B$2:$F$2642,3,0))</f>
        <v/>
      </c>
      <c r="E71" s="154"/>
      <c r="F71" s="152"/>
      <c r="G71" s="156"/>
      <c r="H71" s="181" t="str">
        <f>IF(OR($H$6="",$H$7=""),"",IF($B71="","",IF(ISNA(VLOOKUP($B71,'LT01'!$B$11:$R$75,13,FALSE)),"",IF(VLOOKUP($B71,'LT01'!$B$11:$R$75,13,FALSE)="","",VLOOKUP($B71,'LT01'!$B$11:$R$75,13,FALSE)))))</f>
        <v/>
      </c>
      <c r="I71" s="182" t="str">
        <f>IF(OR($H$6="",$H$7=""),"",IF($B71="","",IF(ISNA(VLOOKUP($B71,'LT01'!$B$11:$R$75,14,FALSE)),"",VLOOKUP($B71,'LT01'!$B$11:$R$75,14,FALSE))))</f>
        <v/>
      </c>
      <c r="J71" s="183"/>
      <c r="K71" s="182" t="str">
        <f>IF(OR($H$6="",$H$7=""),"",IF($B71="","",IF(ISNA(VLOOKUP($B71,'LT01'!$B$11:$R$75,17,FALSE)),"",VLOOKUP($B71,'LT01'!$B$11:$R$75,17,FALSE))))</f>
        <v/>
      </c>
      <c r="L71" s="185" t="str">
        <f>IF(OR($H$6="",$H$7=""),"",IF($B71="","",IF(ISNA(VLOOKUP($B71,'LT02'!$B$11:$R$75,13,FALSE)),"",IF(VLOOKUP($B71,'LT02'!$B$11:$R$75,13,FALSE)="","",VLOOKUP($B71,'LT02'!$B$11:$R$75,13,FALSE)))))</f>
        <v/>
      </c>
      <c r="M71" s="182" t="str">
        <f>IF(OR($H$6="",$H$7=""),"",IF($B71="","",IF(ISNA(VLOOKUP($B71,'LT02'!$B$11:$R$75,14,FALSE)),"",VLOOKUP($B71,'LT02'!$B$11:$R$75,14,FALSE))))</f>
        <v/>
      </c>
      <c r="N71" s="183"/>
      <c r="O71" s="182" t="str">
        <f>IF(OR($H$6="",$H$7=""),"",IF($B71="","",IF(ISNA(VLOOKUP($B71,'LT02'!$B$11:$R$75,17,FALSE)),"",VLOOKUP($B71,'LT02'!$B$11:$R$75,17,FALSE))))</f>
        <v/>
      </c>
      <c r="P71" s="185" t="str">
        <f>IF(OR($H$6="",$H$7=""),"",IF($B71="","",IF(ISNA(VLOOKUP($B71,'LT03'!$B$11:$R$75,13,FALSE)),"",IF(VLOOKUP($B71,'LT03'!$B$11:$R$75,13,FALSE)="","",VLOOKUP($B71,'LT03'!$B$11:$R$75,13,FALSE)))))</f>
        <v/>
      </c>
      <c r="Q71" s="182" t="str">
        <f>IF(OR($H$6="",$H$7=""),"",IF($B71="","",IF(ISNA(VLOOKUP($B71,'LT03'!$B$11:$R$75,14,FALSE)),"",VLOOKUP($B71,'LT03'!$B$11:$R$75,14,FALSE))))</f>
        <v/>
      </c>
      <c r="R71" s="183"/>
      <c r="S71" s="182" t="str">
        <f>IF(OR($H$6="",$H$7=""),"",IF($B71="","",IF(ISNA(VLOOKUP($B71,'LT03'!$B$11:$R$75,17,FALSE)),"",VLOOKUP($B71,'LT03'!$B$11:$R$75,17,FALSE))))</f>
        <v/>
      </c>
      <c r="T71" s="185" t="str">
        <f>IF(OR($H$6="",$H$7=""),"",IF($B71="","",IF(ISNA(VLOOKUP($B71,'LT04'!$B$11:$R$75,13,FALSE)),"",IF(VLOOKUP($B71,'LT04'!$B$11:$R$75,13,FALSE)="","",VLOOKUP($B71,'LT04'!$B$11:$R$75,13,FALSE)))))</f>
        <v/>
      </c>
      <c r="U71" s="182" t="str">
        <f>IF(OR($H$6="",$H$7=""),"",IF($B71="","",IF(ISNA(VLOOKUP($B71,'LT04'!$B$11:$R$75,14,FALSE)),"",VLOOKUP($B71,'LT04'!$B$11:$R$75,14,FALSE))))</f>
        <v/>
      </c>
      <c r="V71" s="183"/>
      <c r="W71" s="184" t="str">
        <f>IF(OR($H$6="",$H$7=""),"",IF($B71="","",IF(ISNA(VLOOKUP($B71,'LT04'!$B$11:$R$75,17,FALSE)),"",VLOOKUP($B71,'LT04'!$B$11:$R$75,17,FALSE))))</f>
        <v/>
      </c>
      <c r="X71" s="185" t="str">
        <f>IF(OR($H$6="",$H$7=""),"",IF($B71="","",IF(ISNA(VLOOKUP($B71,'LT05'!$B$11:$R$75,13,FALSE)),"",IF(VLOOKUP($B71,'LT05'!$B$11:$R$75,13,FALSE)="","",VLOOKUP($B71,'LT05'!$B$11:$R$75,13,FALSE)))))</f>
        <v/>
      </c>
      <c r="Y71" s="182" t="str">
        <f>IF(OR($H$6="",$H$7=""),"",IF($B71="","",IF(ISNA(VLOOKUP($B71,'LT05'!$B$11:$R$75,14,FALSE)),"",VLOOKUP($B71,'LT05'!$B$11:$R$75,14,FALSE))))</f>
        <v/>
      </c>
      <c r="Z71" s="183"/>
      <c r="AA71" s="182" t="str">
        <f>IF(OR($H$6="",$H$7=""),"",IF($B71="","",IF(ISNA(VLOOKUP($B71,'LT05'!$B$11:$R$75,17,FALSE)),"",VLOOKUP($B71,'LT05'!$B$11:$R$75,17,FALSE))))</f>
        <v/>
      </c>
      <c r="AB71" s="185" t="str">
        <f>IF(OR($H$6="",$H$7=""),"",IF($B71="","",IF(ISNA(VLOOKUP($B71,'LT06'!$B$11:$R$75,13,FALSE)),"",IF(VLOOKUP($B71,'LT06'!$B$11:$R$75,13,FALSE)="","",VLOOKUP($B71,'LT06'!$B$11:$R$75,13,FALSE)))))</f>
        <v/>
      </c>
      <c r="AC71" s="182" t="str">
        <f>IF(OR($H$6="",$H$7=""),"",IF($B71="","",IF(ISNA(VLOOKUP($B71,'LT06'!$B$11:$R$75,14,FALSE)),"",VLOOKUP($B71,'LT06'!$B$11:$R$75,14,FALSE))))</f>
        <v/>
      </c>
      <c r="AD71" s="183"/>
      <c r="AE71" s="182" t="str">
        <f>IF(OR($H$6="",$H$7=""),"",IF($B71="","",IF(ISNA(VLOOKUP($B71,'LT06'!$B$11:$R$75,17,FALSE)),"",VLOOKUP($B71,'LT06'!$B$11:$R$75,17,FALSE))))</f>
        <v/>
      </c>
      <c r="AF71" s="185" t="str">
        <f>IF(OR($H$6="",$H$7=""),"",IF($B71="","",IF(ISNA(VLOOKUP($B71,'LT07'!$B$11:$R$75,13,FALSE)),"",IF(VLOOKUP($B71,'LT07'!$B$11:$R$75,13,FALSE)="","",VLOOKUP($B71,'LT07'!$B$11:$R$75,13,FALSE)))))</f>
        <v/>
      </c>
      <c r="AG71" s="182" t="str">
        <f>IF(OR($H$6="",$H$7=""),"",IF($B71="","",IF(ISNA(VLOOKUP($B71,'LT07'!$B$11:$R$75,14,FALSE)),"",VLOOKUP($B71,'LT07'!$B$11:$R$75,14,FALSE))))</f>
        <v/>
      </c>
      <c r="AH71" s="183"/>
      <c r="AI71" s="182" t="str">
        <f>IF(OR($H$6="",$H$7=""),"",IF($B71="","",IF(ISNA(VLOOKUP($B71,'LT07'!$B$11:$R$75,17,FALSE)),"",VLOOKUP($B71,'LT07'!$B$11:$R$75,17,FALSE))))</f>
        <v/>
      </c>
      <c r="AJ71" s="185" t="str">
        <f>IF(OR($H$6="",$H$7=""),"",IF($B71="","",IF(ISNA(VLOOKUP($B71,'LT08'!$B$11:$R$75,13,FALSE)),"",IF(VLOOKUP($B71,'LT08'!$B$11:$R$75,13,FALSE)="","",VLOOKUP($B71,'LT08'!$B$11:$R$75,13,FALSE)))))</f>
        <v/>
      </c>
      <c r="AK71" s="182" t="str">
        <f>IF(OR($H$6="",$H$7=""),"",IF($B71="","",IF(ISNA(VLOOKUP($B71,'LT08'!$B$11:$R$75,14,FALSE)),"",VLOOKUP($B71,'LT08'!$B$11:$R$75,14,FALSE))))</f>
        <v/>
      </c>
      <c r="AL71" s="183"/>
      <c r="AM71" s="182" t="str">
        <f>IF(OR($H$6="",$H$7=""),"",IF($B71="","",IF(ISNA(VLOOKUP($B71,'LT08'!$B$11:$R$75,17,FALSE)),"",VLOOKUP($B71,'LT08'!$B$11:$R$75,17,FALSE))))</f>
        <v/>
      </c>
      <c r="AN71" s="185" t="str">
        <f>IF(OR($H$6="",$H$7=""),"",IF($B71="","",IF(ISNA(VLOOKUP($B71,'LT09'!$B$11:$R$75,13,FALSE)),"",IF(VLOOKUP($B71,'LT09'!$B$11:$R$75,13,FALSE)="","",VLOOKUP($B71,'LT09'!$B$11:$R$75,13,FALSE)))))</f>
        <v/>
      </c>
      <c r="AO71" s="182" t="str">
        <f>IF(OR($H$6="",$H$7=""),"",IF($B71="","",IF(ISNA(VLOOKUP($B71,'LT09'!$B$11:$R$75,14,FALSE)),"",VLOOKUP($B71,'LT09'!$B$11:$R$75,14,FALSE))))</f>
        <v/>
      </c>
      <c r="AP71" s="183"/>
      <c r="AQ71" s="182" t="str">
        <f>IF(OR($H$6="",$H$7=""),"",IF($B71="","",IF(ISNA(VLOOKUP($B71,'LT09'!$B$11:$R$75,17,FALSE)),"",VLOOKUP($B71,'LT09'!$B$11:$R$75,17,FALSE))))</f>
        <v/>
      </c>
      <c r="AR71" s="186"/>
      <c r="AS71" s="182" t="str">
        <f>IF(OR($H$6="",$H$7=""),"",IF($B71="","",IF(ISNA(VLOOKUP($B71,'TH01'!$B$11:$R$75,14,FALSE)),"",VLOOKUP($B71,'TH01'!$B$11:$R$75,14,FALSE))))</f>
        <v/>
      </c>
      <c r="AT71" s="183"/>
      <c r="AU71" s="187"/>
      <c r="AV71" s="186"/>
      <c r="AW71" s="182" t="str">
        <f>IF(OR($H$6="",$H$7=""),"",IF($B71="","",IF(ISNA(VLOOKUP($B71,'TH02'!$B$11:$R$75,14,FALSE)),"",VLOOKUP($B71,'TH02'!$B$11:$R$75,14,FALSE))))</f>
        <v/>
      </c>
      <c r="AX71" s="183"/>
      <c r="AY71" s="187"/>
      <c r="AZ71" s="54" t="str">
        <f t="shared" si="108"/>
        <v/>
      </c>
      <c r="BA71" s="54" t="str">
        <f t="shared" si="0"/>
        <v/>
      </c>
      <c r="BB71" s="70"/>
      <c r="BC71" s="52" t="str">
        <f t="shared" si="25"/>
        <v/>
      </c>
      <c r="BD71" s="52" t="str">
        <f t="shared" si="26"/>
        <v/>
      </c>
      <c r="BE71" s="52" t="str">
        <f t="shared" si="86"/>
        <v/>
      </c>
      <c r="BF71" s="149" t="str">
        <f t="shared" si="87"/>
        <v/>
      </c>
      <c r="BG71" s="52" t="str">
        <f t="shared" si="88"/>
        <v/>
      </c>
      <c r="BH71" s="52" t="str">
        <f t="shared" si="89"/>
        <v/>
      </c>
      <c r="BI71" s="52" t="str">
        <f t="shared" si="90"/>
        <v/>
      </c>
      <c r="BJ71" s="52" t="str">
        <f t="shared" si="91"/>
        <v/>
      </c>
      <c r="BK71" s="54" t="str">
        <f t="shared" si="92"/>
        <v/>
      </c>
      <c r="BL71" s="54" t="str">
        <f t="shared" si="93"/>
        <v/>
      </c>
      <c r="BM71" s="54" t="str">
        <f t="shared" si="94"/>
        <v/>
      </c>
      <c r="BN71" s="54" t="str">
        <f t="shared" si="95"/>
        <v/>
      </c>
      <c r="BO71" s="70"/>
      <c r="BP71" s="52" t="str">
        <f>IF(ISNA(VLOOKUP(B71,'TICH LUY'!B:D,2,0)),"",VLOOKUP(B71,'TICH LUY'!B:D,2,0)+BI71)</f>
        <v/>
      </c>
      <c r="BQ71" s="52" t="str">
        <f>IF(ISNA(VLOOKUP(B71,'TICH LUY'!B:D,3,0)),"",VLOOKUP(B71,'TICH LUY'!B:D,3,0)+BJ71)</f>
        <v/>
      </c>
      <c r="BR71" s="40" t="str">
        <f t="shared" si="96"/>
        <v/>
      </c>
      <c r="BS71" s="452" t="str">
        <f t="shared" si="97"/>
        <v/>
      </c>
      <c r="BT71" s="452" t="str">
        <f t="shared" si="98"/>
        <v/>
      </c>
      <c r="BU71" s="452" t="str">
        <f t="shared" si="99"/>
        <v/>
      </c>
      <c r="BV71" s="452" t="str">
        <f t="shared" si="100"/>
        <v/>
      </c>
      <c r="BW71" s="452" t="str">
        <f t="shared" si="101"/>
        <v/>
      </c>
      <c r="BX71" s="452" t="str">
        <f t="shared" si="102"/>
        <v/>
      </c>
      <c r="BY71" s="452" t="str">
        <f t="shared" si="103"/>
        <v/>
      </c>
      <c r="BZ71" s="452" t="str">
        <f t="shared" si="28"/>
        <v/>
      </c>
      <c r="CA71" s="452" t="str">
        <f t="shared" si="29"/>
        <v/>
      </c>
      <c r="CB71" s="452" t="str">
        <f t="shared" si="30"/>
        <v/>
      </c>
      <c r="CC71" s="452" t="str">
        <f t="shared" si="104"/>
        <v/>
      </c>
      <c r="CD71" s="40" t="str">
        <f t="shared" si="31"/>
        <v/>
      </c>
      <c r="CE71" s="453" t="str">
        <f t="shared" si="109"/>
        <v/>
      </c>
      <c r="CF71" s="452" t="str">
        <f t="shared" si="32"/>
        <v/>
      </c>
      <c r="CG71" s="452" t="str">
        <f t="shared" si="110"/>
        <v/>
      </c>
      <c r="CH71" s="452" t="str">
        <f t="shared" si="111"/>
        <v/>
      </c>
      <c r="CI71" s="452" t="str">
        <f t="shared" si="112"/>
        <v/>
      </c>
      <c r="CJ71" s="452" t="str">
        <f t="shared" si="113"/>
        <v/>
      </c>
      <c r="CK71" s="452" t="str">
        <f t="shared" si="114"/>
        <v/>
      </c>
      <c r="CL71" s="452" t="str">
        <f t="shared" si="33"/>
        <v/>
      </c>
      <c r="CM71" s="452" t="str">
        <f t="shared" si="34"/>
        <v/>
      </c>
      <c r="CN71" s="452" t="str">
        <f t="shared" si="35"/>
        <v/>
      </c>
      <c r="CO71" s="452" t="str">
        <f t="shared" si="105"/>
        <v/>
      </c>
      <c r="CP71" s="454" t="str">
        <f t="shared" si="36"/>
        <v/>
      </c>
      <c r="CQ71" s="527" t="str">
        <f>IF(OR(ISNA(VLOOKUP($B71,'TICH LUY'!$B$11:$BY$85,54,0)),$B71=""),"",VLOOKUP($B71,'TICH LUY'!$B$11:$BY$85,54,0))</f>
        <v/>
      </c>
      <c r="CR71" s="507" t="str">
        <f>IF(OR(ISNA(VLOOKUP($B71,'TICH LUY'!$B$11:$BY$85,55,0)),$B71=""),"",VLOOKUP($B71,'TICH LUY'!$B$11:$BY$85,55,0))</f>
        <v/>
      </c>
      <c r="CS71" s="507" t="str">
        <f>IF(OR(ISNA(VLOOKUP($B71,'TICH LUY'!$B$11:$BY$85,56,0)),$B71=""),"",VLOOKUP($B71,'TICH LUY'!$B$11:$BY$85,56,0))</f>
        <v/>
      </c>
      <c r="CT71" s="507" t="str">
        <f>IF(OR(ISNA(VLOOKUP($B71,'TICH LUY'!$B$11:$BY$85,57,0)),$B71=""),"",VLOOKUP($B71,'TICH LUY'!$B$11:$BY$85,57,0))</f>
        <v/>
      </c>
      <c r="CU71" s="507" t="str">
        <f>IF(OR(ISNA(VLOOKUP($B71,'TICH LUY'!$B$11:$BY$85,58,0)),$B71=""),"",VLOOKUP($B71,'TICH LUY'!$B$11:$BY$85,58,0))</f>
        <v/>
      </c>
      <c r="CV71" s="507" t="str">
        <f>IF(OR(ISNA(VLOOKUP($B71,'TICH LUY'!$B$11:$BY$85,59,0)),$B71=""),"",VLOOKUP($B71,'TICH LUY'!$B$11:$BY$85,59,0))</f>
        <v/>
      </c>
      <c r="CW71" s="507" t="str">
        <f>IF(OR(ISNA(VLOOKUP($B71,'TICH LUY'!$B$11:$BY$85,60,0)),$B71=""),"",VLOOKUP($B71,'TICH LUY'!$B$11:$BY$85,60,0))</f>
        <v/>
      </c>
      <c r="CX71" s="507" t="str">
        <f>IF(OR(ISNA(VLOOKUP($B71,'TICH LUY'!$B$11:$BY$85,61,0)),$B71=""),"",VLOOKUP($B71,'TICH LUY'!$B$11:$BY$85,61,0))</f>
        <v/>
      </c>
      <c r="CY71" s="507" t="str">
        <f>IF(OR(ISNA(VLOOKUP($B71,'TICH LUY'!$B$11:$BY$85,62,0)),$B71=""),"",VLOOKUP($B71,'TICH LUY'!$B$11:$BY$85,62,0))</f>
        <v/>
      </c>
      <c r="CZ71" s="507" t="str">
        <f>IF(OR(ISNA(VLOOKUP($B71,'TICH LUY'!$B$11:$BY$85,63,0)),$B71=""),"",VLOOKUP($B71,'TICH LUY'!$B$11:$BY$85,63,0))</f>
        <v/>
      </c>
      <c r="DA71" s="507" t="str">
        <f>IF(OR(ISNA(VLOOKUP($B71,'TICH LUY'!$B$11:$BY$85,64,0)),$B71=""),"",VLOOKUP($B71,'TICH LUY'!$B$11:$BY$85,64,0))</f>
        <v/>
      </c>
      <c r="DB71" s="507" t="str">
        <f>IF(OR(ISNA(VLOOKUP($B71,'TICH LUY'!$B$11:$BY$85,65,0)),$B71=""),"",VLOOKUP($B71,'TICH LUY'!$B$11:$BY$85,65,0))</f>
        <v/>
      </c>
      <c r="DC71" s="507" t="str">
        <f>IF(OR(ISNA(VLOOKUP($B71,'TICH LUY'!$B$11:$BY$85,66,0)),$B71=""),"",VLOOKUP($B71,'TICH LUY'!$B$11:$BY$85,66,0))</f>
        <v/>
      </c>
      <c r="DD71" s="507" t="str">
        <f>IF(OR(ISNA(VLOOKUP($B71,'TICH LUY'!$B$11:$BY$85,67,0)),$B71=""),"",VLOOKUP($B71,'TICH LUY'!$B$11:$BY$85,67,0))</f>
        <v/>
      </c>
      <c r="DE71" s="507" t="str">
        <f>IF(OR(ISNA(VLOOKUP($B71,'TICH LUY'!$B$11:$BY$85,68,0)),$B71=""),"",VLOOKUP($B71,'TICH LUY'!$B$11:$BY$85,68,0))</f>
        <v/>
      </c>
      <c r="DF71" s="507" t="str">
        <f>IF(OR(ISNA(VLOOKUP($B71,'TICH LUY'!$B$11:$BY$85,69,0)),$B71=""),"",VLOOKUP($B71,'TICH LUY'!$B$11:$BY$85,69,0))</f>
        <v/>
      </c>
      <c r="DG71" s="507" t="str">
        <f>IF(OR(ISNA(VLOOKUP($B71,'TICH LUY'!$B$11:$BY$85,70,0)),$B71=""),"",VLOOKUP($B71,'TICH LUY'!$B$11:$BY$85,70,0))</f>
        <v/>
      </c>
      <c r="DH71" s="507" t="str">
        <f>IF(OR(ISNA(VLOOKUP($B71,'TICH LUY'!$B$11:$BY$85,71,0)),$B71=""),"",VLOOKUP($B71,'TICH LUY'!$B$11:$BY$85,71,0))</f>
        <v/>
      </c>
      <c r="DI71" s="507" t="str">
        <f>IF(OR(ISNA(VLOOKUP($B71,'TICH LUY'!$B$11:$BY$85,72,0)),$B71=""),"",VLOOKUP($B71,'TICH LUY'!$B$11:$BY$85,72,0))</f>
        <v/>
      </c>
      <c r="DJ71" s="507" t="str">
        <f>IF(OR(ISNA(VLOOKUP($B71,'TICH LUY'!$B$11:$BY$85,73,0)),$B71=""),"",VLOOKUP($B71,'TICH LUY'!$B$11:$BY$85,73,0))</f>
        <v/>
      </c>
      <c r="DK71" s="507" t="str">
        <f>IF(OR(ISNA(VLOOKUP($B71,'TICH LUY'!$B$11:$BY$85,74,0)),$B71=""),"",VLOOKUP($B71,'TICH LUY'!$B$11:$BY$85,74,0))</f>
        <v/>
      </c>
      <c r="DL71" s="507" t="str">
        <f>IF(OR(ISNA(VLOOKUP($B71,'TICH LUY'!$B$11:$BY$85,75,0)),$B71=""),"",VLOOKUP($B71,'TICH LUY'!$B$11:$BY$85,75,0))</f>
        <v/>
      </c>
      <c r="DM71" s="529" t="str">
        <f>IF(OR(ISNA(VLOOKUP($B71,'TICH LUY'!$B$11:$BY$85,76,0)),$B71=""),"",VLOOKUP($B71,'TICH LUY'!$B$11:$BY$85,76,0))</f>
        <v/>
      </c>
      <c r="DN71" s="455" t="str">
        <f t="shared" si="37"/>
        <v/>
      </c>
      <c r="DO71" s="456" t="str">
        <f t="shared" si="38"/>
        <v/>
      </c>
      <c r="DP71" s="456" t="str">
        <f t="shared" si="39"/>
        <v/>
      </c>
      <c r="DQ71" s="456" t="str">
        <f t="shared" si="40"/>
        <v/>
      </c>
      <c r="DR71" s="456" t="str">
        <f t="shared" si="41"/>
        <v/>
      </c>
      <c r="DS71" s="456" t="str">
        <f t="shared" si="42"/>
        <v/>
      </c>
      <c r="DT71" s="456" t="str">
        <f t="shared" si="43"/>
        <v/>
      </c>
      <c r="DU71" s="456" t="str">
        <f t="shared" si="44"/>
        <v/>
      </c>
      <c r="DV71" s="456" t="str">
        <f t="shared" si="45"/>
        <v/>
      </c>
      <c r="DW71" s="456" t="str">
        <f t="shared" si="46"/>
        <v/>
      </c>
      <c r="DX71" s="456" t="str">
        <f t="shared" si="47"/>
        <v/>
      </c>
      <c r="DY71" s="457" t="str">
        <f t="shared" si="48"/>
        <v/>
      </c>
      <c r="DZ71" s="453" t="str">
        <f t="shared" si="115"/>
        <v/>
      </c>
      <c r="EA71" s="452" t="str">
        <f t="shared" si="50"/>
        <v/>
      </c>
      <c r="EB71" s="452" t="str">
        <f t="shared" si="116"/>
        <v/>
      </c>
      <c r="EC71" s="452" t="str">
        <f t="shared" si="117"/>
        <v/>
      </c>
      <c r="ED71" s="452" t="str">
        <f t="shared" si="118"/>
        <v/>
      </c>
      <c r="EE71" s="452" t="str">
        <f t="shared" si="119"/>
        <v/>
      </c>
      <c r="EF71" s="452" t="str">
        <f t="shared" si="120"/>
        <v/>
      </c>
      <c r="EG71" s="452" t="str">
        <f t="shared" si="56"/>
        <v/>
      </c>
      <c r="EH71" s="452" t="str">
        <f t="shared" si="57"/>
        <v/>
      </c>
      <c r="EI71" s="453" t="str">
        <f t="shared" si="58"/>
        <v/>
      </c>
      <c r="EJ71" s="452" t="str">
        <f t="shared" si="59"/>
        <v/>
      </c>
      <c r="EK71" s="452" t="str">
        <f t="shared" si="60"/>
        <v/>
      </c>
      <c r="EL71" s="452" t="str">
        <f t="shared" si="61"/>
        <v/>
      </c>
      <c r="EM71" s="452" t="str">
        <f t="shared" si="62"/>
        <v/>
      </c>
      <c r="EN71" s="452" t="str">
        <f t="shared" si="63"/>
        <v/>
      </c>
      <c r="EO71" s="452" t="str">
        <f t="shared" si="64"/>
        <v/>
      </c>
      <c r="EP71" s="452" t="str">
        <f t="shared" si="65"/>
        <v/>
      </c>
      <c r="EQ71" s="452" t="str">
        <f t="shared" si="66"/>
        <v/>
      </c>
      <c r="ER71" s="452" t="str">
        <f t="shared" si="67"/>
        <v/>
      </c>
      <c r="ES71" s="452" t="str">
        <f t="shared" si="106"/>
        <v/>
      </c>
      <c r="ET71" s="458" t="str">
        <f t="shared" si="68"/>
        <v/>
      </c>
      <c r="EU71" s="527" t="str">
        <f>IF(OR(ISNA(VLOOKUP($B71,'TICH LUY'!$B$11:$BY$85,54,0)),$B71=""),"",VLOOKUP($B71,'TICH LUY'!$B$11:$BY$85,54,0))</f>
        <v/>
      </c>
      <c r="EV71" s="507" t="str">
        <f>IF(OR(ISNA(VLOOKUP($B71,'TICH LUY'!$B$11:$BY$85,55,0)),$B71=""),"",VLOOKUP($B71,'TICH LUY'!$B$11:$BY$85,55,0))</f>
        <v/>
      </c>
      <c r="EW71" s="507" t="str">
        <f>IF(OR(ISNA(VLOOKUP($B71,'TICH LUY'!$B$11:$BY$85,56,0)),$B71=""),"",VLOOKUP($B71,'TICH LUY'!$B$11:$BY$85,56,0))</f>
        <v/>
      </c>
      <c r="EX71" s="507" t="str">
        <f>IF(OR(ISNA(VLOOKUP($B71,'TICH LUY'!$B$11:$BY$85,57,0)),$B71=""),"",VLOOKUP($B71,'TICH LUY'!$B$11:$BY$85,57,0))</f>
        <v/>
      </c>
      <c r="EY71" s="507" t="str">
        <f>IF(OR(ISNA(VLOOKUP($B71,'TICH LUY'!$B$11:$BY$85,58,0)),$B71=""),"",VLOOKUP($B71,'TICH LUY'!$B$11:$BY$85,58,0))</f>
        <v/>
      </c>
      <c r="EZ71" s="507" t="str">
        <f>IF(OR(ISNA(VLOOKUP($B71,'TICH LUY'!$B$11:$BY$85,59,0)),$B71=""),"",VLOOKUP($B71,'TICH LUY'!$B$11:$BY$85,59,0))</f>
        <v/>
      </c>
      <c r="FA71" s="507" t="str">
        <f>IF(OR(ISNA(VLOOKUP($B71,'TICH LUY'!$B$11:$BY$85,60,0)),$B71=""),"",VLOOKUP($B71,'TICH LUY'!$B$11:$BY$85,60,0))</f>
        <v/>
      </c>
      <c r="FB71" s="507" t="str">
        <f>IF(OR(ISNA(VLOOKUP($B71,'TICH LUY'!$B$11:$BY$85,61,0)),$B71=""),"",VLOOKUP($B71,'TICH LUY'!$B$11:$BY$85,61,0))</f>
        <v/>
      </c>
      <c r="FC71" s="507" t="str">
        <f>IF(OR(ISNA(VLOOKUP($B71,'TICH LUY'!$B$11:$BY$85,62,0)),$B71=""),"",VLOOKUP($B71,'TICH LUY'!$B$11:$BY$85,62,0))</f>
        <v/>
      </c>
      <c r="FD71" s="507" t="str">
        <f>IF(OR(ISNA(VLOOKUP($B71,'TICH LUY'!$B$11:$BY$85,63,0)),$B71=""),"",VLOOKUP($B71,'TICH LUY'!$B$11:$BY$85,63,0))</f>
        <v/>
      </c>
      <c r="FE71" s="507" t="str">
        <f>IF(OR(ISNA(VLOOKUP($B71,'TICH LUY'!$B$11:$BY$85,64,0)),$B71=""),"",VLOOKUP($B71,'TICH LUY'!$B$11:$BY$85,64,0))</f>
        <v/>
      </c>
      <c r="FF71" s="507" t="str">
        <f>IF(OR(ISNA(VLOOKUP($B71,'TICH LUY'!$B$11:$BY$85,65,0)),$B71=""),"",VLOOKUP($B71,'TICH LUY'!$B$11:$BY$85,65,0))</f>
        <v/>
      </c>
      <c r="FG71" s="507" t="str">
        <f>IF(OR(ISNA(VLOOKUP($B71,'TICH LUY'!$B$11:$BY$85,66,0)),$B71=""),"",VLOOKUP($B71,'TICH LUY'!$B$11:$BY$85,66,0))</f>
        <v/>
      </c>
      <c r="FH71" s="507" t="str">
        <f>IF(OR(ISNA(VLOOKUP($B71,'TICH LUY'!$B$11:$BY$85,67,0)),$B71=""),"",VLOOKUP($B71,'TICH LUY'!$B$11:$BY$85,67,0))</f>
        <v/>
      </c>
      <c r="FI71" s="507" t="str">
        <f>IF(OR(ISNA(VLOOKUP($B71,'TICH LUY'!$B$11:$BY$85,68,0)),$B71=""),"",VLOOKUP($B71,'TICH LUY'!$B$11:$BY$85,68,0))</f>
        <v/>
      </c>
      <c r="FJ71" s="507" t="str">
        <f>IF(OR(ISNA(VLOOKUP($B71,'TICH LUY'!$B$11:$BY$85,69,0)),$B71=""),"",VLOOKUP($B71,'TICH LUY'!$B$11:$BY$85,69,0))</f>
        <v/>
      </c>
      <c r="FK71" s="507" t="str">
        <f>IF(OR(ISNA(VLOOKUP($B71,'TICH LUY'!$B$11:$BY$85,70,0)),$B71=""),"",VLOOKUP($B71,'TICH LUY'!$B$11:$BY$85,70,0))</f>
        <v/>
      </c>
      <c r="FL71" s="507" t="str">
        <f>IF(OR(ISNA(VLOOKUP($B71,'TICH LUY'!$B$11:$BY$85,71,0)),$B71=""),"",VLOOKUP($B71,'TICH LUY'!$B$11:$BY$85,71,0))</f>
        <v/>
      </c>
      <c r="FM71" s="507" t="str">
        <f>IF(OR(ISNA(VLOOKUP($B71,'TICH LUY'!$B$11:$BY$85,72,0)),$B71=""),"",VLOOKUP($B71,'TICH LUY'!$B$11:$BY$85,72,0))</f>
        <v/>
      </c>
      <c r="FN71" s="507" t="str">
        <f>IF(OR(ISNA(VLOOKUP($B71,'TICH LUY'!$B$11:$BY$85,73,0)),$B71=""),"",VLOOKUP($B71,'TICH LUY'!$B$11:$BY$85,73,0))</f>
        <v/>
      </c>
      <c r="FO71" s="507" t="str">
        <f>IF(OR(ISNA(VLOOKUP($B71,'TICH LUY'!$B$11:$BY$85,74,0)),$B71=""),"",VLOOKUP($B71,'TICH LUY'!$B$11:$BY$85,74,0))</f>
        <v/>
      </c>
      <c r="FP71" s="507" t="str">
        <f>IF(OR(ISNA(VLOOKUP($B71,'TICH LUY'!$B$11:$BY$85,75,0)),$B71=""),"",VLOOKUP($B71,'TICH LUY'!$B$11:$BY$85,75,0))</f>
        <v/>
      </c>
      <c r="FQ71" s="529" t="str">
        <f>IF(OR(ISNA(VLOOKUP($B71,'TICH LUY'!$B$11:$BY$85,76,0)),$B71=""),"",VLOOKUP($B71,'TICH LUY'!$B$11:$BY$85,76,0))</f>
        <v/>
      </c>
      <c r="FR71" s="455" t="str">
        <f t="shared" si="69"/>
        <v/>
      </c>
      <c r="FS71" s="456" t="str">
        <f t="shared" si="70"/>
        <v/>
      </c>
      <c r="FT71" s="456" t="str">
        <f t="shared" si="71"/>
        <v/>
      </c>
      <c r="FU71" s="456" t="str">
        <f t="shared" si="72"/>
        <v/>
      </c>
      <c r="FV71" s="456" t="str">
        <f t="shared" si="73"/>
        <v/>
      </c>
      <c r="FW71" s="456" t="str">
        <f t="shared" si="74"/>
        <v/>
      </c>
      <c r="FX71" s="456" t="str">
        <f t="shared" si="75"/>
        <v/>
      </c>
      <c r="FY71" s="456" t="str">
        <f t="shared" si="76"/>
        <v/>
      </c>
      <c r="FZ71" s="456" t="str">
        <f t="shared" si="77"/>
        <v/>
      </c>
      <c r="GA71" s="456" t="str">
        <f t="shared" si="78"/>
        <v/>
      </c>
      <c r="GB71" s="459" t="str">
        <f t="shared" si="79"/>
        <v/>
      </c>
      <c r="GC71" s="457" t="str">
        <f t="shared" si="107"/>
        <v/>
      </c>
    </row>
    <row r="72" spans="1:202" s="221" customFormat="1" ht="15.75">
      <c r="A72" s="449" t="str">
        <f>IF(B72="","",SUBTOTAL(3,$B$11:B72))</f>
        <v/>
      </c>
      <c r="B72" s="460"/>
      <c r="C72" s="450" t="str">
        <f>IF($B72="","",VLOOKUP($B72,'DS LOP HKI'!$B$2:$F$2642,2,0))</f>
        <v/>
      </c>
      <c r="D72" s="451" t="str">
        <f>IF($B72="","",VLOOKUP($B72,'DS LOP HKI'!$B$2:$F$2642,3,0))</f>
        <v/>
      </c>
      <c r="E72" s="154"/>
      <c r="F72" s="152"/>
      <c r="G72" s="156"/>
      <c r="H72" s="181" t="str">
        <f>IF(OR($H$6="",$H$7=""),"",IF($B72="","",IF(ISNA(VLOOKUP($B72,'LT01'!$B$11:$R$75,13,FALSE)),"",IF(VLOOKUP($B72,'LT01'!$B$11:$R$75,13,FALSE)="","",VLOOKUP($B72,'LT01'!$B$11:$R$75,13,FALSE)))))</f>
        <v/>
      </c>
      <c r="I72" s="182" t="str">
        <f>IF(OR($H$6="",$H$7=""),"",IF($B72="","",IF(ISNA(VLOOKUP($B72,'LT01'!$B$11:$R$75,14,FALSE)),"",VLOOKUP($B72,'LT01'!$B$11:$R$75,14,FALSE))))</f>
        <v/>
      </c>
      <c r="J72" s="183"/>
      <c r="K72" s="182" t="str">
        <f>IF(OR($H$6="",$H$7=""),"",IF($B72="","",IF(ISNA(VLOOKUP($B72,'LT01'!$B$11:$R$75,17,FALSE)),"",VLOOKUP($B72,'LT01'!$B$11:$R$75,17,FALSE))))</f>
        <v/>
      </c>
      <c r="L72" s="185" t="str">
        <f>IF(OR($H$6="",$H$7=""),"",IF($B72="","",IF(ISNA(VLOOKUP($B72,'LT02'!$B$11:$R$75,13,FALSE)),"",IF(VLOOKUP($B72,'LT02'!$B$11:$R$75,13,FALSE)="","",VLOOKUP($B72,'LT02'!$B$11:$R$75,13,FALSE)))))</f>
        <v/>
      </c>
      <c r="M72" s="182" t="str">
        <f>IF(OR($H$6="",$H$7=""),"",IF($B72="","",IF(ISNA(VLOOKUP($B72,'LT02'!$B$11:$R$75,14,FALSE)),"",VLOOKUP($B72,'LT02'!$B$11:$R$75,14,FALSE))))</f>
        <v/>
      </c>
      <c r="N72" s="183"/>
      <c r="O72" s="182" t="str">
        <f>IF(OR($H$6="",$H$7=""),"",IF($B72="","",IF(ISNA(VLOOKUP($B72,'LT02'!$B$11:$R$75,17,FALSE)),"",VLOOKUP($B72,'LT02'!$B$11:$R$75,17,FALSE))))</f>
        <v/>
      </c>
      <c r="P72" s="185" t="str">
        <f>IF(OR($H$6="",$H$7=""),"",IF($B72="","",IF(ISNA(VLOOKUP($B72,'LT03'!$B$11:$R$75,13,FALSE)),"",IF(VLOOKUP($B72,'LT03'!$B$11:$R$75,13,FALSE)="","",VLOOKUP($B72,'LT03'!$B$11:$R$75,13,FALSE)))))</f>
        <v/>
      </c>
      <c r="Q72" s="182" t="str">
        <f>IF(OR($H$6="",$H$7=""),"",IF($B72="","",IF(ISNA(VLOOKUP($B72,'LT03'!$B$11:$R$75,14,FALSE)),"",VLOOKUP($B72,'LT03'!$B$11:$R$75,14,FALSE))))</f>
        <v/>
      </c>
      <c r="R72" s="183"/>
      <c r="S72" s="182" t="str">
        <f>IF(OR($H$6="",$H$7=""),"",IF($B72="","",IF(ISNA(VLOOKUP($B72,'LT03'!$B$11:$R$75,17,FALSE)),"",VLOOKUP($B72,'LT03'!$B$11:$R$75,17,FALSE))))</f>
        <v/>
      </c>
      <c r="T72" s="185" t="str">
        <f>IF(OR($H$6="",$H$7=""),"",IF($B72="","",IF(ISNA(VLOOKUP($B72,'LT04'!$B$11:$R$75,13,FALSE)),"",IF(VLOOKUP($B72,'LT04'!$B$11:$R$75,13,FALSE)="","",VLOOKUP($B72,'LT04'!$B$11:$R$75,13,FALSE)))))</f>
        <v/>
      </c>
      <c r="U72" s="182" t="str">
        <f>IF(OR($H$6="",$H$7=""),"",IF($B72="","",IF(ISNA(VLOOKUP($B72,'LT04'!$B$11:$R$75,14,FALSE)),"",VLOOKUP($B72,'LT04'!$B$11:$R$75,14,FALSE))))</f>
        <v/>
      </c>
      <c r="V72" s="183"/>
      <c r="W72" s="184" t="str">
        <f>IF(OR($H$6="",$H$7=""),"",IF($B72="","",IF(ISNA(VLOOKUP($B72,'LT04'!$B$11:$R$75,17,FALSE)),"",VLOOKUP($B72,'LT04'!$B$11:$R$75,17,FALSE))))</f>
        <v/>
      </c>
      <c r="X72" s="185" t="str">
        <f>IF(OR($H$6="",$H$7=""),"",IF($B72="","",IF(ISNA(VLOOKUP($B72,'LT05'!$B$11:$R$75,13,FALSE)),"",IF(VLOOKUP($B72,'LT05'!$B$11:$R$75,13,FALSE)="","",VLOOKUP($B72,'LT05'!$B$11:$R$75,13,FALSE)))))</f>
        <v/>
      </c>
      <c r="Y72" s="182" t="str">
        <f>IF(OR($H$6="",$H$7=""),"",IF($B72="","",IF(ISNA(VLOOKUP($B72,'LT05'!$B$11:$R$75,14,FALSE)),"",VLOOKUP($B72,'LT05'!$B$11:$R$75,14,FALSE))))</f>
        <v/>
      </c>
      <c r="Z72" s="183"/>
      <c r="AA72" s="182" t="str">
        <f>IF(OR($H$6="",$H$7=""),"",IF($B72="","",IF(ISNA(VLOOKUP($B72,'LT05'!$B$11:$R$75,17,FALSE)),"",VLOOKUP($B72,'LT05'!$B$11:$R$75,17,FALSE))))</f>
        <v/>
      </c>
      <c r="AB72" s="185" t="str">
        <f>IF(OR($H$6="",$H$7=""),"",IF($B72="","",IF(ISNA(VLOOKUP($B72,'LT06'!$B$11:$R$75,13,FALSE)),"",IF(VLOOKUP($B72,'LT06'!$B$11:$R$75,13,FALSE)="","",VLOOKUP($B72,'LT06'!$B$11:$R$75,13,FALSE)))))</f>
        <v/>
      </c>
      <c r="AC72" s="182" t="str">
        <f>IF(OR($H$6="",$H$7=""),"",IF($B72="","",IF(ISNA(VLOOKUP($B72,'LT06'!$B$11:$R$75,14,FALSE)),"",VLOOKUP($B72,'LT06'!$B$11:$R$75,14,FALSE))))</f>
        <v/>
      </c>
      <c r="AD72" s="183"/>
      <c r="AE72" s="182" t="str">
        <f>IF(OR($H$6="",$H$7=""),"",IF($B72="","",IF(ISNA(VLOOKUP($B72,'LT06'!$B$11:$R$75,17,FALSE)),"",VLOOKUP($B72,'LT06'!$B$11:$R$75,17,FALSE))))</f>
        <v/>
      </c>
      <c r="AF72" s="185" t="str">
        <f>IF(OR($H$6="",$H$7=""),"",IF($B72="","",IF(ISNA(VLOOKUP($B72,'LT07'!$B$11:$R$75,13,FALSE)),"",IF(VLOOKUP($B72,'LT07'!$B$11:$R$75,13,FALSE)="","",VLOOKUP($B72,'LT07'!$B$11:$R$75,13,FALSE)))))</f>
        <v/>
      </c>
      <c r="AG72" s="182" t="str">
        <f>IF(OR($H$6="",$H$7=""),"",IF($B72="","",IF(ISNA(VLOOKUP($B72,'LT07'!$B$11:$R$75,14,FALSE)),"",VLOOKUP($B72,'LT07'!$B$11:$R$75,14,FALSE))))</f>
        <v/>
      </c>
      <c r="AH72" s="183"/>
      <c r="AI72" s="182" t="str">
        <f>IF(OR($H$6="",$H$7=""),"",IF($B72="","",IF(ISNA(VLOOKUP($B72,'LT07'!$B$11:$R$75,17,FALSE)),"",VLOOKUP($B72,'LT07'!$B$11:$R$75,17,FALSE))))</f>
        <v/>
      </c>
      <c r="AJ72" s="185" t="str">
        <f>IF(OR($H$6="",$H$7=""),"",IF($B72="","",IF(ISNA(VLOOKUP($B72,'LT08'!$B$11:$R$75,13,FALSE)),"",IF(VLOOKUP($B72,'LT08'!$B$11:$R$75,13,FALSE)="","",VLOOKUP($B72,'LT08'!$B$11:$R$75,13,FALSE)))))</f>
        <v/>
      </c>
      <c r="AK72" s="182" t="str">
        <f>IF(OR($H$6="",$H$7=""),"",IF($B72="","",IF(ISNA(VLOOKUP($B72,'LT08'!$B$11:$R$75,14,FALSE)),"",VLOOKUP($B72,'LT08'!$B$11:$R$75,14,FALSE))))</f>
        <v/>
      </c>
      <c r="AL72" s="183"/>
      <c r="AM72" s="182" t="str">
        <f>IF(OR($H$6="",$H$7=""),"",IF($B72="","",IF(ISNA(VLOOKUP($B72,'LT08'!$B$11:$R$75,17,FALSE)),"",VLOOKUP($B72,'LT08'!$B$11:$R$75,17,FALSE))))</f>
        <v/>
      </c>
      <c r="AN72" s="185" t="str">
        <f>IF(OR($H$6="",$H$7=""),"",IF($B72="","",IF(ISNA(VLOOKUP($B72,'LT09'!$B$11:$R$75,13,FALSE)),"",IF(VLOOKUP($B72,'LT09'!$B$11:$R$75,13,FALSE)="","",VLOOKUP($B72,'LT09'!$B$11:$R$75,13,FALSE)))))</f>
        <v/>
      </c>
      <c r="AO72" s="182" t="str">
        <f>IF(OR($H$6="",$H$7=""),"",IF($B72="","",IF(ISNA(VLOOKUP($B72,'LT09'!$B$11:$R$75,14,FALSE)),"",VLOOKUP($B72,'LT09'!$B$11:$R$75,14,FALSE))))</f>
        <v/>
      </c>
      <c r="AP72" s="183"/>
      <c r="AQ72" s="182" t="str">
        <f>IF(OR($H$6="",$H$7=""),"",IF($B72="","",IF(ISNA(VLOOKUP($B72,'LT09'!$B$11:$R$75,17,FALSE)),"",VLOOKUP($B72,'LT09'!$B$11:$R$75,17,FALSE))))</f>
        <v/>
      </c>
      <c r="AR72" s="186"/>
      <c r="AS72" s="182" t="str">
        <f>IF(OR($H$6="",$H$7=""),"",IF($B72="","",IF(ISNA(VLOOKUP($B72,'TH01'!$B$11:$R$75,14,FALSE)),"",VLOOKUP($B72,'TH01'!$B$11:$R$75,14,FALSE))))</f>
        <v/>
      </c>
      <c r="AT72" s="183"/>
      <c r="AU72" s="187"/>
      <c r="AV72" s="186"/>
      <c r="AW72" s="182" t="str">
        <f>IF(OR($H$6="",$H$7=""),"",IF($B72="","",IF(ISNA(VLOOKUP($B72,'TH02'!$B$11:$R$75,14,FALSE)),"",VLOOKUP($B72,'TH02'!$B$11:$R$75,14,FALSE))))</f>
        <v/>
      </c>
      <c r="AX72" s="183"/>
      <c r="AY72" s="187"/>
      <c r="AZ72" s="54" t="str">
        <f t="shared" si="108"/>
        <v/>
      </c>
      <c r="BA72" s="54" t="str">
        <f t="shared" si="0"/>
        <v/>
      </c>
      <c r="BB72" s="70"/>
      <c r="BC72" s="52" t="str">
        <f t="shared" si="25"/>
        <v/>
      </c>
      <c r="BD72" s="52" t="str">
        <f t="shared" si="26"/>
        <v/>
      </c>
      <c r="BE72" s="52" t="str">
        <f t="shared" si="86"/>
        <v/>
      </c>
      <c r="BF72" s="149" t="str">
        <f t="shared" si="87"/>
        <v/>
      </c>
      <c r="BG72" s="52" t="str">
        <f t="shared" si="88"/>
        <v/>
      </c>
      <c r="BH72" s="52" t="str">
        <f t="shared" si="89"/>
        <v/>
      </c>
      <c r="BI72" s="52" t="str">
        <f t="shared" si="90"/>
        <v/>
      </c>
      <c r="BJ72" s="52" t="str">
        <f t="shared" si="91"/>
        <v/>
      </c>
      <c r="BK72" s="54" t="str">
        <f t="shared" si="92"/>
        <v/>
      </c>
      <c r="BL72" s="54" t="str">
        <f t="shared" si="93"/>
        <v/>
      </c>
      <c r="BM72" s="54" t="str">
        <f t="shared" si="94"/>
        <v/>
      </c>
      <c r="BN72" s="54" t="str">
        <f t="shared" si="95"/>
        <v/>
      </c>
      <c r="BO72" s="70"/>
      <c r="BP72" s="52" t="str">
        <f>IF(ISNA(VLOOKUP(B72,'TICH LUY'!B:D,2,0)),"",VLOOKUP(B72,'TICH LUY'!B:D,2,0)+BI72)</f>
        <v/>
      </c>
      <c r="BQ72" s="52" t="str">
        <f>IF(ISNA(VLOOKUP(B72,'TICH LUY'!B:D,3,0)),"",VLOOKUP(B72,'TICH LUY'!B:D,3,0)+BJ72)</f>
        <v/>
      </c>
      <c r="BR72" s="40" t="str">
        <f t="shared" si="96"/>
        <v/>
      </c>
      <c r="BS72" s="452" t="str">
        <f t="shared" si="97"/>
        <v/>
      </c>
      <c r="BT72" s="452" t="str">
        <f t="shared" si="98"/>
        <v/>
      </c>
      <c r="BU72" s="452" t="str">
        <f t="shared" si="99"/>
        <v/>
      </c>
      <c r="BV72" s="452" t="str">
        <f t="shared" si="100"/>
        <v/>
      </c>
      <c r="BW72" s="452" t="str">
        <f t="shared" si="101"/>
        <v/>
      </c>
      <c r="BX72" s="452" t="str">
        <f t="shared" si="102"/>
        <v/>
      </c>
      <c r="BY72" s="452" t="str">
        <f t="shared" si="103"/>
        <v/>
      </c>
      <c r="BZ72" s="452" t="str">
        <f t="shared" si="28"/>
        <v/>
      </c>
      <c r="CA72" s="452" t="str">
        <f t="shared" si="29"/>
        <v/>
      </c>
      <c r="CB72" s="452" t="str">
        <f t="shared" si="30"/>
        <v/>
      </c>
      <c r="CC72" s="452" t="str">
        <f t="shared" si="104"/>
        <v/>
      </c>
      <c r="CD72" s="40" t="str">
        <f t="shared" si="31"/>
        <v/>
      </c>
      <c r="CE72" s="453" t="str">
        <f t="shared" si="109"/>
        <v/>
      </c>
      <c r="CF72" s="452" t="str">
        <f t="shared" si="32"/>
        <v/>
      </c>
      <c r="CG72" s="452" t="str">
        <f t="shared" si="110"/>
        <v/>
      </c>
      <c r="CH72" s="452" t="str">
        <f t="shared" si="111"/>
        <v/>
      </c>
      <c r="CI72" s="452" t="str">
        <f t="shared" si="112"/>
        <v/>
      </c>
      <c r="CJ72" s="452" t="str">
        <f t="shared" si="113"/>
        <v/>
      </c>
      <c r="CK72" s="452" t="str">
        <f t="shared" si="114"/>
        <v/>
      </c>
      <c r="CL72" s="452" t="str">
        <f t="shared" si="33"/>
        <v/>
      </c>
      <c r="CM72" s="452" t="str">
        <f t="shared" si="34"/>
        <v/>
      </c>
      <c r="CN72" s="452" t="str">
        <f t="shared" si="35"/>
        <v/>
      </c>
      <c r="CO72" s="452" t="str">
        <f t="shared" si="105"/>
        <v/>
      </c>
      <c r="CP72" s="454" t="str">
        <f t="shared" si="36"/>
        <v/>
      </c>
      <c r="CQ72" s="527" t="str">
        <f>IF(OR(ISNA(VLOOKUP($B72,'TICH LUY'!$B$11:$BY$85,54,0)),$B72=""),"",VLOOKUP($B72,'TICH LUY'!$B$11:$BY$85,54,0))</f>
        <v/>
      </c>
      <c r="CR72" s="507" t="str">
        <f>IF(OR(ISNA(VLOOKUP($B72,'TICH LUY'!$B$11:$BY$85,55,0)),$B72=""),"",VLOOKUP($B72,'TICH LUY'!$B$11:$BY$85,55,0))</f>
        <v/>
      </c>
      <c r="CS72" s="507" t="str">
        <f>IF(OR(ISNA(VLOOKUP($B72,'TICH LUY'!$B$11:$BY$85,56,0)),$B72=""),"",VLOOKUP($B72,'TICH LUY'!$B$11:$BY$85,56,0))</f>
        <v/>
      </c>
      <c r="CT72" s="507" t="str">
        <f>IF(OR(ISNA(VLOOKUP($B72,'TICH LUY'!$B$11:$BY$85,57,0)),$B72=""),"",VLOOKUP($B72,'TICH LUY'!$B$11:$BY$85,57,0))</f>
        <v/>
      </c>
      <c r="CU72" s="507" t="str">
        <f>IF(OR(ISNA(VLOOKUP($B72,'TICH LUY'!$B$11:$BY$85,58,0)),$B72=""),"",VLOOKUP($B72,'TICH LUY'!$B$11:$BY$85,58,0))</f>
        <v/>
      </c>
      <c r="CV72" s="507" t="str">
        <f>IF(OR(ISNA(VLOOKUP($B72,'TICH LUY'!$B$11:$BY$85,59,0)),$B72=""),"",VLOOKUP($B72,'TICH LUY'!$B$11:$BY$85,59,0))</f>
        <v/>
      </c>
      <c r="CW72" s="507" t="str">
        <f>IF(OR(ISNA(VLOOKUP($B72,'TICH LUY'!$B$11:$BY$85,60,0)),$B72=""),"",VLOOKUP($B72,'TICH LUY'!$B$11:$BY$85,60,0))</f>
        <v/>
      </c>
      <c r="CX72" s="507" t="str">
        <f>IF(OR(ISNA(VLOOKUP($B72,'TICH LUY'!$B$11:$BY$85,61,0)),$B72=""),"",VLOOKUP($B72,'TICH LUY'!$B$11:$BY$85,61,0))</f>
        <v/>
      </c>
      <c r="CY72" s="507" t="str">
        <f>IF(OR(ISNA(VLOOKUP($B72,'TICH LUY'!$B$11:$BY$85,62,0)),$B72=""),"",VLOOKUP($B72,'TICH LUY'!$B$11:$BY$85,62,0))</f>
        <v/>
      </c>
      <c r="CZ72" s="507" t="str">
        <f>IF(OR(ISNA(VLOOKUP($B72,'TICH LUY'!$B$11:$BY$85,63,0)),$B72=""),"",VLOOKUP($B72,'TICH LUY'!$B$11:$BY$85,63,0))</f>
        <v/>
      </c>
      <c r="DA72" s="507" t="str">
        <f>IF(OR(ISNA(VLOOKUP($B72,'TICH LUY'!$B$11:$BY$85,64,0)),$B72=""),"",VLOOKUP($B72,'TICH LUY'!$B$11:$BY$85,64,0))</f>
        <v/>
      </c>
      <c r="DB72" s="507" t="str">
        <f>IF(OR(ISNA(VLOOKUP($B72,'TICH LUY'!$B$11:$BY$85,65,0)),$B72=""),"",VLOOKUP($B72,'TICH LUY'!$B$11:$BY$85,65,0))</f>
        <v/>
      </c>
      <c r="DC72" s="507" t="str">
        <f>IF(OR(ISNA(VLOOKUP($B72,'TICH LUY'!$B$11:$BY$85,66,0)),$B72=""),"",VLOOKUP($B72,'TICH LUY'!$B$11:$BY$85,66,0))</f>
        <v/>
      </c>
      <c r="DD72" s="507" t="str">
        <f>IF(OR(ISNA(VLOOKUP($B72,'TICH LUY'!$B$11:$BY$85,67,0)),$B72=""),"",VLOOKUP($B72,'TICH LUY'!$B$11:$BY$85,67,0))</f>
        <v/>
      </c>
      <c r="DE72" s="507" t="str">
        <f>IF(OR(ISNA(VLOOKUP($B72,'TICH LUY'!$B$11:$BY$85,68,0)),$B72=""),"",VLOOKUP($B72,'TICH LUY'!$B$11:$BY$85,68,0))</f>
        <v/>
      </c>
      <c r="DF72" s="507" t="str">
        <f>IF(OR(ISNA(VLOOKUP($B72,'TICH LUY'!$B$11:$BY$85,69,0)),$B72=""),"",VLOOKUP($B72,'TICH LUY'!$B$11:$BY$85,69,0))</f>
        <v/>
      </c>
      <c r="DG72" s="507" t="str">
        <f>IF(OR(ISNA(VLOOKUP($B72,'TICH LUY'!$B$11:$BY$85,70,0)),$B72=""),"",VLOOKUP($B72,'TICH LUY'!$B$11:$BY$85,70,0))</f>
        <v/>
      </c>
      <c r="DH72" s="507" t="str">
        <f>IF(OR(ISNA(VLOOKUP($B72,'TICH LUY'!$B$11:$BY$85,71,0)),$B72=""),"",VLOOKUP($B72,'TICH LUY'!$B$11:$BY$85,71,0))</f>
        <v/>
      </c>
      <c r="DI72" s="507" t="str">
        <f>IF(OR(ISNA(VLOOKUP($B72,'TICH LUY'!$B$11:$BY$85,72,0)),$B72=""),"",VLOOKUP($B72,'TICH LUY'!$B$11:$BY$85,72,0))</f>
        <v/>
      </c>
      <c r="DJ72" s="507" t="str">
        <f>IF(OR(ISNA(VLOOKUP($B72,'TICH LUY'!$B$11:$BY$85,73,0)),$B72=""),"",VLOOKUP($B72,'TICH LUY'!$B$11:$BY$85,73,0))</f>
        <v/>
      </c>
      <c r="DK72" s="507" t="str">
        <f>IF(OR(ISNA(VLOOKUP($B72,'TICH LUY'!$B$11:$BY$85,74,0)),$B72=""),"",VLOOKUP($B72,'TICH LUY'!$B$11:$BY$85,74,0))</f>
        <v/>
      </c>
      <c r="DL72" s="507" t="str">
        <f>IF(OR(ISNA(VLOOKUP($B72,'TICH LUY'!$B$11:$BY$85,75,0)),$B72=""),"",VLOOKUP($B72,'TICH LUY'!$B$11:$BY$85,75,0))</f>
        <v/>
      </c>
      <c r="DM72" s="529" t="str">
        <f>IF(OR(ISNA(VLOOKUP($B72,'TICH LUY'!$B$11:$BY$85,76,0)),$B72=""),"",VLOOKUP($B72,'TICH LUY'!$B$11:$BY$85,76,0))</f>
        <v/>
      </c>
      <c r="DN72" s="455" t="str">
        <f t="shared" si="37"/>
        <v/>
      </c>
      <c r="DO72" s="456" t="str">
        <f t="shared" si="38"/>
        <v/>
      </c>
      <c r="DP72" s="456" t="str">
        <f t="shared" si="39"/>
        <v/>
      </c>
      <c r="DQ72" s="456" t="str">
        <f t="shared" si="40"/>
        <v/>
      </c>
      <c r="DR72" s="456" t="str">
        <f t="shared" si="41"/>
        <v/>
      </c>
      <c r="DS72" s="456" t="str">
        <f t="shared" si="42"/>
        <v/>
      </c>
      <c r="DT72" s="456" t="str">
        <f t="shared" si="43"/>
        <v/>
      </c>
      <c r="DU72" s="456" t="str">
        <f t="shared" si="44"/>
        <v/>
      </c>
      <c r="DV72" s="456" t="str">
        <f t="shared" si="45"/>
        <v/>
      </c>
      <c r="DW72" s="456" t="str">
        <f t="shared" si="46"/>
        <v/>
      </c>
      <c r="DX72" s="456" t="str">
        <f t="shared" si="47"/>
        <v/>
      </c>
      <c r="DY72" s="457" t="str">
        <f t="shared" si="48"/>
        <v/>
      </c>
      <c r="DZ72" s="453" t="str">
        <f t="shared" si="115"/>
        <v/>
      </c>
      <c r="EA72" s="452" t="str">
        <f t="shared" si="50"/>
        <v/>
      </c>
      <c r="EB72" s="452" t="str">
        <f t="shared" si="116"/>
        <v/>
      </c>
      <c r="EC72" s="452" t="str">
        <f t="shared" si="117"/>
        <v/>
      </c>
      <c r="ED72" s="452" t="str">
        <f t="shared" si="118"/>
        <v/>
      </c>
      <c r="EE72" s="452" t="str">
        <f t="shared" si="119"/>
        <v/>
      </c>
      <c r="EF72" s="452" t="str">
        <f t="shared" si="120"/>
        <v/>
      </c>
      <c r="EG72" s="452" t="str">
        <f t="shared" si="56"/>
        <v/>
      </c>
      <c r="EH72" s="452" t="str">
        <f t="shared" si="57"/>
        <v/>
      </c>
      <c r="EI72" s="453" t="str">
        <f t="shared" si="58"/>
        <v/>
      </c>
      <c r="EJ72" s="452" t="str">
        <f t="shared" si="59"/>
        <v/>
      </c>
      <c r="EK72" s="452" t="str">
        <f t="shared" si="60"/>
        <v/>
      </c>
      <c r="EL72" s="452" t="str">
        <f t="shared" si="61"/>
        <v/>
      </c>
      <c r="EM72" s="452" t="str">
        <f t="shared" si="62"/>
        <v/>
      </c>
      <c r="EN72" s="452" t="str">
        <f t="shared" si="63"/>
        <v/>
      </c>
      <c r="EO72" s="452" t="str">
        <f t="shared" si="64"/>
        <v/>
      </c>
      <c r="EP72" s="452" t="str">
        <f t="shared" si="65"/>
        <v/>
      </c>
      <c r="EQ72" s="452" t="str">
        <f t="shared" si="66"/>
        <v/>
      </c>
      <c r="ER72" s="452" t="str">
        <f t="shared" si="67"/>
        <v/>
      </c>
      <c r="ES72" s="452" t="str">
        <f t="shared" si="106"/>
        <v/>
      </c>
      <c r="ET72" s="458" t="str">
        <f t="shared" si="68"/>
        <v/>
      </c>
      <c r="EU72" s="527" t="str">
        <f>IF(OR(ISNA(VLOOKUP($B72,'TICH LUY'!$B$11:$BY$85,54,0)),$B72=""),"",VLOOKUP($B72,'TICH LUY'!$B$11:$BY$85,54,0))</f>
        <v/>
      </c>
      <c r="EV72" s="507" t="str">
        <f>IF(OR(ISNA(VLOOKUP($B72,'TICH LUY'!$B$11:$BY$85,55,0)),$B72=""),"",VLOOKUP($B72,'TICH LUY'!$B$11:$BY$85,55,0))</f>
        <v/>
      </c>
      <c r="EW72" s="507" t="str">
        <f>IF(OR(ISNA(VLOOKUP($B72,'TICH LUY'!$B$11:$BY$85,56,0)),$B72=""),"",VLOOKUP($B72,'TICH LUY'!$B$11:$BY$85,56,0))</f>
        <v/>
      </c>
      <c r="EX72" s="507" t="str">
        <f>IF(OR(ISNA(VLOOKUP($B72,'TICH LUY'!$B$11:$BY$85,57,0)),$B72=""),"",VLOOKUP($B72,'TICH LUY'!$B$11:$BY$85,57,0))</f>
        <v/>
      </c>
      <c r="EY72" s="507" t="str">
        <f>IF(OR(ISNA(VLOOKUP($B72,'TICH LUY'!$B$11:$BY$85,58,0)),$B72=""),"",VLOOKUP($B72,'TICH LUY'!$B$11:$BY$85,58,0))</f>
        <v/>
      </c>
      <c r="EZ72" s="507" t="str">
        <f>IF(OR(ISNA(VLOOKUP($B72,'TICH LUY'!$B$11:$BY$85,59,0)),$B72=""),"",VLOOKUP($B72,'TICH LUY'!$B$11:$BY$85,59,0))</f>
        <v/>
      </c>
      <c r="FA72" s="507" t="str">
        <f>IF(OR(ISNA(VLOOKUP($B72,'TICH LUY'!$B$11:$BY$85,60,0)),$B72=""),"",VLOOKUP($B72,'TICH LUY'!$B$11:$BY$85,60,0))</f>
        <v/>
      </c>
      <c r="FB72" s="507" t="str">
        <f>IF(OR(ISNA(VLOOKUP($B72,'TICH LUY'!$B$11:$BY$85,61,0)),$B72=""),"",VLOOKUP($B72,'TICH LUY'!$B$11:$BY$85,61,0))</f>
        <v/>
      </c>
      <c r="FC72" s="507" t="str">
        <f>IF(OR(ISNA(VLOOKUP($B72,'TICH LUY'!$B$11:$BY$85,62,0)),$B72=""),"",VLOOKUP($B72,'TICH LUY'!$B$11:$BY$85,62,0))</f>
        <v/>
      </c>
      <c r="FD72" s="507" t="str">
        <f>IF(OR(ISNA(VLOOKUP($B72,'TICH LUY'!$B$11:$BY$85,63,0)),$B72=""),"",VLOOKUP($B72,'TICH LUY'!$B$11:$BY$85,63,0))</f>
        <v/>
      </c>
      <c r="FE72" s="507" t="str">
        <f>IF(OR(ISNA(VLOOKUP($B72,'TICH LUY'!$B$11:$BY$85,64,0)),$B72=""),"",VLOOKUP($B72,'TICH LUY'!$B$11:$BY$85,64,0))</f>
        <v/>
      </c>
      <c r="FF72" s="507" t="str">
        <f>IF(OR(ISNA(VLOOKUP($B72,'TICH LUY'!$B$11:$BY$85,65,0)),$B72=""),"",VLOOKUP($B72,'TICH LUY'!$B$11:$BY$85,65,0))</f>
        <v/>
      </c>
      <c r="FG72" s="507" t="str">
        <f>IF(OR(ISNA(VLOOKUP($B72,'TICH LUY'!$B$11:$BY$85,66,0)),$B72=""),"",VLOOKUP($B72,'TICH LUY'!$B$11:$BY$85,66,0))</f>
        <v/>
      </c>
      <c r="FH72" s="507" t="str">
        <f>IF(OR(ISNA(VLOOKUP($B72,'TICH LUY'!$B$11:$BY$85,67,0)),$B72=""),"",VLOOKUP($B72,'TICH LUY'!$B$11:$BY$85,67,0))</f>
        <v/>
      </c>
      <c r="FI72" s="507" t="str">
        <f>IF(OR(ISNA(VLOOKUP($B72,'TICH LUY'!$B$11:$BY$85,68,0)),$B72=""),"",VLOOKUP($B72,'TICH LUY'!$B$11:$BY$85,68,0))</f>
        <v/>
      </c>
      <c r="FJ72" s="507" t="str">
        <f>IF(OR(ISNA(VLOOKUP($B72,'TICH LUY'!$B$11:$BY$85,69,0)),$B72=""),"",VLOOKUP($B72,'TICH LUY'!$B$11:$BY$85,69,0))</f>
        <v/>
      </c>
      <c r="FK72" s="507" t="str">
        <f>IF(OR(ISNA(VLOOKUP($B72,'TICH LUY'!$B$11:$BY$85,70,0)),$B72=""),"",VLOOKUP($B72,'TICH LUY'!$B$11:$BY$85,70,0))</f>
        <v/>
      </c>
      <c r="FL72" s="507" t="str">
        <f>IF(OR(ISNA(VLOOKUP($B72,'TICH LUY'!$B$11:$BY$85,71,0)),$B72=""),"",VLOOKUP($B72,'TICH LUY'!$B$11:$BY$85,71,0))</f>
        <v/>
      </c>
      <c r="FM72" s="507" t="str">
        <f>IF(OR(ISNA(VLOOKUP($B72,'TICH LUY'!$B$11:$BY$85,72,0)),$B72=""),"",VLOOKUP($B72,'TICH LUY'!$B$11:$BY$85,72,0))</f>
        <v/>
      </c>
      <c r="FN72" s="507" t="str">
        <f>IF(OR(ISNA(VLOOKUP($B72,'TICH LUY'!$B$11:$BY$85,73,0)),$B72=""),"",VLOOKUP($B72,'TICH LUY'!$B$11:$BY$85,73,0))</f>
        <v/>
      </c>
      <c r="FO72" s="507" t="str">
        <f>IF(OR(ISNA(VLOOKUP($B72,'TICH LUY'!$B$11:$BY$85,74,0)),$B72=""),"",VLOOKUP($B72,'TICH LUY'!$B$11:$BY$85,74,0))</f>
        <v/>
      </c>
      <c r="FP72" s="507" t="str">
        <f>IF(OR(ISNA(VLOOKUP($B72,'TICH LUY'!$B$11:$BY$85,75,0)),$B72=""),"",VLOOKUP($B72,'TICH LUY'!$B$11:$BY$85,75,0))</f>
        <v/>
      </c>
      <c r="FQ72" s="529" t="str">
        <f>IF(OR(ISNA(VLOOKUP($B72,'TICH LUY'!$B$11:$BY$85,76,0)),$B72=""),"",VLOOKUP($B72,'TICH LUY'!$B$11:$BY$85,76,0))</f>
        <v/>
      </c>
      <c r="FR72" s="455" t="str">
        <f t="shared" si="69"/>
        <v/>
      </c>
      <c r="FS72" s="456" t="str">
        <f t="shared" si="70"/>
        <v/>
      </c>
      <c r="FT72" s="456" t="str">
        <f t="shared" si="71"/>
        <v/>
      </c>
      <c r="FU72" s="456" t="str">
        <f t="shared" si="72"/>
        <v/>
      </c>
      <c r="FV72" s="456" t="str">
        <f t="shared" si="73"/>
        <v/>
      </c>
      <c r="FW72" s="456" t="str">
        <f t="shared" si="74"/>
        <v/>
      </c>
      <c r="FX72" s="456" t="str">
        <f t="shared" si="75"/>
        <v/>
      </c>
      <c r="FY72" s="456" t="str">
        <f t="shared" si="76"/>
        <v/>
      </c>
      <c r="FZ72" s="456" t="str">
        <f t="shared" si="77"/>
        <v/>
      </c>
      <c r="GA72" s="456" t="str">
        <f t="shared" si="78"/>
        <v/>
      </c>
      <c r="GB72" s="459" t="str">
        <f t="shared" si="79"/>
        <v/>
      </c>
      <c r="GC72" s="457" t="str">
        <f t="shared" si="107"/>
        <v/>
      </c>
    </row>
    <row r="73" spans="1:202" s="221" customFormat="1" ht="15.75">
      <c r="A73" s="449" t="str">
        <f>IF(B73="","",SUBTOTAL(3,$B$11:B73))</f>
        <v/>
      </c>
      <c r="B73" s="460"/>
      <c r="C73" s="450" t="str">
        <f>IF($B73="","",VLOOKUP($B73,'DS LOP HKI'!$B$2:$F$2642,2,0))</f>
        <v/>
      </c>
      <c r="D73" s="451" t="str">
        <f>IF($B73="","",VLOOKUP($B73,'DS LOP HKI'!$B$2:$F$2642,3,0))</f>
        <v/>
      </c>
      <c r="E73" s="154"/>
      <c r="F73" s="152"/>
      <c r="G73" s="156"/>
      <c r="H73" s="181" t="str">
        <f>IF(OR($H$6="",$H$7=""),"",IF($B73="","",IF(ISNA(VLOOKUP($B73,'LT01'!$B$11:$R$75,13,FALSE)),"",IF(VLOOKUP($B73,'LT01'!$B$11:$R$75,13,FALSE)="","",VLOOKUP($B73,'LT01'!$B$11:$R$75,13,FALSE)))))</f>
        <v/>
      </c>
      <c r="I73" s="182" t="str">
        <f>IF(OR($H$6="",$H$7=""),"",IF($B73="","",IF(ISNA(VLOOKUP($B73,'LT01'!$B$11:$R$75,14,FALSE)),"",VLOOKUP($B73,'LT01'!$B$11:$R$75,14,FALSE))))</f>
        <v/>
      </c>
      <c r="J73" s="183"/>
      <c r="K73" s="182" t="str">
        <f>IF(OR($H$6="",$H$7=""),"",IF($B73="","",IF(ISNA(VLOOKUP($B73,'LT01'!$B$11:$R$75,17,FALSE)),"",VLOOKUP($B73,'LT01'!$B$11:$R$75,17,FALSE))))</f>
        <v/>
      </c>
      <c r="L73" s="185" t="str">
        <f>IF(OR($H$6="",$H$7=""),"",IF($B73="","",IF(ISNA(VLOOKUP($B73,'LT02'!$B$11:$R$75,13,FALSE)),"",IF(VLOOKUP($B73,'LT02'!$B$11:$R$75,13,FALSE)="","",VLOOKUP($B73,'LT02'!$B$11:$R$75,13,FALSE)))))</f>
        <v/>
      </c>
      <c r="M73" s="182" t="str">
        <f>IF(OR($H$6="",$H$7=""),"",IF($B73="","",IF(ISNA(VLOOKUP($B73,'LT02'!$B$11:$R$75,14,FALSE)),"",VLOOKUP($B73,'LT02'!$B$11:$R$75,14,FALSE))))</f>
        <v/>
      </c>
      <c r="N73" s="183"/>
      <c r="O73" s="182" t="str">
        <f>IF(OR($H$6="",$H$7=""),"",IF($B73="","",IF(ISNA(VLOOKUP($B73,'LT02'!$B$11:$R$75,17,FALSE)),"",VLOOKUP($B73,'LT02'!$B$11:$R$75,17,FALSE))))</f>
        <v/>
      </c>
      <c r="P73" s="185" t="str">
        <f>IF(OR($H$6="",$H$7=""),"",IF($B73="","",IF(ISNA(VLOOKUP($B73,'LT03'!$B$11:$R$75,13,FALSE)),"",IF(VLOOKUP($B73,'LT03'!$B$11:$R$75,13,FALSE)="","",VLOOKUP($B73,'LT03'!$B$11:$R$75,13,FALSE)))))</f>
        <v/>
      </c>
      <c r="Q73" s="182" t="str">
        <f>IF(OR($H$6="",$H$7=""),"",IF($B73="","",IF(ISNA(VLOOKUP($B73,'LT03'!$B$11:$R$75,14,FALSE)),"",VLOOKUP($B73,'LT03'!$B$11:$R$75,14,FALSE))))</f>
        <v/>
      </c>
      <c r="R73" s="183"/>
      <c r="S73" s="182" t="str">
        <f>IF(OR($H$6="",$H$7=""),"",IF($B73="","",IF(ISNA(VLOOKUP($B73,'LT03'!$B$11:$R$75,17,FALSE)),"",VLOOKUP($B73,'LT03'!$B$11:$R$75,17,FALSE))))</f>
        <v/>
      </c>
      <c r="T73" s="185" t="str">
        <f>IF(OR($H$6="",$H$7=""),"",IF($B73="","",IF(ISNA(VLOOKUP($B73,'LT04'!$B$11:$R$75,13,FALSE)),"",IF(VLOOKUP($B73,'LT04'!$B$11:$R$75,13,FALSE)="","",VLOOKUP($B73,'LT04'!$B$11:$R$75,13,FALSE)))))</f>
        <v/>
      </c>
      <c r="U73" s="182" t="str">
        <f>IF(OR($H$6="",$H$7=""),"",IF($B73="","",IF(ISNA(VLOOKUP($B73,'LT04'!$B$11:$R$75,14,FALSE)),"",VLOOKUP($B73,'LT04'!$B$11:$R$75,14,FALSE))))</f>
        <v/>
      </c>
      <c r="V73" s="183"/>
      <c r="W73" s="184" t="str">
        <f>IF(OR($H$6="",$H$7=""),"",IF($B73="","",IF(ISNA(VLOOKUP($B73,'LT04'!$B$11:$R$75,17,FALSE)),"",VLOOKUP($B73,'LT04'!$B$11:$R$75,17,FALSE))))</f>
        <v/>
      </c>
      <c r="X73" s="185" t="str">
        <f>IF(OR($H$6="",$H$7=""),"",IF($B73="","",IF(ISNA(VLOOKUP($B73,'LT05'!$B$11:$R$75,13,FALSE)),"",IF(VLOOKUP($B73,'LT05'!$B$11:$R$75,13,FALSE)="","",VLOOKUP($B73,'LT05'!$B$11:$R$75,13,FALSE)))))</f>
        <v/>
      </c>
      <c r="Y73" s="182" t="str">
        <f>IF(OR($H$6="",$H$7=""),"",IF($B73="","",IF(ISNA(VLOOKUP($B73,'LT05'!$B$11:$R$75,14,FALSE)),"",VLOOKUP($B73,'LT05'!$B$11:$R$75,14,FALSE))))</f>
        <v/>
      </c>
      <c r="Z73" s="183"/>
      <c r="AA73" s="182" t="str">
        <f>IF(OR($H$6="",$H$7=""),"",IF($B73="","",IF(ISNA(VLOOKUP($B73,'LT05'!$B$11:$R$75,17,FALSE)),"",VLOOKUP($B73,'LT05'!$B$11:$R$75,17,FALSE))))</f>
        <v/>
      </c>
      <c r="AB73" s="185" t="str">
        <f>IF(OR($H$6="",$H$7=""),"",IF($B73="","",IF(ISNA(VLOOKUP($B73,'LT06'!$B$11:$R$75,13,FALSE)),"",IF(VLOOKUP($B73,'LT06'!$B$11:$R$75,13,FALSE)="","",VLOOKUP($B73,'LT06'!$B$11:$R$75,13,FALSE)))))</f>
        <v/>
      </c>
      <c r="AC73" s="182" t="str">
        <f>IF(OR($H$6="",$H$7=""),"",IF($B73="","",IF(ISNA(VLOOKUP($B73,'LT06'!$B$11:$R$75,14,FALSE)),"",VLOOKUP($B73,'LT06'!$B$11:$R$75,14,FALSE))))</f>
        <v/>
      </c>
      <c r="AD73" s="183"/>
      <c r="AE73" s="182" t="str">
        <f>IF(OR($H$6="",$H$7=""),"",IF($B73="","",IF(ISNA(VLOOKUP($B73,'LT06'!$B$11:$R$75,17,FALSE)),"",VLOOKUP($B73,'LT06'!$B$11:$R$75,17,FALSE))))</f>
        <v/>
      </c>
      <c r="AF73" s="185" t="str">
        <f>IF(OR($H$6="",$H$7=""),"",IF($B73="","",IF(ISNA(VLOOKUP($B73,'LT07'!$B$11:$R$75,13,FALSE)),"",IF(VLOOKUP($B73,'LT07'!$B$11:$R$75,13,FALSE)="","",VLOOKUP($B73,'LT07'!$B$11:$R$75,13,FALSE)))))</f>
        <v/>
      </c>
      <c r="AG73" s="182" t="str">
        <f>IF(OR($H$6="",$H$7=""),"",IF($B73="","",IF(ISNA(VLOOKUP($B73,'LT07'!$B$11:$R$75,14,FALSE)),"",VLOOKUP($B73,'LT07'!$B$11:$R$75,14,FALSE))))</f>
        <v/>
      </c>
      <c r="AH73" s="183"/>
      <c r="AI73" s="182" t="str">
        <f>IF(OR($H$6="",$H$7=""),"",IF($B73="","",IF(ISNA(VLOOKUP($B73,'LT07'!$B$11:$R$75,17,FALSE)),"",VLOOKUP($B73,'LT07'!$B$11:$R$75,17,FALSE))))</f>
        <v/>
      </c>
      <c r="AJ73" s="185" t="str">
        <f>IF(OR($H$6="",$H$7=""),"",IF($B73="","",IF(ISNA(VLOOKUP($B73,'LT08'!$B$11:$R$75,13,FALSE)),"",IF(VLOOKUP($B73,'LT08'!$B$11:$R$75,13,FALSE)="","",VLOOKUP($B73,'LT08'!$B$11:$R$75,13,FALSE)))))</f>
        <v/>
      </c>
      <c r="AK73" s="182" t="str">
        <f>IF(OR($H$6="",$H$7=""),"",IF($B73="","",IF(ISNA(VLOOKUP($B73,'LT08'!$B$11:$R$75,14,FALSE)),"",VLOOKUP($B73,'LT08'!$B$11:$R$75,14,FALSE))))</f>
        <v/>
      </c>
      <c r="AL73" s="183"/>
      <c r="AM73" s="182" t="str">
        <f>IF(OR($H$6="",$H$7=""),"",IF($B73="","",IF(ISNA(VLOOKUP($B73,'LT08'!$B$11:$R$75,17,FALSE)),"",VLOOKUP($B73,'LT08'!$B$11:$R$75,17,FALSE))))</f>
        <v/>
      </c>
      <c r="AN73" s="185" t="str">
        <f>IF(OR($H$6="",$H$7=""),"",IF($B73="","",IF(ISNA(VLOOKUP($B73,'LT09'!$B$11:$R$75,13,FALSE)),"",IF(VLOOKUP($B73,'LT09'!$B$11:$R$75,13,FALSE)="","",VLOOKUP($B73,'LT09'!$B$11:$R$75,13,FALSE)))))</f>
        <v/>
      </c>
      <c r="AO73" s="182" t="str">
        <f>IF(OR($H$6="",$H$7=""),"",IF($B73="","",IF(ISNA(VLOOKUP($B73,'LT09'!$B$11:$R$75,14,FALSE)),"",VLOOKUP($B73,'LT09'!$B$11:$R$75,14,FALSE))))</f>
        <v/>
      </c>
      <c r="AP73" s="183"/>
      <c r="AQ73" s="182" t="str">
        <f>IF(OR($H$6="",$H$7=""),"",IF($B73="","",IF(ISNA(VLOOKUP($B73,'LT09'!$B$11:$R$75,17,FALSE)),"",VLOOKUP($B73,'LT09'!$B$11:$R$75,17,FALSE))))</f>
        <v/>
      </c>
      <c r="AR73" s="186"/>
      <c r="AS73" s="182" t="str">
        <f>IF(OR($H$6="",$H$7=""),"",IF($B73="","",IF(ISNA(VLOOKUP($B73,'TH01'!$B$11:$R$75,14,FALSE)),"",VLOOKUP($B73,'TH01'!$B$11:$R$75,14,FALSE))))</f>
        <v/>
      </c>
      <c r="AT73" s="183"/>
      <c r="AU73" s="187"/>
      <c r="AV73" s="186"/>
      <c r="AW73" s="182" t="str">
        <f>IF(OR($H$6="",$H$7=""),"",IF($B73="","",IF(ISNA(VLOOKUP($B73,'TH02'!$B$11:$R$75,14,FALSE)),"",VLOOKUP($B73,'TH02'!$B$11:$R$75,14,FALSE))))</f>
        <v/>
      </c>
      <c r="AX73" s="183"/>
      <c r="AY73" s="187"/>
      <c r="AZ73" s="54" t="str">
        <f t="shared" si="108"/>
        <v/>
      </c>
      <c r="BA73" s="54" t="str">
        <f t="shared" si="0"/>
        <v/>
      </c>
      <c r="BB73" s="70"/>
      <c r="BC73" s="52" t="str">
        <f t="shared" si="25"/>
        <v/>
      </c>
      <c r="BD73" s="52" t="str">
        <f t="shared" si="26"/>
        <v/>
      </c>
      <c r="BE73" s="52" t="str">
        <f t="shared" si="86"/>
        <v/>
      </c>
      <c r="BF73" s="149" t="str">
        <f t="shared" si="87"/>
        <v/>
      </c>
      <c r="BG73" s="52" t="str">
        <f t="shared" si="88"/>
        <v/>
      </c>
      <c r="BH73" s="52" t="str">
        <f t="shared" si="89"/>
        <v/>
      </c>
      <c r="BI73" s="52" t="str">
        <f t="shared" si="90"/>
        <v/>
      </c>
      <c r="BJ73" s="52" t="str">
        <f t="shared" si="91"/>
        <v/>
      </c>
      <c r="BK73" s="54" t="str">
        <f t="shared" si="92"/>
        <v/>
      </c>
      <c r="BL73" s="54" t="str">
        <f t="shared" si="93"/>
        <v/>
      </c>
      <c r="BM73" s="54" t="str">
        <f t="shared" si="94"/>
        <v/>
      </c>
      <c r="BN73" s="54" t="str">
        <f t="shared" si="95"/>
        <v/>
      </c>
      <c r="BO73" s="70"/>
      <c r="BP73" s="52" t="str">
        <f>IF(ISNA(VLOOKUP(B73,'TICH LUY'!B:D,2,0)),"",VLOOKUP(B73,'TICH LUY'!B:D,2,0)+BI73)</f>
        <v/>
      </c>
      <c r="BQ73" s="52" t="str">
        <f>IF(ISNA(VLOOKUP(B73,'TICH LUY'!B:D,3,0)),"",VLOOKUP(B73,'TICH LUY'!B:D,3,0)+BJ73)</f>
        <v/>
      </c>
      <c r="BR73" s="40" t="str">
        <f t="shared" si="96"/>
        <v/>
      </c>
      <c r="BS73" s="452" t="str">
        <f t="shared" si="97"/>
        <v/>
      </c>
      <c r="BT73" s="452" t="str">
        <f t="shared" si="98"/>
        <v/>
      </c>
      <c r="BU73" s="452" t="str">
        <f t="shared" si="99"/>
        <v/>
      </c>
      <c r="BV73" s="452" t="str">
        <f t="shared" si="100"/>
        <v/>
      </c>
      <c r="BW73" s="452" t="str">
        <f t="shared" si="101"/>
        <v/>
      </c>
      <c r="BX73" s="452" t="str">
        <f t="shared" si="102"/>
        <v/>
      </c>
      <c r="BY73" s="452" t="str">
        <f t="shared" si="103"/>
        <v/>
      </c>
      <c r="BZ73" s="452" t="str">
        <f t="shared" si="28"/>
        <v/>
      </c>
      <c r="CA73" s="452" t="str">
        <f t="shared" si="29"/>
        <v/>
      </c>
      <c r="CB73" s="452" t="str">
        <f t="shared" si="30"/>
        <v/>
      </c>
      <c r="CC73" s="452" t="str">
        <f t="shared" si="104"/>
        <v/>
      </c>
      <c r="CD73" s="40" t="str">
        <f t="shared" si="31"/>
        <v/>
      </c>
      <c r="CE73" s="453" t="str">
        <f t="shared" si="109"/>
        <v/>
      </c>
      <c r="CF73" s="452" t="str">
        <f t="shared" si="32"/>
        <v/>
      </c>
      <c r="CG73" s="452" t="str">
        <f t="shared" si="110"/>
        <v/>
      </c>
      <c r="CH73" s="452" t="str">
        <f t="shared" si="111"/>
        <v/>
      </c>
      <c r="CI73" s="452" t="str">
        <f t="shared" si="112"/>
        <v/>
      </c>
      <c r="CJ73" s="452" t="str">
        <f t="shared" si="113"/>
        <v/>
      </c>
      <c r="CK73" s="452" t="str">
        <f t="shared" si="114"/>
        <v/>
      </c>
      <c r="CL73" s="452" t="str">
        <f t="shared" si="33"/>
        <v/>
      </c>
      <c r="CM73" s="452" t="str">
        <f t="shared" si="34"/>
        <v/>
      </c>
      <c r="CN73" s="452" t="str">
        <f t="shared" si="35"/>
        <v/>
      </c>
      <c r="CO73" s="452" t="str">
        <f t="shared" si="105"/>
        <v/>
      </c>
      <c r="CP73" s="454" t="str">
        <f t="shared" si="36"/>
        <v/>
      </c>
      <c r="CQ73" s="527" t="str">
        <f>IF(OR(ISNA(VLOOKUP($B73,'TICH LUY'!$B$11:$BY$85,54,0)),$B73=""),"",VLOOKUP($B73,'TICH LUY'!$B$11:$BY$85,54,0))</f>
        <v/>
      </c>
      <c r="CR73" s="507" t="str">
        <f>IF(OR(ISNA(VLOOKUP($B73,'TICH LUY'!$B$11:$BY$85,55,0)),$B73=""),"",VLOOKUP($B73,'TICH LUY'!$B$11:$BY$85,55,0))</f>
        <v/>
      </c>
      <c r="CS73" s="507" t="str">
        <f>IF(OR(ISNA(VLOOKUP($B73,'TICH LUY'!$B$11:$BY$85,56,0)),$B73=""),"",VLOOKUP($B73,'TICH LUY'!$B$11:$BY$85,56,0))</f>
        <v/>
      </c>
      <c r="CT73" s="507" t="str">
        <f>IF(OR(ISNA(VLOOKUP($B73,'TICH LUY'!$B$11:$BY$85,57,0)),$B73=""),"",VLOOKUP($B73,'TICH LUY'!$B$11:$BY$85,57,0))</f>
        <v/>
      </c>
      <c r="CU73" s="507" t="str">
        <f>IF(OR(ISNA(VLOOKUP($B73,'TICH LUY'!$B$11:$BY$85,58,0)),$B73=""),"",VLOOKUP($B73,'TICH LUY'!$B$11:$BY$85,58,0))</f>
        <v/>
      </c>
      <c r="CV73" s="507" t="str">
        <f>IF(OR(ISNA(VLOOKUP($B73,'TICH LUY'!$B$11:$BY$85,59,0)),$B73=""),"",VLOOKUP($B73,'TICH LUY'!$B$11:$BY$85,59,0))</f>
        <v/>
      </c>
      <c r="CW73" s="507" t="str">
        <f>IF(OR(ISNA(VLOOKUP($B73,'TICH LUY'!$B$11:$BY$85,60,0)),$B73=""),"",VLOOKUP($B73,'TICH LUY'!$B$11:$BY$85,60,0))</f>
        <v/>
      </c>
      <c r="CX73" s="507" t="str">
        <f>IF(OR(ISNA(VLOOKUP($B73,'TICH LUY'!$B$11:$BY$85,61,0)),$B73=""),"",VLOOKUP($B73,'TICH LUY'!$B$11:$BY$85,61,0))</f>
        <v/>
      </c>
      <c r="CY73" s="507" t="str">
        <f>IF(OR(ISNA(VLOOKUP($B73,'TICH LUY'!$B$11:$BY$85,62,0)),$B73=""),"",VLOOKUP($B73,'TICH LUY'!$B$11:$BY$85,62,0))</f>
        <v/>
      </c>
      <c r="CZ73" s="507" t="str">
        <f>IF(OR(ISNA(VLOOKUP($B73,'TICH LUY'!$B$11:$BY$85,63,0)),$B73=""),"",VLOOKUP($B73,'TICH LUY'!$B$11:$BY$85,63,0))</f>
        <v/>
      </c>
      <c r="DA73" s="507" t="str">
        <f>IF(OR(ISNA(VLOOKUP($B73,'TICH LUY'!$B$11:$BY$85,64,0)),$B73=""),"",VLOOKUP($B73,'TICH LUY'!$B$11:$BY$85,64,0))</f>
        <v/>
      </c>
      <c r="DB73" s="507" t="str">
        <f>IF(OR(ISNA(VLOOKUP($B73,'TICH LUY'!$B$11:$BY$85,65,0)),$B73=""),"",VLOOKUP($B73,'TICH LUY'!$B$11:$BY$85,65,0))</f>
        <v/>
      </c>
      <c r="DC73" s="507" t="str">
        <f>IF(OR(ISNA(VLOOKUP($B73,'TICH LUY'!$B$11:$BY$85,66,0)),$B73=""),"",VLOOKUP($B73,'TICH LUY'!$B$11:$BY$85,66,0))</f>
        <v/>
      </c>
      <c r="DD73" s="507" t="str">
        <f>IF(OR(ISNA(VLOOKUP($B73,'TICH LUY'!$B$11:$BY$85,67,0)),$B73=""),"",VLOOKUP($B73,'TICH LUY'!$B$11:$BY$85,67,0))</f>
        <v/>
      </c>
      <c r="DE73" s="507" t="str">
        <f>IF(OR(ISNA(VLOOKUP($B73,'TICH LUY'!$B$11:$BY$85,68,0)),$B73=""),"",VLOOKUP($B73,'TICH LUY'!$B$11:$BY$85,68,0))</f>
        <v/>
      </c>
      <c r="DF73" s="507" t="str">
        <f>IF(OR(ISNA(VLOOKUP($B73,'TICH LUY'!$B$11:$BY$85,69,0)),$B73=""),"",VLOOKUP($B73,'TICH LUY'!$B$11:$BY$85,69,0))</f>
        <v/>
      </c>
      <c r="DG73" s="507" t="str">
        <f>IF(OR(ISNA(VLOOKUP($B73,'TICH LUY'!$B$11:$BY$85,70,0)),$B73=""),"",VLOOKUP($B73,'TICH LUY'!$B$11:$BY$85,70,0))</f>
        <v/>
      </c>
      <c r="DH73" s="507" t="str">
        <f>IF(OR(ISNA(VLOOKUP($B73,'TICH LUY'!$B$11:$BY$85,71,0)),$B73=""),"",VLOOKUP($B73,'TICH LUY'!$B$11:$BY$85,71,0))</f>
        <v/>
      </c>
      <c r="DI73" s="507" t="str">
        <f>IF(OR(ISNA(VLOOKUP($B73,'TICH LUY'!$B$11:$BY$85,72,0)),$B73=""),"",VLOOKUP($B73,'TICH LUY'!$B$11:$BY$85,72,0))</f>
        <v/>
      </c>
      <c r="DJ73" s="507" t="str">
        <f>IF(OR(ISNA(VLOOKUP($B73,'TICH LUY'!$B$11:$BY$85,73,0)),$B73=""),"",VLOOKUP($B73,'TICH LUY'!$B$11:$BY$85,73,0))</f>
        <v/>
      </c>
      <c r="DK73" s="507" t="str">
        <f>IF(OR(ISNA(VLOOKUP($B73,'TICH LUY'!$B$11:$BY$85,74,0)),$B73=""),"",VLOOKUP($B73,'TICH LUY'!$B$11:$BY$85,74,0))</f>
        <v/>
      </c>
      <c r="DL73" s="507" t="str">
        <f>IF(OR(ISNA(VLOOKUP($B73,'TICH LUY'!$B$11:$BY$85,75,0)),$B73=""),"",VLOOKUP($B73,'TICH LUY'!$B$11:$BY$85,75,0))</f>
        <v/>
      </c>
      <c r="DM73" s="529" t="str">
        <f>IF(OR(ISNA(VLOOKUP($B73,'TICH LUY'!$B$11:$BY$85,76,0)),$B73=""),"",VLOOKUP($B73,'TICH LUY'!$B$11:$BY$85,76,0))</f>
        <v/>
      </c>
      <c r="DN73" s="455" t="str">
        <f t="shared" si="37"/>
        <v/>
      </c>
      <c r="DO73" s="456" t="str">
        <f t="shared" si="38"/>
        <v/>
      </c>
      <c r="DP73" s="456" t="str">
        <f t="shared" si="39"/>
        <v/>
      </c>
      <c r="DQ73" s="456" t="str">
        <f t="shared" si="40"/>
        <v/>
      </c>
      <c r="DR73" s="456" t="str">
        <f t="shared" si="41"/>
        <v/>
      </c>
      <c r="DS73" s="456" t="str">
        <f t="shared" si="42"/>
        <v/>
      </c>
      <c r="DT73" s="456" t="str">
        <f t="shared" si="43"/>
        <v/>
      </c>
      <c r="DU73" s="456" t="str">
        <f t="shared" si="44"/>
        <v/>
      </c>
      <c r="DV73" s="456" t="str">
        <f t="shared" si="45"/>
        <v/>
      </c>
      <c r="DW73" s="456" t="str">
        <f t="shared" si="46"/>
        <v/>
      </c>
      <c r="DX73" s="456" t="str">
        <f t="shared" si="47"/>
        <v/>
      </c>
      <c r="DY73" s="457" t="str">
        <f t="shared" si="48"/>
        <v/>
      </c>
      <c r="DZ73" s="453" t="str">
        <f t="shared" si="115"/>
        <v/>
      </c>
      <c r="EA73" s="452" t="str">
        <f t="shared" si="50"/>
        <v/>
      </c>
      <c r="EB73" s="452" t="str">
        <f t="shared" si="116"/>
        <v/>
      </c>
      <c r="EC73" s="452" t="str">
        <f t="shared" si="117"/>
        <v/>
      </c>
      <c r="ED73" s="452" t="str">
        <f t="shared" si="118"/>
        <v/>
      </c>
      <c r="EE73" s="452" t="str">
        <f t="shared" si="119"/>
        <v/>
      </c>
      <c r="EF73" s="452" t="str">
        <f t="shared" si="120"/>
        <v/>
      </c>
      <c r="EG73" s="452" t="str">
        <f t="shared" si="56"/>
        <v/>
      </c>
      <c r="EH73" s="452" t="str">
        <f t="shared" si="57"/>
        <v/>
      </c>
      <c r="EI73" s="453" t="str">
        <f t="shared" si="58"/>
        <v/>
      </c>
      <c r="EJ73" s="452" t="str">
        <f t="shared" si="59"/>
        <v/>
      </c>
      <c r="EK73" s="452" t="str">
        <f t="shared" si="60"/>
        <v/>
      </c>
      <c r="EL73" s="452" t="str">
        <f t="shared" si="61"/>
        <v/>
      </c>
      <c r="EM73" s="452" t="str">
        <f t="shared" si="62"/>
        <v/>
      </c>
      <c r="EN73" s="452" t="str">
        <f t="shared" si="63"/>
        <v/>
      </c>
      <c r="EO73" s="452" t="str">
        <f t="shared" si="64"/>
        <v/>
      </c>
      <c r="EP73" s="452" t="str">
        <f t="shared" si="65"/>
        <v/>
      </c>
      <c r="EQ73" s="452" t="str">
        <f t="shared" si="66"/>
        <v/>
      </c>
      <c r="ER73" s="452" t="str">
        <f t="shared" si="67"/>
        <v/>
      </c>
      <c r="ES73" s="452" t="str">
        <f t="shared" si="106"/>
        <v/>
      </c>
      <c r="ET73" s="458" t="str">
        <f t="shared" si="68"/>
        <v/>
      </c>
      <c r="EU73" s="527" t="str">
        <f>IF(OR(ISNA(VLOOKUP($B73,'TICH LUY'!$B$11:$BY$85,54,0)),$B73=""),"",VLOOKUP($B73,'TICH LUY'!$B$11:$BY$85,54,0))</f>
        <v/>
      </c>
      <c r="EV73" s="507" t="str">
        <f>IF(OR(ISNA(VLOOKUP($B73,'TICH LUY'!$B$11:$BY$85,55,0)),$B73=""),"",VLOOKUP($B73,'TICH LUY'!$B$11:$BY$85,55,0))</f>
        <v/>
      </c>
      <c r="EW73" s="507" t="str">
        <f>IF(OR(ISNA(VLOOKUP($B73,'TICH LUY'!$B$11:$BY$85,56,0)),$B73=""),"",VLOOKUP($B73,'TICH LUY'!$B$11:$BY$85,56,0))</f>
        <v/>
      </c>
      <c r="EX73" s="507" t="str">
        <f>IF(OR(ISNA(VLOOKUP($B73,'TICH LUY'!$B$11:$BY$85,57,0)),$B73=""),"",VLOOKUP($B73,'TICH LUY'!$B$11:$BY$85,57,0))</f>
        <v/>
      </c>
      <c r="EY73" s="507" t="str">
        <f>IF(OR(ISNA(VLOOKUP($B73,'TICH LUY'!$B$11:$BY$85,58,0)),$B73=""),"",VLOOKUP($B73,'TICH LUY'!$B$11:$BY$85,58,0))</f>
        <v/>
      </c>
      <c r="EZ73" s="507" t="str">
        <f>IF(OR(ISNA(VLOOKUP($B73,'TICH LUY'!$B$11:$BY$85,59,0)),$B73=""),"",VLOOKUP($B73,'TICH LUY'!$B$11:$BY$85,59,0))</f>
        <v/>
      </c>
      <c r="FA73" s="507" t="str">
        <f>IF(OR(ISNA(VLOOKUP($B73,'TICH LUY'!$B$11:$BY$85,60,0)),$B73=""),"",VLOOKUP($B73,'TICH LUY'!$B$11:$BY$85,60,0))</f>
        <v/>
      </c>
      <c r="FB73" s="507" t="str">
        <f>IF(OR(ISNA(VLOOKUP($B73,'TICH LUY'!$B$11:$BY$85,61,0)),$B73=""),"",VLOOKUP($B73,'TICH LUY'!$B$11:$BY$85,61,0))</f>
        <v/>
      </c>
      <c r="FC73" s="507" t="str">
        <f>IF(OR(ISNA(VLOOKUP($B73,'TICH LUY'!$B$11:$BY$85,62,0)),$B73=""),"",VLOOKUP($B73,'TICH LUY'!$B$11:$BY$85,62,0))</f>
        <v/>
      </c>
      <c r="FD73" s="507" t="str">
        <f>IF(OR(ISNA(VLOOKUP($B73,'TICH LUY'!$B$11:$BY$85,63,0)),$B73=""),"",VLOOKUP($B73,'TICH LUY'!$B$11:$BY$85,63,0))</f>
        <v/>
      </c>
      <c r="FE73" s="507" t="str">
        <f>IF(OR(ISNA(VLOOKUP($B73,'TICH LUY'!$B$11:$BY$85,64,0)),$B73=""),"",VLOOKUP($B73,'TICH LUY'!$B$11:$BY$85,64,0))</f>
        <v/>
      </c>
      <c r="FF73" s="507" t="str">
        <f>IF(OR(ISNA(VLOOKUP($B73,'TICH LUY'!$B$11:$BY$85,65,0)),$B73=""),"",VLOOKUP($B73,'TICH LUY'!$B$11:$BY$85,65,0))</f>
        <v/>
      </c>
      <c r="FG73" s="507" t="str">
        <f>IF(OR(ISNA(VLOOKUP($B73,'TICH LUY'!$B$11:$BY$85,66,0)),$B73=""),"",VLOOKUP($B73,'TICH LUY'!$B$11:$BY$85,66,0))</f>
        <v/>
      </c>
      <c r="FH73" s="507" t="str">
        <f>IF(OR(ISNA(VLOOKUP($B73,'TICH LUY'!$B$11:$BY$85,67,0)),$B73=""),"",VLOOKUP($B73,'TICH LUY'!$B$11:$BY$85,67,0))</f>
        <v/>
      </c>
      <c r="FI73" s="507" t="str">
        <f>IF(OR(ISNA(VLOOKUP($B73,'TICH LUY'!$B$11:$BY$85,68,0)),$B73=""),"",VLOOKUP($B73,'TICH LUY'!$B$11:$BY$85,68,0))</f>
        <v/>
      </c>
      <c r="FJ73" s="507" t="str">
        <f>IF(OR(ISNA(VLOOKUP($B73,'TICH LUY'!$B$11:$BY$85,69,0)),$B73=""),"",VLOOKUP($B73,'TICH LUY'!$B$11:$BY$85,69,0))</f>
        <v/>
      </c>
      <c r="FK73" s="507" t="str">
        <f>IF(OR(ISNA(VLOOKUP($B73,'TICH LUY'!$B$11:$BY$85,70,0)),$B73=""),"",VLOOKUP($B73,'TICH LUY'!$B$11:$BY$85,70,0))</f>
        <v/>
      </c>
      <c r="FL73" s="507" t="str">
        <f>IF(OR(ISNA(VLOOKUP($B73,'TICH LUY'!$B$11:$BY$85,71,0)),$B73=""),"",VLOOKUP($B73,'TICH LUY'!$B$11:$BY$85,71,0))</f>
        <v/>
      </c>
      <c r="FM73" s="507" t="str">
        <f>IF(OR(ISNA(VLOOKUP($B73,'TICH LUY'!$B$11:$BY$85,72,0)),$B73=""),"",VLOOKUP($B73,'TICH LUY'!$B$11:$BY$85,72,0))</f>
        <v/>
      </c>
      <c r="FN73" s="507" t="str">
        <f>IF(OR(ISNA(VLOOKUP($B73,'TICH LUY'!$B$11:$BY$85,73,0)),$B73=""),"",VLOOKUP($B73,'TICH LUY'!$B$11:$BY$85,73,0))</f>
        <v/>
      </c>
      <c r="FO73" s="507" t="str">
        <f>IF(OR(ISNA(VLOOKUP($B73,'TICH LUY'!$B$11:$BY$85,74,0)),$B73=""),"",VLOOKUP($B73,'TICH LUY'!$B$11:$BY$85,74,0))</f>
        <v/>
      </c>
      <c r="FP73" s="507" t="str">
        <f>IF(OR(ISNA(VLOOKUP($B73,'TICH LUY'!$B$11:$BY$85,75,0)),$B73=""),"",VLOOKUP($B73,'TICH LUY'!$B$11:$BY$85,75,0))</f>
        <v/>
      </c>
      <c r="FQ73" s="529" t="str">
        <f>IF(OR(ISNA(VLOOKUP($B73,'TICH LUY'!$B$11:$BY$85,76,0)),$B73=""),"",VLOOKUP($B73,'TICH LUY'!$B$11:$BY$85,76,0))</f>
        <v/>
      </c>
      <c r="FR73" s="455" t="str">
        <f t="shared" si="69"/>
        <v/>
      </c>
      <c r="FS73" s="456" t="str">
        <f t="shared" si="70"/>
        <v/>
      </c>
      <c r="FT73" s="456" t="str">
        <f t="shared" si="71"/>
        <v/>
      </c>
      <c r="FU73" s="456" t="str">
        <f t="shared" si="72"/>
        <v/>
      </c>
      <c r="FV73" s="456" t="str">
        <f t="shared" si="73"/>
        <v/>
      </c>
      <c r="FW73" s="456" t="str">
        <f t="shared" si="74"/>
        <v/>
      </c>
      <c r="FX73" s="456" t="str">
        <f t="shared" si="75"/>
        <v/>
      </c>
      <c r="FY73" s="456" t="str">
        <f t="shared" si="76"/>
        <v/>
      </c>
      <c r="FZ73" s="456" t="str">
        <f t="shared" si="77"/>
        <v/>
      </c>
      <c r="GA73" s="456" t="str">
        <f t="shared" si="78"/>
        <v/>
      </c>
      <c r="GB73" s="459" t="str">
        <f t="shared" si="79"/>
        <v/>
      </c>
      <c r="GC73" s="457" t="str">
        <f t="shared" si="107"/>
        <v/>
      </c>
    </row>
    <row r="74" spans="1:202" s="221" customFormat="1" ht="15.75">
      <c r="A74" s="449" t="str">
        <f>IF(B74="","",SUBTOTAL(3,$B$11:B74))</f>
        <v/>
      </c>
      <c r="B74" s="460"/>
      <c r="C74" s="450" t="str">
        <f>IF($B74="","",VLOOKUP($B74,'DS LOP HKI'!$B$2:$F$2642,2,0))</f>
        <v/>
      </c>
      <c r="D74" s="451" t="str">
        <f>IF($B74="","",VLOOKUP($B74,'DS LOP HKI'!$B$2:$F$2642,3,0))</f>
        <v/>
      </c>
      <c r="E74" s="154"/>
      <c r="F74" s="152"/>
      <c r="G74" s="156"/>
      <c r="H74" s="181" t="str">
        <f>IF(OR($H$6="",$H$7=""),"",IF($B74="","",IF(ISNA(VLOOKUP($B74,'LT01'!$B$11:$R$75,13,FALSE)),"",IF(VLOOKUP($B74,'LT01'!$B$11:$R$75,13,FALSE)="","",VLOOKUP($B74,'LT01'!$B$11:$R$75,13,FALSE)))))</f>
        <v/>
      </c>
      <c r="I74" s="182" t="str">
        <f>IF(OR($H$6="",$H$7=""),"",IF($B74="","",IF(ISNA(VLOOKUP($B74,'LT01'!$B$11:$R$75,14,FALSE)),"",VLOOKUP($B74,'LT01'!$B$11:$R$75,14,FALSE))))</f>
        <v/>
      </c>
      <c r="J74" s="183"/>
      <c r="K74" s="182" t="str">
        <f>IF(OR($H$6="",$H$7=""),"",IF($B74="","",IF(ISNA(VLOOKUP($B74,'LT01'!$B$11:$R$75,17,FALSE)),"",VLOOKUP($B74,'LT01'!$B$11:$R$75,17,FALSE))))</f>
        <v/>
      </c>
      <c r="L74" s="185" t="str">
        <f>IF(OR($H$6="",$H$7=""),"",IF($B74="","",IF(ISNA(VLOOKUP($B74,'LT02'!$B$11:$R$75,13,FALSE)),"",IF(VLOOKUP($B74,'LT02'!$B$11:$R$75,13,FALSE)="","",VLOOKUP($B74,'LT02'!$B$11:$R$75,13,FALSE)))))</f>
        <v/>
      </c>
      <c r="M74" s="182" t="str">
        <f>IF(OR($H$6="",$H$7=""),"",IF($B74="","",IF(ISNA(VLOOKUP($B74,'LT02'!$B$11:$R$75,14,FALSE)),"",VLOOKUP($B74,'LT02'!$B$11:$R$75,14,FALSE))))</f>
        <v/>
      </c>
      <c r="N74" s="183"/>
      <c r="O74" s="182" t="str">
        <f>IF(OR($H$6="",$H$7=""),"",IF($B74="","",IF(ISNA(VLOOKUP($B74,'LT02'!$B$11:$R$75,17,FALSE)),"",VLOOKUP($B74,'LT02'!$B$11:$R$75,17,FALSE))))</f>
        <v/>
      </c>
      <c r="P74" s="185" t="str">
        <f>IF(OR($H$6="",$H$7=""),"",IF($B74="","",IF(ISNA(VLOOKUP($B74,'LT03'!$B$11:$R$75,13,FALSE)),"",IF(VLOOKUP($B74,'LT03'!$B$11:$R$75,13,FALSE)="","",VLOOKUP($B74,'LT03'!$B$11:$R$75,13,FALSE)))))</f>
        <v/>
      </c>
      <c r="Q74" s="182" t="str">
        <f>IF(OR($H$6="",$H$7=""),"",IF($B74="","",IF(ISNA(VLOOKUP($B74,'LT03'!$B$11:$R$75,14,FALSE)),"",VLOOKUP($B74,'LT03'!$B$11:$R$75,14,FALSE))))</f>
        <v/>
      </c>
      <c r="R74" s="183"/>
      <c r="S74" s="182" t="str">
        <f>IF(OR($H$6="",$H$7=""),"",IF($B74="","",IF(ISNA(VLOOKUP($B74,'LT03'!$B$11:$R$75,17,FALSE)),"",VLOOKUP($B74,'LT03'!$B$11:$R$75,17,FALSE))))</f>
        <v/>
      </c>
      <c r="T74" s="185" t="str">
        <f>IF(OR($H$6="",$H$7=""),"",IF($B74="","",IF(ISNA(VLOOKUP($B74,'LT04'!$B$11:$R$75,13,FALSE)),"",IF(VLOOKUP($B74,'LT04'!$B$11:$R$75,13,FALSE)="","",VLOOKUP($B74,'LT04'!$B$11:$R$75,13,FALSE)))))</f>
        <v/>
      </c>
      <c r="U74" s="182" t="str">
        <f>IF(OR($H$6="",$H$7=""),"",IF($B74="","",IF(ISNA(VLOOKUP($B74,'LT04'!$B$11:$R$75,14,FALSE)),"",VLOOKUP($B74,'LT04'!$B$11:$R$75,14,FALSE))))</f>
        <v/>
      </c>
      <c r="V74" s="183"/>
      <c r="W74" s="184" t="str">
        <f>IF(OR($H$6="",$H$7=""),"",IF($B74="","",IF(ISNA(VLOOKUP($B74,'LT04'!$B$11:$R$75,17,FALSE)),"",VLOOKUP($B74,'LT04'!$B$11:$R$75,17,FALSE))))</f>
        <v/>
      </c>
      <c r="X74" s="185" t="str">
        <f>IF(OR($H$6="",$H$7=""),"",IF($B74="","",IF(ISNA(VLOOKUP($B74,'LT05'!$B$11:$R$75,13,FALSE)),"",IF(VLOOKUP($B74,'LT05'!$B$11:$R$75,13,FALSE)="","",VLOOKUP($B74,'LT05'!$B$11:$R$75,13,FALSE)))))</f>
        <v/>
      </c>
      <c r="Y74" s="182" t="str">
        <f>IF(OR($H$6="",$H$7=""),"",IF($B74="","",IF(ISNA(VLOOKUP($B74,'LT05'!$B$11:$R$75,14,FALSE)),"",VLOOKUP($B74,'LT05'!$B$11:$R$75,14,FALSE))))</f>
        <v/>
      </c>
      <c r="Z74" s="183"/>
      <c r="AA74" s="182" t="str">
        <f>IF(OR($H$6="",$H$7=""),"",IF($B74="","",IF(ISNA(VLOOKUP($B74,'LT05'!$B$11:$R$75,17,FALSE)),"",VLOOKUP($B74,'LT05'!$B$11:$R$75,17,FALSE))))</f>
        <v/>
      </c>
      <c r="AB74" s="185" t="str">
        <f>IF(OR($H$6="",$H$7=""),"",IF($B74="","",IF(ISNA(VLOOKUP($B74,'LT06'!$B$11:$R$75,13,FALSE)),"",IF(VLOOKUP($B74,'LT06'!$B$11:$R$75,13,FALSE)="","",VLOOKUP($B74,'LT06'!$B$11:$R$75,13,FALSE)))))</f>
        <v/>
      </c>
      <c r="AC74" s="182" t="str">
        <f>IF(OR($H$6="",$H$7=""),"",IF($B74="","",IF(ISNA(VLOOKUP($B74,'LT06'!$B$11:$R$75,14,FALSE)),"",VLOOKUP($B74,'LT06'!$B$11:$R$75,14,FALSE))))</f>
        <v/>
      </c>
      <c r="AD74" s="183"/>
      <c r="AE74" s="182" t="str">
        <f>IF(OR($H$6="",$H$7=""),"",IF($B74="","",IF(ISNA(VLOOKUP($B74,'LT06'!$B$11:$R$75,17,FALSE)),"",VLOOKUP($B74,'LT06'!$B$11:$R$75,17,FALSE))))</f>
        <v/>
      </c>
      <c r="AF74" s="185" t="str">
        <f>IF(OR($H$6="",$H$7=""),"",IF($B74="","",IF(ISNA(VLOOKUP($B74,'LT07'!$B$11:$R$75,13,FALSE)),"",IF(VLOOKUP($B74,'LT07'!$B$11:$R$75,13,FALSE)="","",VLOOKUP($B74,'LT07'!$B$11:$R$75,13,FALSE)))))</f>
        <v/>
      </c>
      <c r="AG74" s="182" t="str">
        <f>IF(OR($H$6="",$H$7=""),"",IF($B74="","",IF(ISNA(VLOOKUP($B74,'LT07'!$B$11:$R$75,14,FALSE)),"",VLOOKUP($B74,'LT07'!$B$11:$R$75,14,FALSE))))</f>
        <v/>
      </c>
      <c r="AH74" s="183"/>
      <c r="AI74" s="182" t="str">
        <f>IF(OR($H$6="",$H$7=""),"",IF($B74="","",IF(ISNA(VLOOKUP($B74,'LT07'!$B$11:$R$75,17,FALSE)),"",VLOOKUP($B74,'LT07'!$B$11:$R$75,17,FALSE))))</f>
        <v/>
      </c>
      <c r="AJ74" s="185" t="str">
        <f>IF(OR($H$6="",$H$7=""),"",IF($B74="","",IF(ISNA(VLOOKUP($B74,'LT08'!$B$11:$R$75,13,FALSE)),"",IF(VLOOKUP($B74,'LT08'!$B$11:$R$75,13,FALSE)="","",VLOOKUP($B74,'LT08'!$B$11:$R$75,13,FALSE)))))</f>
        <v/>
      </c>
      <c r="AK74" s="182" t="str">
        <f>IF(OR($H$6="",$H$7=""),"",IF($B74="","",IF(ISNA(VLOOKUP($B74,'LT08'!$B$11:$R$75,14,FALSE)),"",VLOOKUP($B74,'LT08'!$B$11:$R$75,14,FALSE))))</f>
        <v/>
      </c>
      <c r="AL74" s="183"/>
      <c r="AM74" s="182" t="str">
        <f>IF(OR($H$6="",$H$7=""),"",IF($B74="","",IF(ISNA(VLOOKUP($B74,'LT08'!$B$11:$R$75,17,FALSE)),"",VLOOKUP($B74,'LT08'!$B$11:$R$75,17,FALSE))))</f>
        <v/>
      </c>
      <c r="AN74" s="185" t="str">
        <f>IF(OR($H$6="",$H$7=""),"",IF($B74="","",IF(ISNA(VLOOKUP($B74,'LT09'!$B$11:$R$75,13,FALSE)),"",IF(VLOOKUP($B74,'LT09'!$B$11:$R$75,13,FALSE)="","",VLOOKUP($B74,'LT09'!$B$11:$R$75,13,FALSE)))))</f>
        <v/>
      </c>
      <c r="AO74" s="182" t="str">
        <f>IF(OR($H$6="",$H$7=""),"",IF($B74="","",IF(ISNA(VLOOKUP($B74,'LT09'!$B$11:$R$75,14,FALSE)),"",VLOOKUP($B74,'LT09'!$B$11:$R$75,14,FALSE))))</f>
        <v/>
      </c>
      <c r="AP74" s="183"/>
      <c r="AQ74" s="182" t="str">
        <f>IF(OR($H$6="",$H$7=""),"",IF($B74="","",IF(ISNA(VLOOKUP($B74,'LT09'!$B$11:$R$75,17,FALSE)),"",VLOOKUP($B74,'LT09'!$B$11:$R$75,17,FALSE))))</f>
        <v/>
      </c>
      <c r="AR74" s="186"/>
      <c r="AS74" s="182" t="str">
        <f>IF(OR($H$6="",$H$7=""),"",IF($B74="","",IF(ISNA(VLOOKUP($B74,'TH01'!$B$11:$R$75,14,FALSE)),"",VLOOKUP($B74,'TH01'!$B$11:$R$75,14,FALSE))))</f>
        <v/>
      </c>
      <c r="AT74" s="183"/>
      <c r="AU74" s="187"/>
      <c r="AV74" s="186"/>
      <c r="AW74" s="182" t="str">
        <f>IF(OR($H$6="",$H$7=""),"",IF($B74="","",IF(ISNA(VLOOKUP($B74,'TH02'!$B$11:$R$75,14,FALSE)),"",VLOOKUP($B74,'TH02'!$B$11:$R$75,14,FALSE))))</f>
        <v/>
      </c>
      <c r="AX74" s="183"/>
      <c r="AY74" s="187"/>
      <c r="AZ74" s="54" t="str">
        <f t="shared" si="108"/>
        <v/>
      </c>
      <c r="BA74" s="54" t="str">
        <f t="shared" si="0"/>
        <v/>
      </c>
      <c r="BB74" s="70"/>
      <c r="BC74" s="52" t="str">
        <f t="shared" si="25"/>
        <v/>
      </c>
      <c r="BD74" s="52" t="str">
        <f t="shared" si="26"/>
        <v/>
      </c>
      <c r="BE74" s="52" t="str">
        <f t="shared" si="86"/>
        <v/>
      </c>
      <c r="BF74" s="149" t="str">
        <f t="shared" si="87"/>
        <v/>
      </c>
      <c r="BG74" s="52" t="str">
        <f t="shared" si="88"/>
        <v/>
      </c>
      <c r="BH74" s="52" t="str">
        <f t="shared" si="89"/>
        <v/>
      </c>
      <c r="BI74" s="52" t="str">
        <f t="shared" si="90"/>
        <v/>
      </c>
      <c r="BJ74" s="52" t="str">
        <f t="shared" si="91"/>
        <v/>
      </c>
      <c r="BK74" s="54" t="str">
        <f t="shared" si="92"/>
        <v/>
      </c>
      <c r="BL74" s="54" t="str">
        <f t="shared" si="93"/>
        <v/>
      </c>
      <c r="BM74" s="54" t="str">
        <f t="shared" si="94"/>
        <v/>
      </c>
      <c r="BN74" s="54" t="str">
        <f t="shared" si="95"/>
        <v/>
      </c>
      <c r="BO74" s="70"/>
      <c r="BP74" s="52" t="str">
        <f>IF(ISNA(VLOOKUP(B74,'TICH LUY'!B:D,2,0)),"",VLOOKUP(B74,'TICH LUY'!B:D,2,0)+BI74)</f>
        <v/>
      </c>
      <c r="BQ74" s="52" t="str">
        <f>IF(ISNA(VLOOKUP(B74,'TICH LUY'!B:D,3,0)),"",VLOOKUP(B74,'TICH LUY'!B:D,3,0)+BJ74)</f>
        <v/>
      </c>
      <c r="BR74" s="40" t="str">
        <f t="shared" si="96"/>
        <v/>
      </c>
      <c r="BS74" s="452" t="str">
        <f t="shared" si="97"/>
        <v/>
      </c>
      <c r="BT74" s="452" t="str">
        <f t="shared" si="98"/>
        <v/>
      </c>
      <c r="BU74" s="452" t="str">
        <f t="shared" si="99"/>
        <v/>
      </c>
      <c r="BV74" s="452" t="str">
        <f t="shared" si="100"/>
        <v/>
      </c>
      <c r="BW74" s="452" t="str">
        <f t="shared" si="101"/>
        <v/>
      </c>
      <c r="BX74" s="452" t="str">
        <f t="shared" si="102"/>
        <v/>
      </c>
      <c r="BY74" s="452" t="str">
        <f t="shared" si="103"/>
        <v/>
      </c>
      <c r="BZ74" s="452" t="str">
        <f t="shared" si="28"/>
        <v/>
      </c>
      <c r="CA74" s="452" t="str">
        <f t="shared" si="29"/>
        <v/>
      </c>
      <c r="CB74" s="452" t="str">
        <f t="shared" si="30"/>
        <v/>
      </c>
      <c r="CC74" s="452" t="str">
        <f t="shared" si="104"/>
        <v/>
      </c>
      <c r="CD74" s="40" t="str">
        <f t="shared" si="31"/>
        <v/>
      </c>
      <c r="CE74" s="453" t="str">
        <f t="shared" si="109"/>
        <v/>
      </c>
      <c r="CF74" s="452" t="str">
        <f t="shared" si="32"/>
        <v/>
      </c>
      <c r="CG74" s="452" t="str">
        <f t="shared" si="110"/>
        <v/>
      </c>
      <c r="CH74" s="452" t="str">
        <f t="shared" si="111"/>
        <v/>
      </c>
      <c r="CI74" s="452" t="str">
        <f t="shared" si="112"/>
        <v/>
      </c>
      <c r="CJ74" s="452" t="str">
        <f t="shared" si="113"/>
        <v/>
      </c>
      <c r="CK74" s="452" t="str">
        <f t="shared" si="114"/>
        <v/>
      </c>
      <c r="CL74" s="452" t="str">
        <f t="shared" si="33"/>
        <v/>
      </c>
      <c r="CM74" s="452" t="str">
        <f t="shared" si="34"/>
        <v/>
      </c>
      <c r="CN74" s="452" t="str">
        <f t="shared" si="35"/>
        <v/>
      </c>
      <c r="CO74" s="452" t="str">
        <f t="shared" si="105"/>
        <v/>
      </c>
      <c r="CP74" s="454" t="str">
        <f t="shared" si="36"/>
        <v/>
      </c>
      <c r="CQ74" s="527" t="str">
        <f>IF(OR(ISNA(VLOOKUP($B74,'TICH LUY'!$B$11:$BY$85,54,0)),$B74=""),"",VLOOKUP($B74,'TICH LUY'!$B$11:$BY$85,54,0))</f>
        <v/>
      </c>
      <c r="CR74" s="507" t="str">
        <f>IF(OR(ISNA(VLOOKUP($B74,'TICH LUY'!$B$11:$BY$85,55,0)),$B74=""),"",VLOOKUP($B74,'TICH LUY'!$B$11:$BY$85,55,0))</f>
        <v/>
      </c>
      <c r="CS74" s="507" t="str">
        <f>IF(OR(ISNA(VLOOKUP($B74,'TICH LUY'!$B$11:$BY$85,56,0)),$B74=""),"",VLOOKUP($B74,'TICH LUY'!$B$11:$BY$85,56,0))</f>
        <v/>
      </c>
      <c r="CT74" s="507" t="str">
        <f>IF(OR(ISNA(VLOOKUP($B74,'TICH LUY'!$B$11:$BY$85,57,0)),$B74=""),"",VLOOKUP($B74,'TICH LUY'!$B$11:$BY$85,57,0))</f>
        <v/>
      </c>
      <c r="CU74" s="507" t="str">
        <f>IF(OR(ISNA(VLOOKUP($B74,'TICH LUY'!$B$11:$BY$85,58,0)),$B74=""),"",VLOOKUP($B74,'TICH LUY'!$B$11:$BY$85,58,0))</f>
        <v/>
      </c>
      <c r="CV74" s="507" t="str">
        <f>IF(OR(ISNA(VLOOKUP($B74,'TICH LUY'!$B$11:$BY$85,59,0)),$B74=""),"",VLOOKUP($B74,'TICH LUY'!$B$11:$BY$85,59,0))</f>
        <v/>
      </c>
      <c r="CW74" s="507" t="str">
        <f>IF(OR(ISNA(VLOOKUP($B74,'TICH LUY'!$B$11:$BY$85,60,0)),$B74=""),"",VLOOKUP($B74,'TICH LUY'!$B$11:$BY$85,60,0))</f>
        <v/>
      </c>
      <c r="CX74" s="507" t="str">
        <f>IF(OR(ISNA(VLOOKUP($B74,'TICH LUY'!$B$11:$BY$85,61,0)),$B74=""),"",VLOOKUP($B74,'TICH LUY'!$B$11:$BY$85,61,0))</f>
        <v/>
      </c>
      <c r="CY74" s="507" t="str">
        <f>IF(OR(ISNA(VLOOKUP($B74,'TICH LUY'!$B$11:$BY$85,62,0)),$B74=""),"",VLOOKUP($B74,'TICH LUY'!$B$11:$BY$85,62,0))</f>
        <v/>
      </c>
      <c r="CZ74" s="507" t="str">
        <f>IF(OR(ISNA(VLOOKUP($B74,'TICH LUY'!$B$11:$BY$85,63,0)),$B74=""),"",VLOOKUP($B74,'TICH LUY'!$B$11:$BY$85,63,0))</f>
        <v/>
      </c>
      <c r="DA74" s="507" t="str">
        <f>IF(OR(ISNA(VLOOKUP($B74,'TICH LUY'!$B$11:$BY$85,64,0)),$B74=""),"",VLOOKUP($B74,'TICH LUY'!$B$11:$BY$85,64,0))</f>
        <v/>
      </c>
      <c r="DB74" s="507" t="str">
        <f>IF(OR(ISNA(VLOOKUP($B74,'TICH LUY'!$B$11:$BY$85,65,0)),$B74=""),"",VLOOKUP($B74,'TICH LUY'!$B$11:$BY$85,65,0))</f>
        <v/>
      </c>
      <c r="DC74" s="507" t="str">
        <f>IF(OR(ISNA(VLOOKUP($B74,'TICH LUY'!$B$11:$BY$85,66,0)),$B74=""),"",VLOOKUP($B74,'TICH LUY'!$B$11:$BY$85,66,0))</f>
        <v/>
      </c>
      <c r="DD74" s="507" t="str">
        <f>IF(OR(ISNA(VLOOKUP($B74,'TICH LUY'!$B$11:$BY$85,67,0)),$B74=""),"",VLOOKUP($B74,'TICH LUY'!$B$11:$BY$85,67,0))</f>
        <v/>
      </c>
      <c r="DE74" s="507" t="str">
        <f>IF(OR(ISNA(VLOOKUP($B74,'TICH LUY'!$B$11:$BY$85,68,0)),$B74=""),"",VLOOKUP($B74,'TICH LUY'!$B$11:$BY$85,68,0))</f>
        <v/>
      </c>
      <c r="DF74" s="507" t="str">
        <f>IF(OR(ISNA(VLOOKUP($B74,'TICH LUY'!$B$11:$BY$85,69,0)),$B74=""),"",VLOOKUP($B74,'TICH LUY'!$B$11:$BY$85,69,0))</f>
        <v/>
      </c>
      <c r="DG74" s="507" t="str">
        <f>IF(OR(ISNA(VLOOKUP($B74,'TICH LUY'!$B$11:$BY$85,70,0)),$B74=""),"",VLOOKUP($B74,'TICH LUY'!$B$11:$BY$85,70,0))</f>
        <v/>
      </c>
      <c r="DH74" s="507" t="str">
        <f>IF(OR(ISNA(VLOOKUP($B74,'TICH LUY'!$B$11:$BY$85,71,0)),$B74=""),"",VLOOKUP($B74,'TICH LUY'!$B$11:$BY$85,71,0))</f>
        <v/>
      </c>
      <c r="DI74" s="507" t="str">
        <f>IF(OR(ISNA(VLOOKUP($B74,'TICH LUY'!$B$11:$BY$85,72,0)),$B74=""),"",VLOOKUP($B74,'TICH LUY'!$B$11:$BY$85,72,0))</f>
        <v/>
      </c>
      <c r="DJ74" s="507" t="str">
        <f>IF(OR(ISNA(VLOOKUP($B74,'TICH LUY'!$B$11:$BY$85,73,0)),$B74=""),"",VLOOKUP($B74,'TICH LUY'!$B$11:$BY$85,73,0))</f>
        <v/>
      </c>
      <c r="DK74" s="507" t="str">
        <f>IF(OR(ISNA(VLOOKUP($B74,'TICH LUY'!$B$11:$BY$85,74,0)),$B74=""),"",VLOOKUP($B74,'TICH LUY'!$B$11:$BY$85,74,0))</f>
        <v/>
      </c>
      <c r="DL74" s="507" t="str">
        <f>IF(OR(ISNA(VLOOKUP($B74,'TICH LUY'!$B$11:$BY$85,75,0)),$B74=""),"",VLOOKUP($B74,'TICH LUY'!$B$11:$BY$85,75,0))</f>
        <v/>
      </c>
      <c r="DM74" s="529" t="str">
        <f>IF(OR(ISNA(VLOOKUP($B74,'TICH LUY'!$B$11:$BY$85,76,0)),$B74=""),"",VLOOKUP($B74,'TICH LUY'!$B$11:$BY$85,76,0))</f>
        <v/>
      </c>
      <c r="DN74" s="455" t="str">
        <f t="shared" si="37"/>
        <v/>
      </c>
      <c r="DO74" s="456" t="str">
        <f t="shared" si="38"/>
        <v/>
      </c>
      <c r="DP74" s="456" t="str">
        <f t="shared" si="39"/>
        <v/>
      </c>
      <c r="DQ74" s="456" t="str">
        <f t="shared" si="40"/>
        <v/>
      </c>
      <c r="DR74" s="456" t="str">
        <f t="shared" si="41"/>
        <v/>
      </c>
      <c r="DS74" s="456" t="str">
        <f t="shared" si="42"/>
        <v/>
      </c>
      <c r="DT74" s="456" t="str">
        <f t="shared" si="43"/>
        <v/>
      </c>
      <c r="DU74" s="456" t="str">
        <f t="shared" si="44"/>
        <v/>
      </c>
      <c r="DV74" s="456" t="str">
        <f t="shared" si="45"/>
        <v/>
      </c>
      <c r="DW74" s="456" t="str">
        <f t="shared" si="46"/>
        <v/>
      </c>
      <c r="DX74" s="456" t="str">
        <f t="shared" si="47"/>
        <v/>
      </c>
      <c r="DY74" s="457" t="str">
        <f t="shared" si="48"/>
        <v/>
      </c>
      <c r="DZ74" s="453" t="str">
        <f t="shared" si="115"/>
        <v/>
      </c>
      <c r="EA74" s="452" t="str">
        <f t="shared" si="50"/>
        <v/>
      </c>
      <c r="EB74" s="452" t="str">
        <f t="shared" si="116"/>
        <v/>
      </c>
      <c r="EC74" s="452" t="str">
        <f t="shared" si="117"/>
        <v/>
      </c>
      <c r="ED74" s="452" t="str">
        <f t="shared" si="118"/>
        <v/>
      </c>
      <c r="EE74" s="452" t="str">
        <f t="shared" si="119"/>
        <v/>
      </c>
      <c r="EF74" s="452" t="str">
        <f t="shared" si="120"/>
        <v/>
      </c>
      <c r="EG74" s="452" t="str">
        <f t="shared" si="56"/>
        <v/>
      </c>
      <c r="EH74" s="452" t="str">
        <f t="shared" si="57"/>
        <v/>
      </c>
      <c r="EI74" s="453" t="str">
        <f t="shared" si="58"/>
        <v/>
      </c>
      <c r="EJ74" s="452" t="str">
        <f t="shared" si="59"/>
        <v/>
      </c>
      <c r="EK74" s="452" t="str">
        <f t="shared" si="60"/>
        <v/>
      </c>
      <c r="EL74" s="452" t="str">
        <f t="shared" si="61"/>
        <v/>
      </c>
      <c r="EM74" s="452" t="str">
        <f t="shared" si="62"/>
        <v/>
      </c>
      <c r="EN74" s="452" t="str">
        <f t="shared" si="63"/>
        <v/>
      </c>
      <c r="EO74" s="452" t="str">
        <f t="shared" si="64"/>
        <v/>
      </c>
      <c r="EP74" s="452" t="str">
        <f t="shared" si="65"/>
        <v/>
      </c>
      <c r="EQ74" s="452" t="str">
        <f t="shared" si="66"/>
        <v/>
      </c>
      <c r="ER74" s="452" t="str">
        <f t="shared" si="67"/>
        <v/>
      </c>
      <c r="ES74" s="452" t="str">
        <f t="shared" si="106"/>
        <v/>
      </c>
      <c r="ET74" s="458" t="str">
        <f t="shared" si="68"/>
        <v/>
      </c>
      <c r="EU74" s="527" t="str">
        <f>IF(OR(ISNA(VLOOKUP($B74,'TICH LUY'!$B$11:$BY$85,54,0)),$B74=""),"",VLOOKUP($B74,'TICH LUY'!$B$11:$BY$85,54,0))</f>
        <v/>
      </c>
      <c r="EV74" s="507" t="str">
        <f>IF(OR(ISNA(VLOOKUP($B74,'TICH LUY'!$B$11:$BY$85,55,0)),$B74=""),"",VLOOKUP($B74,'TICH LUY'!$B$11:$BY$85,55,0))</f>
        <v/>
      </c>
      <c r="EW74" s="507" t="str">
        <f>IF(OR(ISNA(VLOOKUP($B74,'TICH LUY'!$B$11:$BY$85,56,0)),$B74=""),"",VLOOKUP($B74,'TICH LUY'!$B$11:$BY$85,56,0))</f>
        <v/>
      </c>
      <c r="EX74" s="507" t="str">
        <f>IF(OR(ISNA(VLOOKUP($B74,'TICH LUY'!$B$11:$BY$85,57,0)),$B74=""),"",VLOOKUP($B74,'TICH LUY'!$B$11:$BY$85,57,0))</f>
        <v/>
      </c>
      <c r="EY74" s="507" t="str">
        <f>IF(OR(ISNA(VLOOKUP($B74,'TICH LUY'!$B$11:$BY$85,58,0)),$B74=""),"",VLOOKUP($B74,'TICH LUY'!$B$11:$BY$85,58,0))</f>
        <v/>
      </c>
      <c r="EZ74" s="507" t="str">
        <f>IF(OR(ISNA(VLOOKUP($B74,'TICH LUY'!$B$11:$BY$85,59,0)),$B74=""),"",VLOOKUP($B74,'TICH LUY'!$B$11:$BY$85,59,0))</f>
        <v/>
      </c>
      <c r="FA74" s="507" t="str">
        <f>IF(OR(ISNA(VLOOKUP($B74,'TICH LUY'!$B$11:$BY$85,60,0)),$B74=""),"",VLOOKUP($B74,'TICH LUY'!$B$11:$BY$85,60,0))</f>
        <v/>
      </c>
      <c r="FB74" s="507" t="str">
        <f>IF(OR(ISNA(VLOOKUP($B74,'TICH LUY'!$B$11:$BY$85,61,0)),$B74=""),"",VLOOKUP($B74,'TICH LUY'!$B$11:$BY$85,61,0))</f>
        <v/>
      </c>
      <c r="FC74" s="507" t="str">
        <f>IF(OR(ISNA(VLOOKUP($B74,'TICH LUY'!$B$11:$BY$85,62,0)),$B74=""),"",VLOOKUP($B74,'TICH LUY'!$B$11:$BY$85,62,0))</f>
        <v/>
      </c>
      <c r="FD74" s="507" t="str">
        <f>IF(OR(ISNA(VLOOKUP($B74,'TICH LUY'!$B$11:$BY$85,63,0)),$B74=""),"",VLOOKUP($B74,'TICH LUY'!$B$11:$BY$85,63,0))</f>
        <v/>
      </c>
      <c r="FE74" s="507" t="str">
        <f>IF(OR(ISNA(VLOOKUP($B74,'TICH LUY'!$B$11:$BY$85,64,0)),$B74=""),"",VLOOKUP($B74,'TICH LUY'!$B$11:$BY$85,64,0))</f>
        <v/>
      </c>
      <c r="FF74" s="507" t="str">
        <f>IF(OR(ISNA(VLOOKUP($B74,'TICH LUY'!$B$11:$BY$85,65,0)),$B74=""),"",VLOOKUP($B74,'TICH LUY'!$B$11:$BY$85,65,0))</f>
        <v/>
      </c>
      <c r="FG74" s="507" t="str">
        <f>IF(OR(ISNA(VLOOKUP($B74,'TICH LUY'!$B$11:$BY$85,66,0)),$B74=""),"",VLOOKUP($B74,'TICH LUY'!$B$11:$BY$85,66,0))</f>
        <v/>
      </c>
      <c r="FH74" s="507" t="str">
        <f>IF(OR(ISNA(VLOOKUP($B74,'TICH LUY'!$B$11:$BY$85,67,0)),$B74=""),"",VLOOKUP($B74,'TICH LUY'!$B$11:$BY$85,67,0))</f>
        <v/>
      </c>
      <c r="FI74" s="507" t="str">
        <f>IF(OR(ISNA(VLOOKUP($B74,'TICH LUY'!$B$11:$BY$85,68,0)),$B74=""),"",VLOOKUP($B74,'TICH LUY'!$B$11:$BY$85,68,0))</f>
        <v/>
      </c>
      <c r="FJ74" s="507" t="str">
        <f>IF(OR(ISNA(VLOOKUP($B74,'TICH LUY'!$B$11:$BY$85,69,0)),$B74=""),"",VLOOKUP($B74,'TICH LUY'!$B$11:$BY$85,69,0))</f>
        <v/>
      </c>
      <c r="FK74" s="507" t="str">
        <f>IF(OR(ISNA(VLOOKUP($B74,'TICH LUY'!$B$11:$BY$85,70,0)),$B74=""),"",VLOOKUP($B74,'TICH LUY'!$B$11:$BY$85,70,0))</f>
        <v/>
      </c>
      <c r="FL74" s="507" t="str">
        <f>IF(OR(ISNA(VLOOKUP($B74,'TICH LUY'!$B$11:$BY$85,71,0)),$B74=""),"",VLOOKUP($B74,'TICH LUY'!$B$11:$BY$85,71,0))</f>
        <v/>
      </c>
      <c r="FM74" s="507" t="str">
        <f>IF(OR(ISNA(VLOOKUP($B74,'TICH LUY'!$B$11:$BY$85,72,0)),$B74=""),"",VLOOKUP($B74,'TICH LUY'!$B$11:$BY$85,72,0))</f>
        <v/>
      </c>
      <c r="FN74" s="507" t="str">
        <f>IF(OR(ISNA(VLOOKUP($B74,'TICH LUY'!$B$11:$BY$85,73,0)),$B74=""),"",VLOOKUP($B74,'TICH LUY'!$B$11:$BY$85,73,0))</f>
        <v/>
      </c>
      <c r="FO74" s="507" t="str">
        <f>IF(OR(ISNA(VLOOKUP($B74,'TICH LUY'!$B$11:$BY$85,74,0)),$B74=""),"",VLOOKUP($B74,'TICH LUY'!$B$11:$BY$85,74,0))</f>
        <v/>
      </c>
      <c r="FP74" s="507" t="str">
        <f>IF(OR(ISNA(VLOOKUP($B74,'TICH LUY'!$B$11:$BY$85,75,0)),$B74=""),"",VLOOKUP($B74,'TICH LUY'!$B$11:$BY$85,75,0))</f>
        <v/>
      </c>
      <c r="FQ74" s="529" t="str">
        <f>IF(OR(ISNA(VLOOKUP($B74,'TICH LUY'!$B$11:$BY$85,76,0)),$B74=""),"",VLOOKUP($B74,'TICH LUY'!$B$11:$BY$85,76,0))</f>
        <v/>
      </c>
      <c r="FR74" s="455" t="str">
        <f t="shared" si="69"/>
        <v/>
      </c>
      <c r="FS74" s="456" t="str">
        <f t="shared" si="70"/>
        <v/>
      </c>
      <c r="FT74" s="456" t="str">
        <f t="shared" si="71"/>
        <v/>
      </c>
      <c r="FU74" s="456" t="str">
        <f t="shared" si="72"/>
        <v/>
      </c>
      <c r="FV74" s="456" t="str">
        <f t="shared" si="73"/>
        <v/>
      </c>
      <c r="FW74" s="456" t="str">
        <f t="shared" si="74"/>
        <v/>
      </c>
      <c r="FX74" s="456" t="str">
        <f t="shared" si="75"/>
        <v/>
      </c>
      <c r="FY74" s="456" t="str">
        <f t="shared" si="76"/>
        <v/>
      </c>
      <c r="FZ74" s="456" t="str">
        <f t="shared" si="77"/>
        <v/>
      </c>
      <c r="GA74" s="456" t="str">
        <f t="shared" si="78"/>
        <v/>
      </c>
      <c r="GB74" s="459" t="str">
        <f t="shared" si="79"/>
        <v/>
      </c>
      <c r="GC74" s="457" t="str">
        <f t="shared" si="107"/>
        <v/>
      </c>
    </row>
    <row r="75" spans="1:202" s="221" customFormat="1" ht="16.5" thickBot="1">
      <c r="A75" s="461" t="str">
        <f>IF(B75="","",SUBTOTAL(3,$B$11:B75))</f>
        <v/>
      </c>
      <c r="B75" s="462"/>
      <c r="C75" s="463" t="str">
        <f>IF($B75="","",VLOOKUP($B75,'DS LOP HKI'!$B$2:$F$2642,2,0))</f>
        <v/>
      </c>
      <c r="D75" s="464" t="str">
        <f>IF($B75="","",VLOOKUP($B75,'DS LOP HKI'!$B$2:$F$2642,3,0))</f>
        <v/>
      </c>
      <c r="E75" s="155"/>
      <c r="F75" s="153"/>
      <c r="G75" s="157"/>
      <c r="H75" s="188" t="str">
        <f>IF(OR($H$6="",$H$7=""),"",IF($B75="","",IF(ISNA(VLOOKUP($B75,'LT01'!$B$11:$R$75,13,FALSE)),"",IF(VLOOKUP($B75,'LT01'!$B$11:$R$75,13,FALSE)="","",VLOOKUP($B75,'LT01'!$B$11:$R$75,13,FALSE)))))</f>
        <v/>
      </c>
      <c r="I75" s="189" t="str">
        <f>IF(OR($H$6="",$H$7=""),"",IF($B75="","",IF(ISNA(VLOOKUP($B75,'LT01'!$B$11:$R$75,14,FALSE)),"",VLOOKUP($B75,'LT01'!$B$11:$R$75,14,FALSE))))</f>
        <v/>
      </c>
      <c r="J75" s="190"/>
      <c r="K75" s="189" t="str">
        <f>IF(OR($H$6="",$H$7=""),"",IF($B75="","",IF(ISNA(VLOOKUP($B75,'LT01'!$B$11:$R$75,17,FALSE)),"",VLOOKUP($B75,'LT01'!$B$11:$R$75,17,FALSE))))</f>
        <v/>
      </c>
      <c r="L75" s="192" t="str">
        <f>IF(OR($H$6="",$H$7=""),"",IF($B75="","",IF(ISNA(VLOOKUP($B75,'LT02'!$B$11:$R$75,13,FALSE)),"",IF(VLOOKUP($B75,'LT02'!$B$11:$R$75,13,FALSE)="","",VLOOKUP($B75,'LT02'!$B$11:$R$75,13,FALSE)))))</f>
        <v/>
      </c>
      <c r="M75" s="189" t="str">
        <f>IF(OR($H$6="",$H$7=""),"",IF($B75="","",IF(ISNA(VLOOKUP($B75,'LT02'!$B$11:$R$75,14,FALSE)),"",VLOOKUP($B75,'LT02'!$B$11:$R$75,14,FALSE))))</f>
        <v/>
      </c>
      <c r="N75" s="190"/>
      <c r="O75" s="189" t="str">
        <f>IF(OR($H$6="",$H$7=""),"",IF($B75="","",IF(ISNA(VLOOKUP($B75,'LT02'!$B$11:$R$75,17,FALSE)),"",VLOOKUP($B75,'LT02'!$B$11:$R$75,17,FALSE))))</f>
        <v/>
      </c>
      <c r="P75" s="192" t="str">
        <f>IF(OR($H$6="",$H$7=""),"",IF($B75="","",IF(ISNA(VLOOKUP($B75,'LT03'!$B$11:$R$75,13,FALSE)),"",IF(VLOOKUP($B75,'LT03'!$B$11:$R$75,13,FALSE)="","",VLOOKUP($B75,'LT03'!$B$11:$R$75,13,FALSE)))))</f>
        <v/>
      </c>
      <c r="Q75" s="189" t="str">
        <f>IF(OR($H$6="",$H$7=""),"",IF($B75="","",IF(ISNA(VLOOKUP($B75,'LT03'!$B$11:$R$75,14,FALSE)),"",VLOOKUP($B75,'LT03'!$B$11:$R$75,14,FALSE))))</f>
        <v/>
      </c>
      <c r="R75" s="190"/>
      <c r="S75" s="189" t="str">
        <f>IF(OR($H$6="",$H$7=""),"",IF($B75="","",IF(ISNA(VLOOKUP($B75,'LT03'!$B$11:$R$75,17,FALSE)),"",VLOOKUP($B75,'LT03'!$B$11:$R$75,17,FALSE))))</f>
        <v/>
      </c>
      <c r="T75" s="192" t="str">
        <f>IF(OR($H$6="",$H$7=""),"",IF($B75="","",IF(ISNA(VLOOKUP($B75,'LT04'!$B$11:$R$75,13,FALSE)),"",IF(VLOOKUP($B75,'LT04'!$B$11:$R$75,13,FALSE)="","",VLOOKUP($B75,'LT04'!$B$11:$R$75,13,FALSE)))))</f>
        <v/>
      </c>
      <c r="U75" s="189" t="str">
        <f>IF(OR($H$6="",$H$7=""),"",IF($B75="","",IF(ISNA(VLOOKUP($B75,'LT04'!$B$11:$R$75,14,FALSE)),"",VLOOKUP($B75,'LT04'!$B$11:$R$75,14,FALSE))))</f>
        <v/>
      </c>
      <c r="V75" s="190"/>
      <c r="W75" s="191" t="str">
        <f>IF(OR($H$6="",$H$7=""),"",IF($B75="","",IF(ISNA(VLOOKUP($B75,'LT04'!$B$11:$R$75,17,FALSE)),"",VLOOKUP($B75,'LT04'!$B$11:$R$75,17,FALSE))))</f>
        <v/>
      </c>
      <c r="X75" s="192" t="str">
        <f>IF(OR($H$6="",$H$7=""),"",IF($B75="","",IF(ISNA(VLOOKUP($B75,'LT05'!$B$11:$R$75,13,FALSE)),"",IF(VLOOKUP($B75,'LT05'!$B$11:$R$75,13,FALSE)="","",VLOOKUP($B75,'LT05'!$B$11:$R$75,13,FALSE)))))</f>
        <v/>
      </c>
      <c r="Y75" s="189" t="str">
        <f>IF(OR($H$6="",$H$7=""),"",IF($B75="","",IF(ISNA(VLOOKUP($B75,'LT05'!$B$11:$R$75,14,FALSE)),"",VLOOKUP($B75,'LT05'!$B$11:$R$75,14,FALSE))))</f>
        <v/>
      </c>
      <c r="Z75" s="190"/>
      <c r="AA75" s="189" t="str">
        <f>IF(OR($H$6="",$H$7=""),"",IF($B75="","",IF(ISNA(VLOOKUP($B75,'LT05'!$B$11:$R$75,17,FALSE)),"",VLOOKUP($B75,'LT05'!$B$11:$R$75,17,FALSE))))</f>
        <v/>
      </c>
      <c r="AB75" s="192" t="str">
        <f>IF(OR($H$6="",$H$7=""),"",IF($B75="","",IF(ISNA(VLOOKUP($B75,'LT06'!$B$11:$R$75,13,FALSE)),"",IF(VLOOKUP($B75,'LT06'!$B$11:$R$75,13,FALSE)="","",VLOOKUP($B75,'LT06'!$B$11:$R$75,13,FALSE)))))</f>
        <v/>
      </c>
      <c r="AC75" s="189" t="str">
        <f>IF(OR($H$6="",$H$7=""),"",IF($B75="","",IF(ISNA(VLOOKUP($B75,'LT06'!$B$11:$R$75,14,FALSE)),"",VLOOKUP($B75,'LT06'!$B$11:$R$75,14,FALSE))))</f>
        <v/>
      </c>
      <c r="AD75" s="190"/>
      <c r="AE75" s="189" t="str">
        <f>IF(OR($H$6="",$H$7=""),"",IF($B75="","",IF(ISNA(VLOOKUP($B75,'LT06'!$B$11:$R$75,17,FALSE)),"",VLOOKUP($B75,'LT06'!$B$11:$R$75,17,FALSE))))</f>
        <v/>
      </c>
      <c r="AF75" s="192" t="str">
        <f>IF(OR($H$6="",$H$7=""),"",IF($B75="","",IF(ISNA(VLOOKUP($B75,'LT07'!$B$11:$R$75,13,FALSE)),"",IF(VLOOKUP($B75,'LT07'!$B$11:$R$75,13,FALSE)="","",VLOOKUP($B75,'LT07'!$B$11:$R$75,13,FALSE)))))</f>
        <v/>
      </c>
      <c r="AG75" s="189" t="str">
        <f>IF(OR($H$6="",$H$7=""),"",IF($B75="","",IF(ISNA(VLOOKUP($B75,'LT07'!$B$11:$R$75,14,FALSE)),"",VLOOKUP($B75,'LT07'!$B$11:$R$75,14,FALSE))))</f>
        <v/>
      </c>
      <c r="AH75" s="190"/>
      <c r="AI75" s="189" t="str">
        <f>IF(OR($H$6="",$H$7=""),"",IF($B75="","",IF(ISNA(VLOOKUP($B75,'LT07'!$B$11:$R$75,17,FALSE)),"",VLOOKUP($B75,'LT07'!$B$11:$R$75,17,FALSE))))</f>
        <v/>
      </c>
      <c r="AJ75" s="192" t="str">
        <f>IF(OR($H$6="",$H$7=""),"",IF($B75="","",IF(ISNA(VLOOKUP($B75,'LT08'!$B$11:$R$75,13,FALSE)),"",IF(VLOOKUP($B75,'LT08'!$B$11:$R$75,13,FALSE)="","",VLOOKUP($B75,'LT08'!$B$11:$R$75,13,FALSE)))))</f>
        <v/>
      </c>
      <c r="AK75" s="189" t="str">
        <f>IF(OR($H$6="",$H$7=""),"",IF($B75="","",IF(ISNA(VLOOKUP($B75,'LT08'!$B$11:$R$75,14,FALSE)),"",VLOOKUP($B75,'LT08'!$B$11:$R$75,14,FALSE))))</f>
        <v/>
      </c>
      <c r="AL75" s="190"/>
      <c r="AM75" s="189" t="str">
        <f>IF(OR($H$6="",$H$7=""),"",IF($B75="","",IF(ISNA(VLOOKUP($B75,'LT08'!$B$11:$R$75,17,FALSE)),"",VLOOKUP($B75,'LT08'!$B$11:$R$75,17,FALSE))))</f>
        <v/>
      </c>
      <c r="AN75" s="192" t="str">
        <f>IF(OR($H$6="",$H$7=""),"",IF($B75="","",IF(ISNA(VLOOKUP($B75,'LT09'!$B$11:$R$75,13,FALSE)),"",IF(VLOOKUP($B75,'LT09'!$B$11:$R$75,13,FALSE)="","",VLOOKUP($B75,'LT09'!$B$11:$R$75,13,FALSE)))))</f>
        <v/>
      </c>
      <c r="AO75" s="189" t="str">
        <f>IF(OR($H$6="",$H$7=""),"",IF($B75="","",IF(ISNA(VLOOKUP($B75,'LT09'!$B$11:$R$75,14,FALSE)),"",VLOOKUP($B75,'LT09'!$B$11:$R$75,14,FALSE))))</f>
        <v/>
      </c>
      <c r="AP75" s="190"/>
      <c r="AQ75" s="189" t="str">
        <f>IF(OR($H$6="",$H$7=""),"",IF($B75="","",IF(ISNA(VLOOKUP($B75,'LT09'!$B$11:$R$75,17,FALSE)),"",VLOOKUP($B75,'LT09'!$B$11:$R$75,17,FALSE))))</f>
        <v/>
      </c>
      <c r="AR75" s="193"/>
      <c r="AS75" s="189" t="str">
        <f>IF(OR($H$6="",$H$7=""),"",IF($B75="","",IF(ISNA(VLOOKUP($B75,'TH01'!$B$11:$R$75,14,FALSE)),"",VLOOKUP($B75,'TH01'!$B$11:$R$75,14,FALSE))))</f>
        <v/>
      </c>
      <c r="AT75" s="190"/>
      <c r="AU75" s="194"/>
      <c r="AV75" s="193"/>
      <c r="AW75" s="189" t="str">
        <f>IF(OR($H$6="",$H$7=""),"",IF($B75="","",IF(ISNA(VLOOKUP($B75,'TH02'!$B$11:$R$75,14,FALSE)),"",VLOOKUP($B75,'TH02'!$B$11:$R$75,14,FALSE))))</f>
        <v/>
      </c>
      <c r="AX75" s="190"/>
      <c r="AY75" s="194"/>
      <c r="AZ75" s="55" t="str">
        <f t="shared" si="108"/>
        <v/>
      </c>
      <c r="BA75" s="55" t="str">
        <f>ET75</f>
        <v/>
      </c>
      <c r="BB75" s="71"/>
      <c r="BC75" s="53" t="str">
        <f t="shared" si="25"/>
        <v/>
      </c>
      <c r="BD75" s="53" t="str">
        <f t="shared" si="26"/>
        <v/>
      </c>
      <c r="BE75" s="53" t="str">
        <f t="shared" si="86"/>
        <v/>
      </c>
      <c r="BF75" s="491" t="str">
        <f t="shared" si="87"/>
        <v/>
      </c>
      <c r="BG75" s="53" t="str">
        <f t="shared" si="88"/>
        <v/>
      </c>
      <c r="BH75" s="53" t="str">
        <f t="shared" si="89"/>
        <v/>
      </c>
      <c r="BI75" s="53" t="str">
        <f t="shared" si="90"/>
        <v/>
      </c>
      <c r="BJ75" s="53" t="str">
        <f t="shared" si="91"/>
        <v/>
      </c>
      <c r="BK75" s="55" t="str">
        <f t="shared" si="92"/>
        <v/>
      </c>
      <c r="BL75" s="55" t="str">
        <f>IF(B75="","",IF(BK75&gt;=5.5,"BT","Y"))</f>
        <v/>
      </c>
      <c r="BM75" s="55" t="str">
        <f t="shared" si="94"/>
        <v/>
      </c>
      <c r="BN75" s="55" t="str">
        <f>IF(B75="","",IF(BM75&gt;=5.5,"BT","Y"))</f>
        <v/>
      </c>
      <c r="BO75" s="71"/>
      <c r="BP75" s="53" t="str">
        <f>IF(ISNA(VLOOKUP(B75,'TICH LUY'!B:D,2,0)),"",VLOOKUP(B75,'TICH LUY'!B:D,2,0)+BI75)</f>
        <v/>
      </c>
      <c r="BQ75" s="53" t="str">
        <f>IF(ISNA(VLOOKUP(B75,'TICH LUY'!B:D,3,0)),"",VLOOKUP(B75,'TICH LUY'!B:D,3,0)+BJ75)</f>
        <v/>
      </c>
      <c r="BR75" s="40" t="str">
        <f>IF(COUNT(BS75:CC75)=0,"",COUNTIF(BS75:CC75,"&lt;5"))</f>
        <v/>
      </c>
      <c r="BS75" s="452" t="str">
        <f t="shared" si="97"/>
        <v/>
      </c>
      <c r="BT75" s="452" t="str">
        <f t="shared" si="98"/>
        <v/>
      </c>
      <c r="BU75" s="452" t="str">
        <f t="shared" si="99"/>
        <v/>
      </c>
      <c r="BV75" s="452" t="str">
        <f t="shared" si="100"/>
        <v/>
      </c>
      <c r="BW75" s="452" t="str">
        <f t="shared" si="101"/>
        <v/>
      </c>
      <c r="BX75" s="452" t="str">
        <f t="shared" si="102"/>
        <v/>
      </c>
      <c r="BY75" s="452" t="str">
        <f t="shared" si="103"/>
        <v/>
      </c>
      <c r="BZ75" s="452" t="str">
        <f t="shared" si="28"/>
        <v/>
      </c>
      <c r="CA75" s="452" t="str">
        <f t="shared" si="29"/>
        <v/>
      </c>
      <c r="CB75" s="452" t="str">
        <f t="shared" si="30"/>
        <v/>
      </c>
      <c r="CC75" s="452" t="str">
        <f t="shared" si="104"/>
        <v/>
      </c>
      <c r="CD75" s="40" t="str">
        <f t="shared" si="31"/>
        <v/>
      </c>
      <c r="CE75" s="465" t="str">
        <f t="shared" si="109"/>
        <v/>
      </c>
      <c r="CF75" s="466" t="str">
        <f t="shared" si="32"/>
        <v/>
      </c>
      <c r="CG75" s="466" t="str">
        <f t="shared" si="110"/>
        <v/>
      </c>
      <c r="CH75" s="466" t="str">
        <f t="shared" si="111"/>
        <v/>
      </c>
      <c r="CI75" s="466" t="str">
        <f t="shared" si="112"/>
        <v/>
      </c>
      <c r="CJ75" s="466" t="str">
        <f t="shared" si="113"/>
        <v/>
      </c>
      <c r="CK75" s="466" t="str">
        <f t="shared" si="114"/>
        <v/>
      </c>
      <c r="CL75" s="452" t="str">
        <f t="shared" si="33"/>
        <v/>
      </c>
      <c r="CM75" s="466" t="str">
        <f t="shared" si="34"/>
        <v/>
      </c>
      <c r="CN75" s="452" t="str">
        <f t="shared" si="35"/>
        <v/>
      </c>
      <c r="CO75" s="466" t="str">
        <f t="shared" si="105"/>
        <v/>
      </c>
      <c r="CP75" s="454" t="str">
        <f t="shared" si="36"/>
        <v/>
      </c>
      <c r="CQ75" s="527" t="str">
        <f>IF(OR(ISNA(VLOOKUP($B75,'TICH LUY'!$B$11:$BY$85,54,0)),$B75=""),"",VLOOKUP($B75,'TICH LUY'!$B$11:$BY$85,54,0))</f>
        <v/>
      </c>
      <c r="CR75" s="507" t="str">
        <f>IF(OR(ISNA(VLOOKUP($B75,'TICH LUY'!$B$11:$BY$85,55,0)),$B75=""),"",VLOOKUP($B75,'TICH LUY'!$B$11:$BY$85,55,0))</f>
        <v/>
      </c>
      <c r="CS75" s="507" t="str">
        <f>IF(OR(ISNA(VLOOKUP($B75,'TICH LUY'!$B$11:$BY$85,56,0)),$B75=""),"",VLOOKUP($B75,'TICH LUY'!$B$11:$BY$85,56,0))</f>
        <v/>
      </c>
      <c r="CT75" s="507" t="str">
        <f>IF(OR(ISNA(VLOOKUP($B75,'TICH LUY'!$B$11:$BY$85,57,0)),$B75=""),"",VLOOKUP($B75,'TICH LUY'!$B$11:$BY$85,57,0))</f>
        <v/>
      </c>
      <c r="CU75" s="507" t="str">
        <f>IF(OR(ISNA(VLOOKUP($B75,'TICH LUY'!$B$11:$BY$85,58,0)),$B75=""),"",VLOOKUP($B75,'TICH LUY'!$B$11:$BY$85,58,0))</f>
        <v/>
      </c>
      <c r="CV75" s="507" t="str">
        <f>IF(OR(ISNA(VLOOKUP($B75,'TICH LUY'!$B$11:$BY$85,59,0)),$B75=""),"",VLOOKUP($B75,'TICH LUY'!$B$11:$BY$85,59,0))</f>
        <v/>
      </c>
      <c r="CW75" s="507" t="str">
        <f>IF(OR(ISNA(VLOOKUP($B75,'TICH LUY'!$B$11:$BY$85,60,0)),$B75=""),"",VLOOKUP($B75,'TICH LUY'!$B$11:$BY$85,60,0))</f>
        <v/>
      </c>
      <c r="CX75" s="507" t="str">
        <f>IF(OR(ISNA(VLOOKUP($B75,'TICH LUY'!$B$11:$BY$85,61,0)),$B75=""),"",VLOOKUP($B75,'TICH LUY'!$B$11:$BY$85,61,0))</f>
        <v/>
      </c>
      <c r="CY75" s="507" t="str">
        <f>IF(OR(ISNA(VLOOKUP($B75,'TICH LUY'!$B$11:$BY$85,62,0)),$B75=""),"",VLOOKUP($B75,'TICH LUY'!$B$11:$BY$85,62,0))</f>
        <v/>
      </c>
      <c r="CZ75" s="507" t="str">
        <f>IF(OR(ISNA(VLOOKUP($B75,'TICH LUY'!$B$11:$BY$85,63,0)),$B75=""),"",VLOOKUP($B75,'TICH LUY'!$B$11:$BY$85,63,0))</f>
        <v/>
      </c>
      <c r="DA75" s="507" t="str">
        <f>IF(OR(ISNA(VLOOKUP($B75,'TICH LUY'!$B$11:$BY$85,64,0)),$B75=""),"",VLOOKUP($B75,'TICH LUY'!$B$11:$BY$85,64,0))</f>
        <v/>
      </c>
      <c r="DB75" s="507" t="str">
        <f>IF(OR(ISNA(VLOOKUP($B75,'TICH LUY'!$B$11:$BY$85,65,0)),$B75=""),"",VLOOKUP($B75,'TICH LUY'!$B$11:$BY$85,65,0))</f>
        <v/>
      </c>
      <c r="DC75" s="507" t="str">
        <f>IF(OR(ISNA(VLOOKUP($B75,'TICH LUY'!$B$11:$BY$85,66,0)),$B75=""),"",VLOOKUP($B75,'TICH LUY'!$B$11:$BY$85,66,0))</f>
        <v/>
      </c>
      <c r="DD75" s="507" t="str">
        <f>IF(OR(ISNA(VLOOKUP($B75,'TICH LUY'!$B$11:$BY$85,67,0)),$B75=""),"",VLOOKUP($B75,'TICH LUY'!$B$11:$BY$85,67,0))</f>
        <v/>
      </c>
      <c r="DE75" s="507" t="str">
        <f>IF(OR(ISNA(VLOOKUP($B75,'TICH LUY'!$B$11:$BY$85,68,0)),$B75=""),"",VLOOKUP($B75,'TICH LUY'!$B$11:$BY$85,68,0))</f>
        <v/>
      </c>
      <c r="DF75" s="507" t="str">
        <f>IF(OR(ISNA(VLOOKUP($B75,'TICH LUY'!$B$11:$BY$85,69,0)),$B75=""),"",VLOOKUP($B75,'TICH LUY'!$B$11:$BY$85,69,0))</f>
        <v/>
      </c>
      <c r="DG75" s="507" t="str">
        <f>IF(OR(ISNA(VLOOKUP($B75,'TICH LUY'!$B$11:$BY$85,70,0)),$B75=""),"",VLOOKUP($B75,'TICH LUY'!$B$11:$BY$85,70,0))</f>
        <v/>
      </c>
      <c r="DH75" s="507" t="str">
        <f>IF(OR(ISNA(VLOOKUP($B75,'TICH LUY'!$B$11:$BY$85,71,0)),$B75=""),"",VLOOKUP($B75,'TICH LUY'!$B$11:$BY$85,71,0))</f>
        <v/>
      </c>
      <c r="DI75" s="507" t="str">
        <f>IF(OR(ISNA(VLOOKUP($B75,'TICH LUY'!$B$11:$BY$85,72,0)),$B75=""),"",VLOOKUP($B75,'TICH LUY'!$B$11:$BY$85,72,0))</f>
        <v/>
      </c>
      <c r="DJ75" s="507" t="str">
        <f>IF(OR(ISNA(VLOOKUP($B75,'TICH LUY'!$B$11:$BY$85,73,0)),$B75=""),"",VLOOKUP($B75,'TICH LUY'!$B$11:$BY$85,73,0))</f>
        <v/>
      </c>
      <c r="DK75" s="507" t="str">
        <f>IF(OR(ISNA(VLOOKUP($B75,'TICH LUY'!$B$11:$BY$85,74,0)),$B75=""),"",VLOOKUP($B75,'TICH LUY'!$B$11:$BY$85,74,0))</f>
        <v/>
      </c>
      <c r="DL75" s="507" t="str">
        <f>IF(OR(ISNA(VLOOKUP($B75,'TICH LUY'!$B$11:$BY$85,75,0)),$B75=""),"",VLOOKUP($B75,'TICH LUY'!$B$11:$BY$85,75,0))</f>
        <v/>
      </c>
      <c r="DM75" s="529" t="str">
        <f>IF(OR(ISNA(VLOOKUP($B75,'TICH LUY'!$B$11:$BY$85,76,0)),$B75=""),"",VLOOKUP($B75,'TICH LUY'!$B$11:$BY$85,76,0))</f>
        <v/>
      </c>
      <c r="DN75" s="455" t="str">
        <f t="shared" si="37"/>
        <v/>
      </c>
      <c r="DO75" s="456" t="str">
        <f t="shared" si="38"/>
        <v/>
      </c>
      <c r="DP75" s="456" t="str">
        <f t="shared" si="39"/>
        <v/>
      </c>
      <c r="DQ75" s="456" t="str">
        <f t="shared" si="40"/>
        <v/>
      </c>
      <c r="DR75" s="456" t="str">
        <f t="shared" si="41"/>
        <v/>
      </c>
      <c r="DS75" s="456" t="str">
        <f t="shared" si="42"/>
        <v/>
      </c>
      <c r="DT75" s="456" t="str">
        <f t="shared" si="43"/>
        <v/>
      </c>
      <c r="DU75" s="456" t="str">
        <f t="shared" si="44"/>
        <v/>
      </c>
      <c r="DV75" s="456" t="str">
        <f t="shared" si="45"/>
        <v/>
      </c>
      <c r="DW75" s="456" t="str">
        <f t="shared" si="46"/>
        <v/>
      </c>
      <c r="DX75" s="456" t="str">
        <f t="shared" si="47"/>
        <v/>
      </c>
      <c r="DY75" s="457" t="str">
        <f t="shared" si="48"/>
        <v/>
      </c>
      <c r="DZ75" s="453" t="str">
        <f t="shared" si="115"/>
        <v/>
      </c>
      <c r="EA75" s="452" t="str">
        <f t="shared" si="50"/>
        <v/>
      </c>
      <c r="EB75" s="452" t="str">
        <f t="shared" si="116"/>
        <v/>
      </c>
      <c r="EC75" s="452" t="str">
        <f t="shared" si="117"/>
        <v/>
      </c>
      <c r="ED75" s="452" t="str">
        <f t="shared" si="118"/>
        <v/>
      </c>
      <c r="EE75" s="452" t="str">
        <f t="shared" si="119"/>
        <v/>
      </c>
      <c r="EF75" s="452" t="str">
        <f t="shared" si="120"/>
        <v/>
      </c>
      <c r="EG75" s="452" t="str">
        <f t="shared" si="56"/>
        <v/>
      </c>
      <c r="EH75" s="452" t="str">
        <f t="shared" si="57"/>
        <v/>
      </c>
      <c r="EI75" s="453" t="str">
        <f t="shared" si="58"/>
        <v/>
      </c>
      <c r="EJ75" s="452" t="str">
        <f t="shared" si="59"/>
        <v/>
      </c>
      <c r="EK75" s="452" t="str">
        <f t="shared" si="60"/>
        <v/>
      </c>
      <c r="EL75" s="452" t="str">
        <f t="shared" si="61"/>
        <v/>
      </c>
      <c r="EM75" s="452" t="str">
        <f t="shared" si="62"/>
        <v/>
      </c>
      <c r="EN75" s="452" t="str">
        <f t="shared" si="63"/>
        <v/>
      </c>
      <c r="EO75" s="452" t="str">
        <f t="shared" si="64"/>
        <v/>
      </c>
      <c r="EP75" s="452" t="str">
        <f t="shared" si="65"/>
        <v/>
      </c>
      <c r="EQ75" s="452" t="str">
        <f t="shared" si="66"/>
        <v/>
      </c>
      <c r="ER75" s="452" t="str">
        <f t="shared" si="67"/>
        <v/>
      </c>
      <c r="ES75" s="452" t="str">
        <f t="shared" si="106"/>
        <v/>
      </c>
      <c r="ET75" s="458" t="str">
        <f t="shared" si="68"/>
        <v/>
      </c>
      <c r="EU75" s="527" t="str">
        <f>IF(OR(ISNA(VLOOKUP($B75,'TICH LUY'!$B$11:$BY$85,54,0)),$B75=""),"",VLOOKUP($B75,'TICH LUY'!$B$11:$BY$85,54,0))</f>
        <v/>
      </c>
      <c r="EV75" s="507" t="str">
        <f>IF(OR(ISNA(VLOOKUP($B75,'TICH LUY'!$B$11:$BY$85,55,0)),$B75=""),"",VLOOKUP($B75,'TICH LUY'!$B$11:$BY$85,55,0))</f>
        <v/>
      </c>
      <c r="EW75" s="507" t="str">
        <f>IF(OR(ISNA(VLOOKUP($B75,'TICH LUY'!$B$11:$BY$85,56,0)),$B75=""),"",VLOOKUP($B75,'TICH LUY'!$B$11:$BY$85,56,0))</f>
        <v/>
      </c>
      <c r="EX75" s="507" t="str">
        <f>IF(OR(ISNA(VLOOKUP($B75,'TICH LUY'!$B$11:$BY$85,57,0)),$B75=""),"",VLOOKUP($B75,'TICH LUY'!$B$11:$BY$85,57,0))</f>
        <v/>
      </c>
      <c r="EY75" s="507" t="str">
        <f>IF(OR(ISNA(VLOOKUP($B75,'TICH LUY'!$B$11:$BY$85,58,0)),$B75=""),"",VLOOKUP($B75,'TICH LUY'!$B$11:$BY$85,58,0))</f>
        <v/>
      </c>
      <c r="EZ75" s="507" t="str">
        <f>IF(OR(ISNA(VLOOKUP($B75,'TICH LUY'!$B$11:$BY$85,59,0)),$B75=""),"",VLOOKUP($B75,'TICH LUY'!$B$11:$BY$85,59,0))</f>
        <v/>
      </c>
      <c r="FA75" s="507" t="str">
        <f>IF(OR(ISNA(VLOOKUP($B75,'TICH LUY'!$B$11:$BY$85,60,0)),$B75=""),"",VLOOKUP($B75,'TICH LUY'!$B$11:$BY$85,60,0))</f>
        <v/>
      </c>
      <c r="FB75" s="507" t="str">
        <f>IF(OR(ISNA(VLOOKUP($B75,'TICH LUY'!$B$11:$BY$85,61,0)),$B75=""),"",VLOOKUP($B75,'TICH LUY'!$B$11:$BY$85,61,0))</f>
        <v/>
      </c>
      <c r="FC75" s="507" t="str">
        <f>IF(OR(ISNA(VLOOKUP($B75,'TICH LUY'!$B$11:$BY$85,62,0)),$B75=""),"",VLOOKUP($B75,'TICH LUY'!$B$11:$BY$85,62,0))</f>
        <v/>
      </c>
      <c r="FD75" s="507" t="str">
        <f>IF(OR(ISNA(VLOOKUP($B75,'TICH LUY'!$B$11:$BY$85,63,0)),$B75=""),"",VLOOKUP($B75,'TICH LUY'!$B$11:$BY$85,63,0))</f>
        <v/>
      </c>
      <c r="FE75" s="507" t="str">
        <f>IF(OR(ISNA(VLOOKUP($B75,'TICH LUY'!$B$11:$BY$85,64,0)),$B75=""),"",VLOOKUP($B75,'TICH LUY'!$B$11:$BY$85,64,0))</f>
        <v/>
      </c>
      <c r="FF75" s="507" t="str">
        <f>IF(OR(ISNA(VLOOKUP($B75,'TICH LUY'!$B$11:$BY$85,65,0)),$B75=""),"",VLOOKUP($B75,'TICH LUY'!$B$11:$BY$85,65,0))</f>
        <v/>
      </c>
      <c r="FG75" s="507" t="str">
        <f>IF(OR(ISNA(VLOOKUP($B75,'TICH LUY'!$B$11:$BY$85,66,0)),$B75=""),"",VLOOKUP($B75,'TICH LUY'!$B$11:$BY$85,66,0))</f>
        <v/>
      </c>
      <c r="FH75" s="507" t="str">
        <f>IF(OR(ISNA(VLOOKUP($B75,'TICH LUY'!$B$11:$BY$85,67,0)),$B75=""),"",VLOOKUP($B75,'TICH LUY'!$B$11:$BY$85,67,0))</f>
        <v/>
      </c>
      <c r="FI75" s="507" t="str">
        <f>IF(OR(ISNA(VLOOKUP($B75,'TICH LUY'!$B$11:$BY$85,68,0)),$B75=""),"",VLOOKUP($B75,'TICH LUY'!$B$11:$BY$85,68,0))</f>
        <v/>
      </c>
      <c r="FJ75" s="507" t="str">
        <f>IF(OR(ISNA(VLOOKUP($B75,'TICH LUY'!$B$11:$BY$85,69,0)),$B75=""),"",VLOOKUP($B75,'TICH LUY'!$B$11:$BY$85,69,0))</f>
        <v/>
      </c>
      <c r="FK75" s="507" t="str">
        <f>IF(OR(ISNA(VLOOKUP($B75,'TICH LUY'!$B$11:$BY$85,70,0)),$B75=""),"",VLOOKUP($B75,'TICH LUY'!$B$11:$BY$85,70,0))</f>
        <v/>
      </c>
      <c r="FL75" s="507" t="str">
        <f>IF(OR(ISNA(VLOOKUP($B75,'TICH LUY'!$B$11:$BY$85,71,0)),$B75=""),"",VLOOKUP($B75,'TICH LUY'!$B$11:$BY$85,71,0))</f>
        <v/>
      </c>
      <c r="FM75" s="507" t="str">
        <f>IF(OR(ISNA(VLOOKUP($B75,'TICH LUY'!$B$11:$BY$85,72,0)),$B75=""),"",VLOOKUP($B75,'TICH LUY'!$B$11:$BY$85,72,0))</f>
        <v/>
      </c>
      <c r="FN75" s="507" t="str">
        <f>IF(OR(ISNA(VLOOKUP($B75,'TICH LUY'!$B$11:$BY$85,73,0)),$B75=""),"",VLOOKUP($B75,'TICH LUY'!$B$11:$BY$85,73,0))</f>
        <v/>
      </c>
      <c r="FO75" s="507" t="str">
        <f>IF(OR(ISNA(VLOOKUP($B75,'TICH LUY'!$B$11:$BY$85,74,0)),$B75=""),"",VLOOKUP($B75,'TICH LUY'!$B$11:$BY$85,74,0))</f>
        <v/>
      </c>
      <c r="FP75" s="507" t="str">
        <f>IF(OR(ISNA(VLOOKUP($B75,'TICH LUY'!$B$11:$BY$85,75,0)),$B75=""),"",VLOOKUP($B75,'TICH LUY'!$B$11:$BY$85,75,0))</f>
        <v/>
      </c>
      <c r="FQ75" s="529" t="str">
        <f>IF(OR(ISNA(VLOOKUP($B75,'TICH LUY'!$B$11:$BY$85,76,0)),$B75=""),"",VLOOKUP($B75,'TICH LUY'!$B$11:$BY$85,76,0))</f>
        <v/>
      </c>
      <c r="FR75" s="455" t="str">
        <f t="shared" si="69"/>
        <v/>
      </c>
      <c r="FS75" s="456" t="str">
        <f t="shared" si="70"/>
        <v/>
      </c>
      <c r="FT75" s="456" t="str">
        <f t="shared" si="71"/>
        <v/>
      </c>
      <c r="FU75" s="456" t="str">
        <f t="shared" si="72"/>
        <v/>
      </c>
      <c r="FV75" s="456" t="str">
        <f t="shared" si="73"/>
        <v/>
      </c>
      <c r="FW75" s="456" t="str">
        <f t="shared" si="74"/>
        <v/>
      </c>
      <c r="FX75" s="456" t="str">
        <f t="shared" si="75"/>
        <v/>
      </c>
      <c r="FY75" s="456" t="str">
        <f t="shared" si="76"/>
        <v/>
      </c>
      <c r="FZ75" s="456" t="str">
        <f t="shared" si="77"/>
        <v/>
      </c>
      <c r="GA75" s="456" t="str">
        <f t="shared" si="78"/>
        <v/>
      </c>
      <c r="GB75" s="459" t="str">
        <f t="shared" si="79"/>
        <v/>
      </c>
      <c r="GC75" s="457" t="str">
        <f>IF(OR(COUNT(CQ75:DX75)=0,B75=""),"",ROUND(SUMPRODUCT(EU75:GB75,$EU$7:$GB$7)/SUMIF(EU75:GB75,"&gt;=4",$EU$7:$GB$7),2))</f>
        <v/>
      </c>
    </row>
    <row r="76" spans="1:202" ht="15.75">
      <c r="B76" s="50"/>
      <c r="C76" s="50"/>
      <c r="D76" s="50"/>
      <c r="E76" s="50"/>
      <c r="F76" s="50"/>
      <c r="G76" s="50"/>
      <c r="H76" s="50"/>
      <c r="I76" s="50"/>
      <c r="J76" s="50"/>
      <c r="K76" s="50"/>
      <c r="L76" s="50"/>
      <c r="M76" s="50"/>
      <c r="N76" s="50"/>
      <c r="O76" s="50"/>
      <c r="P76" s="50"/>
      <c r="Q76" s="50"/>
      <c r="R76" s="50"/>
      <c r="S76" s="50"/>
      <c r="T76" s="50"/>
      <c r="BS76" s="41"/>
      <c r="BT76" s="41"/>
      <c r="CQ76" s="527" t="str">
        <f>IF(OR(ISNA(VLOOKUP($B76,'TICH LUY'!$B$11:$BY$85,54,0)),$B76=""),"",VLOOKUP($B76,'TICH LUY'!$B$11:$BY$85,54,0))</f>
        <v/>
      </c>
      <c r="CR76" s="507" t="str">
        <f>IF(OR(ISNA(VLOOKUP($B76,'TICH LUY'!$B$11:$BY$85,55,0)),$B76=""),"",VLOOKUP($B76,'TICH LUY'!$B$11:$BY$85,55,0))</f>
        <v/>
      </c>
      <c r="CS76" s="507" t="str">
        <f>IF(OR(ISNA(VLOOKUP($B76,'TICH LUY'!$B$11:$BY$85,56,0)),$B76=""),"",VLOOKUP($B76,'TICH LUY'!$B$11:$BY$85,56,0))</f>
        <v/>
      </c>
      <c r="CT76" s="507" t="str">
        <f>IF(OR(ISNA(VLOOKUP($B76,'TICH LUY'!$B$11:$BY$85,57,0)),$B76=""),"",VLOOKUP($B76,'TICH LUY'!$B$11:$BY$85,57,0))</f>
        <v/>
      </c>
      <c r="CU76" s="507" t="str">
        <f>IF(OR(ISNA(VLOOKUP($B76,'TICH LUY'!$B$11:$BY$85,58,0)),$B76=""),"",VLOOKUP($B76,'TICH LUY'!$B$11:$BY$85,58,0))</f>
        <v/>
      </c>
      <c r="CV76" s="507" t="str">
        <f>IF(OR(ISNA(VLOOKUP($B76,'TICH LUY'!$B$11:$BY$85,59,0)),$B76=""),"",VLOOKUP($B76,'TICH LUY'!$B$11:$BY$85,59,0))</f>
        <v/>
      </c>
      <c r="CW76" s="507" t="str">
        <f>IF(OR(ISNA(VLOOKUP($B76,'TICH LUY'!$B$11:$BY$85,60,0)),$B76=""),"",VLOOKUP($B76,'TICH LUY'!$B$11:$BY$85,60,0))</f>
        <v/>
      </c>
      <c r="CX76" s="507" t="str">
        <f>IF(OR(ISNA(VLOOKUP($B76,'TICH LUY'!$B$11:$BY$85,61,0)),$B76=""),"",VLOOKUP($B76,'TICH LUY'!$B$11:$BY$85,61,0))</f>
        <v/>
      </c>
      <c r="CY76" s="507" t="str">
        <f>IF(OR(ISNA(VLOOKUP($B76,'TICH LUY'!$B$11:$BY$85,62,0)),$B76=""),"",VLOOKUP($B76,'TICH LUY'!$B$11:$BY$85,62,0))</f>
        <v/>
      </c>
      <c r="CZ76" s="507" t="str">
        <f>IF(OR(ISNA(VLOOKUP($B76,'TICH LUY'!$B$11:$BY$85,63,0)),$B76=""),"",VLOOKUP($B76,'TICH LUY'!$B$11:$BY$85,63,0))</f>
        <v/>
      </c>
      <c r="DA76" s="507" t="str">
        <f>IF(OR(ISNA(VLOOKUP($B76,'TICH LUY'!$B$11:$BY$85,64,0)),$B76=""),"",VLOOKUP($B76,'TICH LUY'!$B$11:$BY$85,64,0))</f>
        <v/>
      </c>
      <c r="DB76" s="507" t="str">
        <f>IF(OR(ISNA(VLOOKUP($B76,'TICH LUY'!$B$11:$BY$85,65,0)),$B76=""),"",VLOOKUP($B76,'TICH LUY'!$B$11:$BY$85,65,0))</f>
        <v/>
      </c>
      <c r="DC76" s="507" t="str">
        <f>IF(OR(ISNA(VLOOKUP($B76,'TICH LUY'!$B$11:$BY$85,66,0)),$B76=""),"",VLOOKUP($B76,'TICH LUY'!$B$11:$BY$85,66,0))</f>
        <v/>
      </c>
      <c r="DD76" s="507" t="str">
        <f>IF(OR(ISNA(VLOOKUP($B76,'TICH LUY'!$B$11:$BY$85,67,0)),$B76=""),"",VLOOKUP($B76,'TICH LUY'!$B$11:$BY$85,67,0))</f>
        <v/>
      </c>
      <c r="DE76" s="507" t="str">
        <f>IF(OR(ISNA(VLOOKUP($B76,'TICH LUY'!$B$11:$BY$85,68,0)),$B76=""),"",VLOOKUP($B76,'TICH LUY'!$B$11:$BY$85,68,0))</f>
        <v/>
      </c>
      <c r="DF76" s="507" t="str">
        <f>IF(OR(ISNA(VLOOKUP($B76,'TICH LUY'!$B$11:$BY$85,69,0)),$B76=""),"",VLOOKUP($B76,'TICH LUY'!$B$11:$BY$85,69,0))</f>
        <v/>
      </c>
      <c r="DG76" s="507" t="str">
        <f>IF(OR(ISNA(VLOOKUP($B76,'TICH LUY'!$B$11:$BY$85,70,0)),$B76=""),"",VLOOKUP($B76,'TICH LUY'!$B$11:$BY$85,70,0))</f>
        <v/>
      </c>
      <c r="DH76" s="507" t="str">
        <f>IF(OR(ISNA(VLOOKUP($B76,'TICH LUY'!$B$11:$BY$85,71,0)),$B76=""),"",VLOOKUP($B76,'TICH LUY'!$B$11:$BY$85,71,0))</f>
        <v/>
      </c>
      <c r="DI76" s="507" t="str">
        <f>IF(OR(ISNA(VLOOKUP($B76,'TICH LUY'!$B$11:$BY$85,72,0)),$B76=""),"",VLOOKUP($B76,'TICH LUY'!$B$11:$BY$85,72,0))</f>
        <v/>
      </c>
      <c r="DJ76" s="507" t="str">
        <f>IF(OR(ISNA(VLOOKUP($B76,'TICH LUY'!$B$11:$BY$85,73,0)),$B76=""),"",VLOOKUP($B76,'TICH LUY'!$B$11:$BY$85,73,0))</f>
        <v/>
      </c>
      <c r="DK76" s="507" t="str">
        <f>IF(OR(ISNA(VLOOKUP($B76,'TICH LUY'!$B$11:$BY$85,74,0)),$B76=""),"",VLOOKUP($B76,'TICH LUY'!$B$11:$BY$85,74,0))</f>
        <v/>
      </c>
      <c r="DL76" s="507" t="str">
        <f>IF(OR(ISNA(VLOOKUP($B76,'TICH LUY'!$B$11:$BY$85,75,0)),$B76=""),"",VLOOKUP($B76,'TICH LUY'!$B$11:$BY$85,75,0))</f>
        <v/>
      </c>
      <c r="DM76" s="529" t="str">
        <f>IF(OR(ISNA(VLOOKUP($B76,'TICH LUY'!$B$11:$BY$85,76,0)),$B76=""),"",VLOOKUP($B76,'TICH LUY'!$B$11:$BY$85,76,0))</f>
        <v/>
      </c>
      <c r="EU76" s="527" t="str">
        <f>IF(OR(ISNA(VLOOKUP($B76,'TICH LUY'!$B$11:$BY$85,54,0)),$B76=""),"",VLOOKUP($B76,'TICH LUY'!$B$11:$BY$85,54,0))</f>
        <v/>
      </c>
      <c r="EV76" s="507" t="str">
        <f>IF(OR(ISNA(VLOOKUP($B76,'TICH LUY'!$B$11:$BY$85,55,0)),$B76=""),"",VLOOKUP($B76,'TICH LUY'!$B$11:$BY$85,55,0))</f>
        <v/>
      </c>
      <c r="EW76" s="507" t="str">
        <f>IF(OR(ISNA(VLOOKUP($B76,'TICH LUY'!$B$11:$BY$85,56,0)),$B76=""),"",VLOOKUP($B76,'TICH LUY'!$B$11:$BY$85,56,0))</f>
        <v/>
      </c>
      <c r="EX76" s="507" t="str">
        <f>IF(OR(ISNA(VLOOKUP($B76,'TICH LUY'!$B$11:$BY$85,57,0)),$B76=""),"",VLOOKUP($B76,'TICH LUY'!$B$11:$BY$85,57,0))</f>
        <v/>
      </c>
      <c r="EY76" s="507" t="str">
        <f>IF(OR(ISNA(VLOOKUP($B76,'TICH LUY'!$B$11:$BY$85,58,0)),$B76=""),"",VLOOKUP($B76,'TICH LUY'!$B$11:$BY$85,58,0))</f>
        <v/>
      </c>
      <c r="EZ76" s="507" t="str">
        <f>IF(OR(ISNA(VLOOKUP($B76,'TICH LUY'!$B$11:$BY$85,59,0)),$B76=""),"",VLOOKUP($B76,'TICH LUY'!$B$11:$BY$85,59,0))</f>
        <v/>
      </c>
      <c r="FA76" s="507" t="str">
        <f>IF(OR(ISNA(VLOOKUP($B76,'TICH LUY'!$B$11:$BY$85,60,0)),$B76=""),"",VLOOKUP($B76,'TICH LUY'!$B$11:$BY$85,60,0))</f>
        <v/>
      </c>
      <c r="FB76" s="507" t="str">
        <f>IF(OR(ISNA(VLOOKUP($B76,'TICH LUY'!$B$11:$BY$85,61,0)),$B76=""),"",VLOOKUP($B76,'TICH LUY'!$B$11:$BY$85,61,0))</f>
        <v/>
      </c>
      <c r="FC76" s="507" t="str">
        <f>IF(OR(ISNA(VLOOKUP($B76,'TICH LUY'!$B$11:$BY$85,62,0)),$B76=""),"",VLOOKUP($B76,'TICH LUY'!$B$11:$BY$85,62,0))</f>
        <v/>
      </c>
      <c r="FD76" s="507" t="str">
        <f>IF(OR(ISNA(VLOOKUP($B76,'TICH LUY'!$B$11:$BY$85,63,0)),$B76=""),"",VLOOKUP($B76,'TICH LUY'!$B$11:$BY$85,63,0))</f>
        <v/>
      </c>
      <c r="FE76" s="507" t="str">
        <f>IF(OR(ISNA(VLOOKUP($B76,'TICH LUY'!$B$11:$BY$85,64,0)),$B76=""),"",VLOOKUP($B76,'TICH LUY'!$B$11:$BY$85,64,0))</f>
        <v/>
      </c>
      <c r="FF76" s="507" t="str">
        <f>IF(OR(ISNA(VLOOKUP($B76,'TICH LUY'!$B$11:$BY$85,65,0)),$B76=""),"",VLOOKUP($B76,'TICH LUY'!$B$11:$BY$85,65,0))</f>
        <v/>
      </c>
      <c r="FG76" s="507" t="str">
        <f>IF(OR(ISNA(VLOOKUP($B76,'TICH LUY'!$B$11:$BY$85,66,0)),$B76=""),"",VLOOKUP($B76,'TICH LUY'!$B$11:$BY$85,66,0))</f>
        <v/>
      </c>
      <c r="FH76" s="507" t="str">
        <f>IF(OR(ISNA(VLOOKUP($B76,'TICH LUY'!$B$11:$BY$85,67,0)),$B76=""),"",VLOOKUP($B76,'TICH LUY'!$B$11:$BY$85,67,0))</f>
        <v/>
      </c>
      <c r="FI76" s="507" t="str">
        <f>IF(OR(ISNA(VLOOKUP($B76,'TICH LUY'!$B$11:$BY$85,68,0)),$B76=""),"",VLOOKUP($B76,'TICH LUY'!$B$11:$BY$85,68,0))</f>
        <v/>
      </c>
      <c r="FJ76" s="507" t="str">
        <f>IF(OR(ISNA(VLOOKUP($B76,'TICH LUY'!$B$11:$BY$85,69,0)),$B76=""),"",VLOOKUP($B76,'TICH LUY'!$B$11:$BY$85,69,0))</f>
        <v/>
      </c>
      <c r="FK76" s="507" t="str">
        <f>IF(OR(ISNA(VLOOKUP($B76,'TICH LUY'!$B$11:$BY$85,70,0)),$B76=""),"",VLOOKUP($B76,'TICH LUY'!$B$11:$BY$85,70,0))</f>
        <v/>
      </c>
      <c r="FL76" s="507" t="str">
        <f>IF(OR(ISNA(VLOOKUP($B76,'TICH LUY'!$B$11:$BY$85,71,0)),$B76=""),"",VLOOKUP($B76,'TICH LUY'!$B$11:$BY$85,71,0))</f>
        <v/>
      </c>
      <c r="FM76" s="507" t="str">
        <f>IF(OR(ISNA(VLOOKUP($B76,'TICH LUY'!$B$11:$BY$85,72,0)),$B76=""),"",VLOOKUP($B76,'TICH LUY'!$B$11:$BY$85,72,0))</f>
        <v/>
      </c>
      <c r="FN76" s="507" t="str">
        <f>IF(OR(ISNA(VLOOKUP($B76,'TICH LUY'!$B$11:$BY$85,73,0)),$B76=""),"",VLOOKUP($B76,'TICH LUY'!$B$11:$BY$85,73,0))</f>
        <v/>
      </c>
      <c r="FO76" s="507" t="str">
        <f>IF(OR(ISNA(VLOOKUP($B76,'TICH LUY'!$B$11:$BY$85,74,0)),$B76=""),"",VLOOKUP($B76,'TICH LUY'!$B$11:$BY$85,74,0))</f>
        <v/>
      </c>
      <c r="FP76" s="507" t="str">
        <f>IF(OR(ISNA(VLOOKUP($B76,'TICH LUY'!$B$11:$BY$85,75,0)),$B76=""),"",VLOOKUP($B76,'TICH LUY'!$B$11:$BY$85,75,0))</f>
        <v/>
      </c>
      <c r="FQ76" s="529" t="str">
        <f>IF(OR(ISNA(VLOOKUP($B76,'TICH LUY'!$B$11:$BY$85,76,0)),$B76=""),"",VLOOKUP($B76,'TICH LUY'!$B$11:$BY$85,76,0))</f>
        <v/>
      </c>
    </row>
    <row r="77" spans="1:202" ht="15.75">
      <c r="B77" s="72"/>
      <c r="C77" s="72"/>
      <c r="D77" s="72"/>
      <c r="E77" s="72"/>
      <c r="F77" s="72"/>
      <c r="G77" s="72"/>
      <c r="H77" s="72"/>
      <c r="I77" s="72"/>
      <c r="J77" s="72"/>
      <c r="K77" s="72"/>
      <c r="L77" s="72"/>
      <c r="M77" s="72"/>
      <c r="N77" s="72"/>
      <c r="O77" s="72"/>
      <c r="P77" s="72"/>
      <c r="Q77" s="72"/>
      <c r="R77" s="72"/>
      <c r="S77" s="72"/>
      <c r="T77" s="72"/>
      <c r="BS77" s="41"/>
      <c r="BT77" s="41"/>
      <c r="CQ77" s="527" t="str">
        <f>IF(OR(ISNA(VLOOKUP($B77,'TICH LUY'!$B$11:$BY$85,54,0)),$B77=""),"",VLOOKUP($B77,'TICH LUY'!$B$11:$BY$85,54,0))</f>
        <v/>
      </c>
      <c r="CR77" s="507" t="str">
        <f>IF(OR(ISNA(VLOOKUP($B77,'TICH LUY'!$B$11:$BY$85,55,0)),$B77=""),"",VLOOKUP($B77,'TICH LUY'!$B$11:$BY$85,55,0))</f>
        <v/>
      </c>
      <c r="CS77" s="507" t="str">
        <f>IF(OR(ISNA(VLOOKUP($B77,'TICH LUY'!$B$11:$BY$85,56,0)),$B77=""),"",VLOOKUP($B77,'TICH LUY'!$B$11:$BY$85,56,0))</f>
        <v/>
      </c>
      <c r="CT77" s="507" t="str">
        <f>IF(OR(ISNA(VLOOKUP($B77,'TICH LUY'!$B$11:$BY$85,57,0)),$B77=""),"",VLOOKUP($B77,'TICH LUY'!$B$11:$BY$85,57,0))</f>
        <v/>
      </c>
      <c r="CU77" s="507" t="str">
        <f>IF(OR(ISNA(VLOOKUP($B77,'TICH LUY'!$B$11:$BY$85,58,0)),$B77=""),"",VLOOKUP($B77,'TICH LUY'!$B$11:$BY$85,58,0))</f>
        <v/>
      </c>
      <c r="CV77" s="507" t="str">
        <f>IF(OR(ISNA(VLOOKUP($B77,'TICH LUY'!$B$11:$BY$85,59,0)),$B77=""),"",VLOOKUP($B77,'TICH LUY'!$B$11:$BY$85,59,0))</f>
        <v/>
      </c>
      <c r="CW77" s="507" t="str">
        <f>IF(OR(ISNA(VLOOKUP($B77,'TICH LUY'!$B$11:$BY$85,60,0)),$B77=""),"",VLOOKUP($B77,'TICH LUY'!$B$11:$BY$85,60,0))</f>
        <v/>
      </c>
      <c r="CX77" s="507" t="str">
        <f>IF(OR(ISNA(VLOOKUP($B77,'TICH LUY'!$B$11:$BY$85,61,0)),$B77=""),"",VLOOKUP($B77,'TICH LUY'!$B$11:$BY$85,61,0))</f>
        <v/>
      </c>
      <c r="CY77" s="507" t="str">
        <f>IF(OR(ISNA(VLOOKUP($B77,'TICH LUY'!$B$11:$BY$85,62,0)),$B77=""),"",VLOOKUP($B77,'TICH LUY'!$B$11:$BY$85,62,0))</f>
        <v/>
      </c>
      <c r="CZ77" s="507" t="str">
        <f>IF(OR(ISNA(VLOOKUP($B77,'TICH LUY'!$B$11:$BY$85,63,0)),$B77=""),"",VLOOKUP($B77,'TICH LUY'!$B$11:$BY$85,63,0))</f>
        <v/>
      </c>
      <c r="DA77" s="507" t="str">
        <f>IF(OR(ISNA(VLOOKUP($B77,'TICH LUY'!$B$11:$BY$85,64,0)),$B77=""),"",VLOOKUP($B77,'TICH LUY'!$B$11:$BY$85,64,0))</f>
        <v/>
      </c>
      <c r="DB77" s="507" t="str">
        <f>IF(OR(ISNA(VLOOKUP($B77,'TICH LUY'!$B$11:$BY$85,65,0)),$B77=""),"",VLOOKUP($B77,'TICH LUY'!$B$11:$BY$85,65,0))</f>
        <v/>
      </c>
      <c r="DC77" s="507" t="str">
        <f>IF(OR(ISNA(VLOOKUP($B77,'TICH LUY'!$B$11:$BY$85,66,0)),$B77=""),"",VLOOKUP($B77,'TICH LUY'!$B$11:$BY$85,66,0))</f>
        <v/>
      </c>
      <c r="DD77" s="507" t="str">
        <f>IF(OR(ISNA(VLOOKUP($B77,'TICH LUY'!$B$11:$BY$85,67,0)),$B77=""),"",VLOOKUP($B77,'TICH LUY'!$B$11:$BY$85,67,0))</f>
        <v/>
      </c>
      <c r="DE77" s="507" t="str">
        <f>IF(OR(ISNA(VLOOKUP($B77,'TICH LUY'!$B$11:$BY$85,68,0)),$B77=""),"",VLOOKUP($B77,'TICH LUY'!$B$11:$BY$85,68,0))</f>
        <v/>
      </c>
      <c r="DF77" s="507" t="str">
        <f>IF(OR(ISNA(VLOOKUP($B77,'TICH LUY'!$B$11:$BY$85,69,0)),$B77=""),"",VLOOKUP($B77,'TICH LUY'!$B$11:$BY$85,69,0))</f>
        <v/>
      </c>
      <c r="DG77" s="507" t="str">
        <f>IF(OR(ISNA(VLOOKUP($B77,'TICH LUY'!$B$11:$BY$85,70,0)),$B77=""),"",VLOOKUP($B77,'TICH LUY'!$B$11:$BY$85,70,0))</f>
        <v/>
      </c>
      <c r="DH77" s="507" t="str">
        <f>IF(OR(ISNA(VLOOKUP($B77,'TICH LUY'!$B$11:$BY$85,71,0)),$B77=""),"",VLOOKUP($B77,'TICH LUY'!$B$11:$BY$85,71,0))</f>
        <v/>
      </c>
      <c r="DI77" s="507" t="str">
        <f>IF(OR(ISNA(VLOOKUP($B77,'TICH LUY'!$B$11:$BY$85,72,0)),$B77=""),"",VLOOKUP($B77,'TICH LUY'!$B$11:$BY$85,72,0))</f>
        <v/>
      </c>
      <c r="DJ77" s="507" t="str">
        <f>IF(OR(ISNA(VLOOKUP($B77,'TICH LUY'!$B$11:$BY$85,73,0)),$B77=""),"",VLOOKUP($B77,'TICH LUY'!$B$11:$BY$85,73,0))</f>
        <v/>
      </c>
      <c r="DK77" s="507" t="str">
        <f>IF(OR(ISNA(VLOOKUP($B77,'TICH LUY'!$B$11:$BY$85,74,0)),$B77=""),"",VLOOKUP($B77,'TICH LUY'!$B$11:$BY$85,74,0))</f>
        <v/>
      </c>
      <c r="DL77" s="507" t="str">
        <f>IF(OR(ISNA(VLOOKUP($B77,'TICH LUY'!$B$11:$BY$85,75,0)),$B77=""),"",VLOOKUP($B77,'TICH LUY'!$B$11:$BY$85,75,0))</f>
        <v/>
      </c>
      <c r="DM77" s="529" t="str">
        <f>IF(OR(ISNA(VLOOKUP($B77,'TICH LUY'!$B$11:$BY$85,76,0)),$B77=""),"",VLOOKUP($B77,'TICH LUY'!$B$11:$BY$85,76,0))</f>
        <v/>
      </c>
      <c r="EU77" s="527" t="str">
        <f>IF(OR(ISNA(VLOOKUP($B77,'TICH LUY'!$B$11:$BY$85,54,0)),$B77=""),"",VLOOKUP($B77,'TICH LUY'!$B$11:$BY$85,54,0))</f>
        <v/>
      </c>
      <c r="EV77" s="507" t="str">
        <f>IF(OR(ISNA(VLOOKUP($B77,'TICH LUY'!$B$11:$BY$85,55,0)),$B77=""),"",VLOOKUP($B77,'TICH LUY'!$B$11:$BY$85,55,0))</f>
        <v/>
      </c>
      <c r="EW77" s="507" t="str">
        <f>IF(OR(ISNA(VLOOKUP($B77,'TICH LUY'!$B$11:$BY$85,56,0)),$B77=""),"",VLOOKUP($B77,'TICH LUY'!$B$11:$BY$85,56,0))</f>
        <v/>
      </c>
      <c r="EX77" s="507" t="str">
        <f>IF(OR(ISNA(VLOOKUP($B77,'TICH LUY'!$B$11:$BY$85,57,0)),$B77=""),"",VLOOKUP($B77,'TICH LUY'!$B$11:$BY$85,57,0))</f>
        <v/>
      </c>
      <c r="EY77" s="507" t="str">
        <f>IF(OR(ISNA(VLOOKUP($B77,'TICH LUY'!$B$11:$BY$85,58,0)),$B77=""),"",VLOOKUP($B77,'TICH LUY'!$B$11:$BY$85,58,0))</f>
        <v/>
      </c>
      <c r="EZ77" s="507" t="str">
        <f>IF(OR(ISNA(VLOOKUP($B77,'TICH LUY'!$B$11:$BY$85,59,0)),$B77=""),"",VLOOKUP($B77,'TICH LUY'!$B$11:$BY$85,59,0))</f>
        <v/>
      </c>
      <c r="FA77" s="507" t="str">
        <f>IF(OR(ISNA(VLOOKUP($B77,'TICH LUY'!$B$11:$BY$85,60,0)),$B77=""),"",VLOOKUP($B77,'TICH LUY'!$B$11:$BY$85,60,0))</f>
        <v/>
      </c>
      <c r="FB77" s="507" t="str">
        <f>IF(OR(ISNA(VLOOKUP($B77,'TICH LUY'!$B$11:$BY$85,61,0)),$B77=""),"",VLOOKUP($B77,'TICH LUY'!$B$11:$BY$85,61,0))</f>
        <v/>
      </c>
      <c r="FC77" s="507" t="str">
        <f>IF(OR(ISNA(VLOOKUP($B77,'TICH LUY'!$B$11:$BY$85,62,0)),$B77=""),"",VLOOKUP($B77,'TICH LUY'!$B$11:$BY$85,62,0))</f>
        <v/>
      </c>
      <c r="FD77" s="507" t="str">
        <f>IF(OR(ISNA(VLOOKUP($B77,'TICH LUY'!$B$11:$BY$85,63,0)),$B77=""),"",VLOOKUP($B77,'TICH LUY'!$B$11:$BY$85,63,0))</f>
        <v/>
      </c>
      <c r="FE77" s="507" t="str">
        <f>IF(OR(ISNA(VLOOKUP($B77,'TICH LUY'!$B$11:$BY$85,64,0)),$B77=""),"",VLOOKUP($B77,'TICH LUY'!$B$11:$BY$85,64,0))</f>
        <v/>
      </c>
      <c r="FF77" s="507" t="str">
        <f>IF(OR(ISNA(VLOOKUP($B77,'TICH LUY'!$B$11:$BY$85,65,0)),$B77=""),"",VLOOKUP($B77,'TICH LUY'!$B$11:$BY$85,65,0))</f>
        <v/>
      </c>
      <c r="FG77" s="507" t="str">
        <f>IF(OR(ISNA(VLOOKUP($B77,'TICH LUY'!$B$11:$BY$85,66,0)),$B77=""),"",VLOOKUP($B77,'TICH LUY'!$B$11:$BY$85,66,0))</f>
        <v/>
      </c>
      <c r="FH77" s="507" t="str">
        <f>IF(OR(ISNA(VLOOKUP($B77,'TICH LUY'!$B$11:$BY$85,67,0)),$B77=""),"",VLOOKUP($B77,'TICH LUY'!$B$11:$BY$85,67,0))</f>
        <v/>
      </c>
      <c r="FI77" s="507" t="str">
        <f>IF(OR(ISNA(VLOOKUP($B77,'TICH LUY'!$B$11:$BY$85,68,0)),$B77=""),"",VLOOKUP($B77,'TICH LUY'!$B$11:$BY$85,68,0))</f>
        <v/>
      </c>
      <c r="FJ77" s="507" t="str">
        <f>IF(OR(ISNA(VLOOKUP($B77,'TICH LUY'!$B$11:$BY$85,69,0)),$B77=""),"",VLOOKUP($B77,'TICH LUY'!$B$11:$BY$85,69,0))</f>
        <v/>
      </c>
      <c r="FK77" s="507" t="str">
        <f>IF(OR(ISNA(VLOOKUP($B77,'TICH LUY'!$B$11:$BY$85,70,0)),$B77=""),"",VLOOKUP($B77,'TICH LUY'!$B$11:$BY$85,70,0))</f>
        <v/>
      </c>
      <c r="FL77" s="507" t="str">
        <f>IF(OR(ISNA(VLOOKUP($B77,'TICH LUY'!$B$11:$BY$85,71,0)),$B77=""),"",VLOOKUP($B77,'TICH LUY'!$B$11:$BY$85,71,0))</f>
        <v/>
      </c>
      <c r="FM77" s="507" t="str">
        <f>IF(OR(ISNA(VLOOKUP($B77,'TICH LUY'!$B$11:$BY$85,72,0)),$B77=""),"",VLOOKUP($B77,'TICH LUY'!$B$11:$BY$85,72,0))</f>
        <v/>
      </c>
      <c r="FN77" s="507" t="str">
        <f>IF(OR(ISNA(VLOOKUP($B77,'TICH LUY'!$B$11:$BY$85,73,0)),$B77=""),"",VLOOKUP($B77,'TICH LUY'!$B$11:$BY$85,73,0))</f>
        <v/>
      </c>
      <c r="FO77" s="507" t="str">
        <f>IF(OR(ISNA(VLOOKUP($B77,'TICH LUY'!$B$11:$BY$85,74,0)),$B77=""),"",VLOOKUP($B77,'TICH LUY'!$B$11:$BY$85,74,0))</f>
        <v/>
      </c>
      <c r="FP77" s="507" t="str">
        <f>IF(OR(ISNA(VLOOKUP($B77,'TICH LUY'!$B$11:$BY$85,75,0)),$B77=""),"",VLOOKUP($B77,'TICH LUY'!$B$11:$BY$85,75,0))</f>
        <v/>
      </c>
      <c r="FQ77" s="529" t="str">
        <f>IF(OR(ISNA(VLOOKUP($B77,'TICH LUY'!$B$11:$BY$85,76,0)),$B77=""),"",VLOOKUP($B77,'TICH LUY'!$B$11:$BY$85,76,0))</f>
        <v/>
      </c>
    </row>
    <row r="78" spans="1:202" s="76" customFormat="1" ht="30.75" customHeight="1">
      <c r="A78" s="737" t="s">
        <v>2642</v>
      </c>
      <c r="B78" s="737"/>
      <c r="C78" s="737"/>
      <c r="D78" s="737"/>
      <c r="E78" s="737"/>
      <c r="F78" s="737"/>
      <c r="G78" s="737"/>
      <c r="H78" s="739" t="str">
        <f>"SL = "&amp;MAX(A11:A75)&amp;" SV"</f>
        <v>SL = 35 SV</v>
      </c>
      <c r="I78" s="739"/>
      <c r="J78" s="740" t="s">
        <v>1501</v>
      </c>
      <c r="K78" s="740"/>
      <c r="L78" s="74"/>
      <c r="M78" s="74"/>
      <c r="N78" s="750" t="s">
        <v>1500</v>
      </c>
      <c r="O78" s="750"/>
      <c r="P78" s="750"/>
      <c r="Q78" s="750"/>
      <c r="R78" s="750"/>
      <c r="S78" s="750"/>
      <c r="T78" s="750"/>
      <c r="U78" s="750"/>
      <c r="V78" s="75"/>
      <c r="W78" s="75"/>
      <c r="Y78" s="140"/>
      <c r="Z78" s="140"/>
      <c r="AA78" s="140"/>
      <c r="AB78" s="750" t="s">
        <v>1500</v>
      </c>
      <c r="AC78" s="750"/>
      <c r="AD78" s="750"/>
      <c r="AE78" s="750"/>
      <c r="AF78" s="750"/>
      <c r="AG78" s="750"/>
      <c r="AH78" s="750"/>
      <c r="AI78" s="750"/>
      <c r="AJ78" s="140"/>
      <c r="AK78" s="140"/>
      <c r="AL78" s="140"/>
      <c r="AM78" s="140"/>
      <c r="AN78" s="140"/>
      <c r="AO78" s="140"/>
      <c r="AP78" s="140"/>
      <c r="AQ78" s="140"/>
      <c r="AS78" s="140"/>
      <c r="AT78" s="140"/>
      <c r="AU78" s="140"/>
      <c r="AW78" s="140"/>
      <c r="AX78" s="140"/>
      <c r="AY78" s="140"/>
      <c r="AZ78" s="750" t="s">
        <v>1500</v>
      </c>
      <c r="BA78" s="750"/>
      <c r="BB78" s="750"/>
      <c r="BC78" s="750"/>
      <c r="BD78" s="750"/>
      <c r="BE78" s="750"/>
      <c r="BF78" s="750"/>
      <c r="BG78" s="750"/>
      <c r="BH78" s="750"/>
      <c r="BI78" s="750"/>
      <c r="BJ78" s="750"/>
      <c r="BK78" s="750"/>
      <c r="BL78" s="750"/>
      <c r="BM78" s="750"/>
      <c r="BN78" s="140"/>
      <c r="BO78" s="140"/>
      <c r="BP78" s="140"/>
      <c r="BQ78" s="140"/>
      <c r="BR78" s="75"/>
      <c r="BS78" s="75"/>
      <c r="BT78" s="75"/>
      <c r="BU78" s="75"/>
      <c r="BV78" s="75"/>
      <c r="BW78" s="75"/>
      <c r="BX78" s="75"/>
      <c r="BY78" s="75"/>
      <c r="BZ78" s="75"/>
      <c r="CA78" s="75"/>
      <c r="CB78" s="75"/>
      <c r="CC78" s="75"/>
      <c r="CD78" s="75"/>
      <c r="CQ78" s="527" t="str">
        <f>IF(OR(ISNA(VLOOKUP($B78,'TICH LUY'!$B$11:$BY$85,54,0)),$B78=""),"",VLOOKUP($B78,'TICH LUY'!$B$11:$BY$85,54,0))</f>
        <v/>
      </c>
      <c r="CR78" s="507" t="str">
        <f>IF(OR(ISNA(VLOOKUP($B78,'TICH LUY'!$B$11:$BY$85,55,0)),$B78=""),"",VLOOKUP($B78,'TICH LUY'!$B$11:$BY$85,55,0))</f>
        <v/>
      </c>
      <c r="CS78" s="507" t="str">
        <f>IF(OR(ISNA(VLOOKUP($B78,'TICH LUY'!$B$11:$BY$85,56,0)),$B78=""),"",VLOOKUP($B78,'TICH LUY'!$B$11:$BY$85,56,0))</f>
        <v/>
      </c>
      <c r="CT78" s="507" t="str">
        <f>IF(OR(ISNA(VLOOKUP($B78,'TICH LUY'!$B$11:$BY$85,57,0)),$B78=""),"",VLOOKUP($B78,'TICH LUY'!$B$11:$BY$85,57,0))</f>
        <v/>
      </c>
      <c r="CU78" s="507" t="str">
        <f>IF(OR(ISNA(VLOOKUP($B78,'TICH LUY'!$B$11:$BY$85,58,0)),$B78=""),"",VLOOKUP($B78,'TICH LUY'!$B$11:$BY$85,58,0))</f>
        <v/>
      </c>
      <c r="CV78" s="507" t="str">
        <f>IF(OR(ISNA(VLOOKUP($B78,'TICH LUY'!$B$11:$BY$85,59,0)),$B78=""),"",VLOOKUP($B78,'TICH LUY'!$B$11:$BY$85,59,0))</f>
        <v/>
      </c>
      <c r="CW78" s="507" t="str">
        <f>IF(OR(ISNA(VLOOKUP($B78,'TICH LUY'!$B$11:$BY$85,60,0)),$B78=""),"",VLOOKUP($B78,'TICH LUY'!$B$11:$BY$85,60,0))</f>
        <v/>
      </c>
      <c r="CX78" s="507" t="str">
        <f>IF(OR(ISNA(VLOOKUP($B78,'TICH LUY'!$B$11:$BY$85,61,0)),$B78=""),"",VLOOKUP($B78,'TICH LUY'!$B$11:$BY$85,61,0))</f>
        <v/>
      </c>
      <c r="CY78" s="507" t="str">
        <f>IF(OR(ISNA(VLOOKUP($B78,'TICH LUY'!$B$11:$BY$85,62,0)),$B78=""),"",VLOOKUP($B78,'TICH LUY'!$B$11:$BY$85,62,0))</f>
        <v/>
      </c>
      <c r="CZ78" s="507" t="str">
        <f>IF(OR(ISNA(VLOOKUP($B78,'TICH LUY'!$B$11:$BY$85,63,0)),$B78=""),"",VLOOKUP($B78,'TICH LUY'!$B$11:$BY$85,63,0))</f>
        <v/>
      </c>
      <c r="DA78" s="507" t="str">
        <f>IF(OR(ISNA(VLOOKUP($B78,'TICH LUY'!$B$11:$BY$85,64,0)),$B78=""),"",VLOOKUP($B78,'TICH LUY'!$B$11:$BY$85,64,0))</f>
        <v/>
      </c>
      <c r="DB78" s="507" t="str">
        <f>IF(OR(ISNA(VLOOKUP($B78,'TICH LUY'!$B$11:$BY$85,65,0)),$B78=""),"",VLOOKUP($B78,'TICH LUY'!$B$11:$BY$85,65,0))</f>
        <v/>
      </c>
      <c r="DC78" s="507" t="str">
        <f>IF(OR(ISNA(VLOOKUP($B78,'TICH LUY'!$B$11:$BY$85,66,0)),$B78=""),"",VLOOKUP($B78,'TICH LUY'!$B$11:$BY$85,66,0))</f>
        <v/>
      </c>
      <c r="DD78" s="507" t="str">
        <f>IF(OR(ISNA(VLOOKUP($B78,'TICH LUY'!$B$11:$BY$85,67,0)),$B78=""),"",VLOOKUP($B78,'TICH LUY'!$B$11:$BY$85,67,0))</f>
        <v/>
      </c>
      <c r="DE78" s="507" t="str">
        <f>IF(OR(ISNA(VLOOKUP($B78,'TICH LUY'!$B$11:$BY$85,68,0)),$B78=""),"",VLOOKUP($B78,'TICH LUY'!$B$11:$BY$85,68,0))</f>
        <v/>
      </c>
      <c r="DF78" s="507" t="str">
        <f>IF(OR(ISNA(VLOOKUP($B78,'TICH LUY'!$B$11:$BY$85,69,0)),$B78=""),"",VLOOKUP($B78,'TICH LUY'!$B$11:$BY$85,69,0))</f>
        <v/>
      </c>
      <c r="DG78" s="507" t="str">
        <f>IF(OR(ISNA(VLOOKUP($B78,'TICH LUY'!$B$11:$BY$85,70,0)),$B78=""),"",VLOOKUP($B78,'TICH LUY'!$B$11:$BY$85,70,0))</f>
        <v/>
      </c>
      <c r="DH78" s="507" t="str">
        <f>IF(OR(ISNA(VLOOKUP($B78,'TICH LUY'!$B$11:$BY$85,71,0)),$B78=""),"",VLOOKUP($B78,'TICH LUY'!$B$11:$BY$85,71,0))</f>
        <v/>
      </c>
      <c r="DI78" s="507" t="str">
        <f>IF(OR(ISNA(VLOOKUP($B78,'TICH LUY'!$B$11:$BY$85,72,0)),$B78=""),"",VLOOKUP($B78,'TICH LUY'!$B$11:$BY$85,72,0))</f>
        <v/>
      </c>
      <c r="DJ78" s="507" t="str">
        <f>IF(OR(ISNA(VLOOKUP($B78,'TICH LUY'!$B$11:$BY$85,73,0)),$B78=""),"",VLOOKUP($B78,'TICH LUY'!$B$11:$BY$85,73,0))</f>
        <v/>
      </c>
      <c r="DK78" s="507" t="str">
        <f>IF(OR(ISNA(VLOOKUP($B78,'TICH LUY'!$B$11:$BY$85,74,0)),$B78=""),"",VLOOKUP($B78,'TICH LUY'!$B$11:$BY$85,74,0))</f>
        <v/>
      </c>
      <c r="DL78" s="507" t="str">
        <f>IF(OR(ISNA(VLOOKUP($B78,'TICH LUY'!$B$11:$BY$85,75,0)),$B78=""),"",VLOOKUP($B78,'TICH LUY'!$B$11:$BY$85,75,0))</f>
        <v/>
      </c>
      <c r="DM78" s="529" t="str">
        <f>IF(OR(ISNA(VLOOKUP($B78,'TICH LUY'!$B$11:$BY$85,76,0)),$B78=""),"",VLOOKUP($B78,'TICH LUY'!$B$11:$BY$85,76,0))</f>
        <v/>
      </c>
      <c r="DN78" s="41"/>
      <c r="DO78" s="41"/>
      <c r="DP78" s="41"/>
      <c r="DQ78" s="41"/>
      <c r="DR78" s="41"/>
      <c r="DS78" s="41"/>
      <c r="DT78" s="41"/>
      <c r="DU78" s="41"/>
      <c r="DV78" s="41"/>
      <c r="DW78" s="41"/>
      <c r="DX78" s="41"/>
      <c r="DY78" s="41"/>
      <c r="EU78" s="527" t="str">
        <f>IF(OR(ISNA(VLOOKUP($B78,'TICH LUY'!$B$11:$BY$85,54,0)),$B78=""),"",VLOOKUP($B78,'TICH LUY'!$B$11:$BY$85,54,0))</f>
        <v/>
      </c>
      <c r="EV78" s="507" t="str">
        <f>IF(OR(ISNA(VLOOKUP($B78,'TICH LUY'!$B$11:$BY$85,55,0)),$B78=""),"",VLOOKUP($B78,'TICH LUY'!$B$11:$BY$85,55,0))</f>
        <v/>
      </c>
      <c r="EW78" s="507" t="str">
        <f>IF(OR(ISNA(VLOOKUP($B78,'TICH LUY'!$B$11:$BY$85,56,0)),$B78=""),"",VLOOKUP($B78,'TICH LUY'!$B$11:$BY$85,56,0))</f>
        <v/>
      </c>
      <c r="EX78" s="507" t="str">
        <f>IF(OR(ISNA(VLOOKUP($B78,'TICH LUY'!$B$11:$BY$85,57,0)),$B78=""),"",VLOOKUP($B78,'TICH LUY'!$B$11:$BY$85,57,0))</f>
        <v/>
      </c>
      <c r="EY78" s="507" t="str">
        <f>IF(OR(ISNA(VLOOKUP($B78,'TICH LUY'!$B$11:$BY$85,58,0)),$B78=""),"",VLOOKUP($B78,'TICH LUY'!$B$11:$BY$85,58,0))</f>
        <v/>
      </c>
      <c r="EZ78" s="507" t="str">
        <f>IF(OR(ISNA(VLOOKUP($B78,'TICH LUY'!$B$11:$BY$85,59,0)),$B78=""),"",VLOOKUP($B78,'TICH LUY'!$B$11:$BY$85,59,0))</f>
        <v/>
      </c>
      <c r="FA78" s="507" t="str">
        <f>IF(OR(ISNA(VLOOKUP($B78,'TICH LUY'!$B$11:$BY$85,60,0)),$B78=""),"",VLOOKUP($B78,'TICH LUY'!$B$11:$BY$85,60,0))</f>
        <v/>
      </c>
      <c r="FB78" s="507" t="str">
        <f>IF(OR(ISNA(VLOOKUP($B78,'TICH LUY'!$B$11:$BY$85,61,0)),$B78=""),"",VLOOKUP($B78,'TICH LUY'!$B$11:$BY$85,61,0))</f>
        <v/>
      </c>
      <c r="FC78" s="507" t="str">
        <f>IF(OR(ISNA(VLOOKUP($B78,'TICH LUY'!$B$11:$BY$85,62,0)),$B78=""),"",VLOOKUP($B78,'TICH LUY'!$B$11:$BY$85,62,0))</f>
        <v/>
      </c>
      <c r="FD78" s="507" t="str">
        <f>IF(OR(ISNA(VLOOKUP($B78,'TICH LUY'!$B$11:$BY$85,63,0)),$B78=""),"",VLOOKUP($B78,'TICH LUY'!$B$11:$BY$85,63,0))</f>
        <v/>
      </c>
      <c r="FE78" s="507" t="str">
        <f>IF(OR(ISNA(VLOOKUP($B78,'TICH LUY'!$B$11:$BY$85,64,0)),$B78=""),"",VLOOKUP($B78,'TICH LUY'!$B$11:$BY$85,64,0))</f>
        <v/>
      </c>
      <c r="FF78" s="507" t="str">
        <f>IF(OR(ISNA(VLOOKUP($B78,'TICH LUY'!$B$11:$BY$85,65,0)),$B78=""),"",VLOOKUP($B78,'TICH LUY'!$B$11:$BY$85,65,0))</f>
        <v/>
      </c>
      <c r="FG78" s="507" t="str">
        <f>IF(OR(ISNA(VLOOKUP($B78,'TICH LUY'!$B$11:$BY$85,66,0)),$B78=""),"",VLOOKUP($B78,'TICH LUY'!$B$11:$BY$85,66,0))</f>
        <v/>
      </c>
      <c r="FH78" s="507" t="str">
        <f>IF(OR(ISNA(VLOOKUP($B78,'TICH LUY'!$B$11:$BY$85,67,0)),$B78=""),"",VLOOKUP($B78,'TICH LUY'!$B$11:$BY$85,67,0))</f>
        <v/>
      </c>
      <c r="FI78" s="507" t="str">
        <f>IF(OR(ISNA(VLOOKUP($B78,'TICH LUY'!$B$11:$BY$85,68,0)),$B78=""),"",VLOOKUP($B78,'TICH LUY'!$B$11:$BY$85,68,0))</f>
        <v/>
      </c>
      <c r="FJ78" s="507" t="str">
        <f>IF(OR(ISNA(VLOOKUP($B78,'TICH LUY'!$B$11:$BY$85,69,0)),$B78=""),"",VLOOKUP($B78,'TICH LUY'!$B$11:$BY$85,69,0))</f>
        <v/>
      </c>
      <c r="FK78" s="507" t="str">
        <f>IF(OR(ISNA(VLOOKUP($B78,'TICH LUY'!$B$11:$BY$85,70,0)),$B78=""),"",VLOOKUP($B78,'TICH LUY'!$B$11:$BY$85,70,0))</f>
        <v/>
      </c>
      <c r="FL78" s="507" t="str">
        <f>IF(OR(ISNA(VLOOKUP($B78,'TICH LUY'!$B$11:$BY$85,71,0)),$B78=""),"",VLOOKUP($B78,'TICH LUY'!$B$11:$BY$85,71,0))</f>
        <v/>
      </c>
      <c r="FM78" s="507" t="str">
        <f>IF(OR(ISNA(VLOOKUP($B78,'TICH LUY'!$B$11:$BY$85,72,0)),$B78=""),"",VLOOKUP($B78,'TICH LUY'!$B$11:$BY$85,72,0))</f>
        <v/>
      </c>
      <c r="FN78" s="507" t="str">
        <f>IF(OR(ISNA(VLOOKUP($B78,'TICH LUY'!$B$11:$BY$85,73,0)),$B78=""),"",VLOOKUP($B78,'TICH LUY'!$B$11:$BY$85,73,0))</f>
        <v/>
      </c>
      <c r="FO78" s="507" t="str">
        <f>IF(OR(ISNA(VLOOKUP($B78,'TICH LUY'!$B$11:$BY$85,74,0)),$B78=""),"",VLOOKUP($B78,'TICH LUY'!$B$11:$BY$85,74,0))</f>
        <v/>
      </c>
      <c r="FP78" s="507" t="str">
        <f>IF(OR(ISNA(VLOOKUP($B78,'TICH LUY'!$B$11:$BY$85,75,0)),$B78=""),"",VLOOKUP($B78,'TICH LUY'!$B$11:$BY$85,75,0))</f>
        <v/>
      </c>
      <c r="FQ78" s="529" t="str">
        <f>IF(OR(ISNA(VLOOKUP($B78,'TICH LUY'!$B$11:$BY$85,76,0)),$B78=""),"",VLOOKUP($B78,'TICH LUY'!$B$11:$BY$85,76,0))</f>
        <v/>
      </c>
      <c r="FR78" s="41"/>
      <c r="FS78" s="41"/>
      <c r="FT78" s="41"/>
      <c r="FU78" s="41"/>
      <c r="FV78" s="41"/>
      <c r="FW78" s="41"/>
      <c r="FX78" s="41"/>
      <c r="FY78" s="41"/>
      <c r="FZ78" s="41"/>
      <c r="GA78" s="261"/>
      <c r="GB78" s="261"/>
      <c r="GC78" s="41"/>
      <c r="GM78" s="41"/>
      <c r="GN78" s="41"/>
      <c r="GO78" s="41"/>
      <c r="GP78" s="41"/>
      <c r="GQ78" s="41"/>
      <c r="GR78" s="41"/>
      <c r="GS78" s="41"/>
      <c r="GT78" s="41"/>
    </row>
    <row r="79" spans="1:202" s="76" customFormat="1" ht="15" customHeight="1">
      <c r="A79" s="733" t="str">
        <f>"Loại Xuất sắc"</f>
        <v>Loại Xuất sắc</v>
      </c>
      <c r="B79" s="733"/>
      <c r="C79" s="733"/>
      <c r="D79" s="733" t="str">
        <f>"TBC HK từ 9,00 đến 10"</f>
        <v>TBC HK từ 9,00 đến 10</v>
      </c>
      <c r="E79" s="733"/>
      <c r="F79" s="733"/>
      <c r="G79" s="733"/>
      <c r="H79" s="739" t="str">
        <f>COUNTIF(AZ11:AZ75,"&gt;=9")&amp;"/"&amp;MAX($A$11:$A$75)</f>
        <v>0/35</v>
      </c>
      <c r="I79" s="739"/>
      <c r="J79" s="738" t="str">
        <f>IF(B11="","",ROUND(100*(COUNTIF(AZ11:AZ75,"&gt;=9"))/MAX($A$11:$A$75),2)&amp;" %")</f>
        <v>0 %</v>
      </c>
      <c r="K79" s="738"/>
      <c r="L79" s="77"/>
      <c r="M79" s="73"/>
      <c r="N79" s="740" t="s">
        <v>106</v>
      </c>
      <c r="O79" s="740"/>
      <c r="P79" s="740"/>
      <c r="Q79" s="740"/>
      <c r="R79" s="740"/>
      <c r="S79" s="740"/>
      <c r="T79" s="740"/>
      <c r="U79" s="740"/>
      <c r="V79" s="77"/>
      <c r="W79" s="77"/>
      <c r="Y79" s="77"/>
      <c r="Z79" s="77"/>
      <c r="AA79" s="77"/>
      <c r="AB79" s="740" t="s">
        <v>1427</v>
      </c>
      <c r="AC79" s="740"/>
      <c r="AD79" s="740"/>
      <c r="AE79" s="740"/>
      <c r="AF79" s="740"/>
      <c r="AG79" s="740"/>
      <c r="AH79" s="740"/>
      <c r="AI79" s="740"/>
      <c r="AJ79" s="77"/>
      <c r="AK79" s="77"/>
      <c r="AL79" s="77"/>
      <c r="AM79" s="77"/>
      <c r="AN79" s="77"/>
      <c r="AO79" s="77"/>
      <c r="AP79" s="77"/>
      <c r="AQ79" s="77"/>
      <c r="AS79" s="77"/>
      <c r="AT79" s="77"/>
      <c r="AU79" s="77"/>
      <c r="AW79" s="77"/>
      <c r="AX79" s="77"/>
      <c r="AY79" s="77"/>
      <c r="AZ79" s="740" t="s">
        <v>1590</v>
      </c>
      <c r="BA79" s="740"/>
      <c r="BB79" s="740"/>
      <c r="BC79" s="740"/>
      <c r="BD79" s="740"/>
      <c r="BE79" s="740"/>
      <c r="BF79" s="740"/>
      <c r="BG79" s="740"/>
      <c r="BH79" s="740"/>
      <c r="BI79" s="740"/>
      <c r="BJ79" s="740"/>
      <c r="BK79" s="740"/>
      <c r="BL79" s="740"/>
      <c r="BM79" s="740"/>
      <c r="BN79" s="77"/>
      <c r="BO79" s="77"/>
      <c r="BP79" s="77"/>
      <c r="BQ79" s="77"/>
      <c r="BR79" s="77"/>
      <c r="BS79" s="77"/>
      <c r="BT79" s="77"/>
      <c r="BU79" s="77"/>
      <c r="BV79" s="77"/>
      <c r="BW79" s="77"/>
      <c r="BX79" s="77"/>
      <c r="BY79" s="77"/>
      <c r="BZ79" s="77"/>
      <c r="CA79" s="77"/>
      <c r="CB79" s="77"/>
      <c r="CC79" s="77"/>
      <c r="CD79" s="77"/>
      <c r="CQ79" s="527" t="str">
        <f>IF(OR(ISNA(VLOOKUP($B79,'TICH LUY'!$B$11:$BY$85,54,0)),$B79=""),"",VLOOKUP($B79,'TICH LUY'!$B$11:$BY$85,54,0))</f>
        <v/>
      </c>
      <c r="CR79" s="507" t="str">
        <f>IF(OR(ISNA(VLOOKUP($B79,'TICH LUY'!$B$11:$BY$85,55,0)),$B79=""),"",VLOOKUP($B79,'TICH LUY'!$B$11:$BY$85,55,0))</f>
        <v/>
      </c>
      <c r="CS79" s="507" t="str">
        <f>IF(OR(ISNA(VLOOKUP($B79,'TICH LUY'!$B$11:$BY$85,56,0)),$B79=""),"",VLOOKUP($B79,'TICH LUY'!$B$11:$BY$85,56,0))</f>
        <v/>
      </c>
      <c r="CT79" s="507" t="str">
        <f>IF(OR(ISNA(VLOOKUP($B79,'TICH LUY'!$B$11:$BY$85,57,0)),$B79=""),"",VLOOKUP($B79,'TICH LUY'!$B$11:$BY$85,57,0))</f>
        <v/>
      </c>
      <c r="CU79" s="507" t="str">
        <f>IF(OR(ISNA(VLOOKUP($B79,'TICH LUY'!$B$11:$BY$85,58,0)),$B79=""),"",VLOOKUP($B79,'TICH LUY'!$B$11:$BY$85,58,0))</f>
        <v/>
      </c>
      <c r="CV79" s="507" t="str">
        <f>IF(OR(ISNA(VLOOKUP($B79,'TICH LUY'!$B$11:$BY$85,59,0)),$B79=""),"",VLOOKUP($B79,'TICH LUY'!$B$11:$BY$85,59,0))</f>
        <v/>
      </c>
      <c r="CW79" s="507" t="str">
        <f>IF(OR(ISNA(VLOOKUP($B79,'TICH LUY'!$B$11:$BY$85,60,0)),$B79=""),"",VLOOKUP($B79,'TICH LUY'!$B$11:$BY$85,60,0))</f>
        <v/>
      </c>
      <c r="CX79" s="507" t="str">
        <f>IF(OR(ISNA(VLOOKUP($B79,'TICH LUY'!$B$11:$BY$85,61,0)),$B79=""),"",VLOOKUP($B79,'TICH LUY'!$B$11:$BY$85,61,0))</f>
        <v/>
      </c>
      <c r="CY79" s="507" t="str">
        <f>IF(OR(ISNA(VLOOKUP($B79,'TICH LUY'!$B$11:$BY$85,62,0)),$B79=""),"",VLOOKUP($B79,'TICH LUY'!$B$11:$BY$85,62,0))</f>
        <v/>
      </c>
      <c r="CZ79" s="507" t="str">
        <f>IF(OR(ISNA(VLOOKUP($B79,'TICH LUY'!$B$11:$BY$85,63,0)),$B79=""),"",VLOOKUP($B79,'TICH LUY'!$B$11:$BY$85,63,0))</f>
        <v/>
      </c>
      <c r="DA79" s="507" t="str">
        <f>IF(OR(ISNA(VLOOKUP($B79,'TICH LUY'!$B$11:$BY$85,64,0)),$B79=""),"",VLOOKUP($B79,'TICH LUY'!$B$11:$BY$85,64,0))</f>
        <v/>
      </c>
      <c r="DB79" s="507" t="str">
        <f>IF(OR(ISNA(VLOOKUP($B79,'TICH LUY'!$B$11:$BY$85,65,0)),$B79=""),"",VLOOKUP($B79,'TICH LUY'!$B$11:$BY$85,65,0))</f>
        <v/>
      </c>
      <c r="DC79" s="507" t="str">
        <f>IF(OR(ISNA(VLOOKUP($B79,'TICH LUY'!$B$11:$BY$85,66,0)),$B79=""),"",VLOOKUP($B79,'TICH LUY'!$B$11:$BY$85,66,0))</f>
        <v/>
      </c>
      <c r="DD79" s="507" t="str">
        <f>IF(OR(ISNA(VLOOKUP($B79,'TICH LUY'!$B$11:$BY$85,67,0)),$B79=""),"",VLOOKUP($B79,'TICH LUY'!$B$11:$BY$85,67,0))</f>
        <v/>
      </c>
      <c r="DE79" s="507" t="str">
        <f>IF(OR(ISNA(VLOOKUP($B79,'TICH LUY'!$B$11:$BY$85,68,0)),$B79=""),"",VLOOKUP($B79,'TICH LUY'!$B$11:$BY$85,68,0))</f>
        <v/>
      </c>
      <c r="DF79" s="507" t="str">
        <f>IF(OR(ISNA(VLOOKUP($B79,'TICH LUY'!$B$11:$BY$85,69,0)),$B79=""),"",VLOOKUP($B79,'TICH LUY'!$B$11:$BY$85,69,0))</f>
        <v/>
      </c>
      <c r="DG79" s="507" t="str">
        <f>IF(OR(ISNA(VLOOKUP($B79,'TICH LUY'!$B$11:$BY$85,70,0)),$B79=""),"",VLOOKUP($B79,'TICH LUY'!$B$11:$BY$85,70,0))</f>
        <v/>
      </c>
      <c r="DH79" s="507" t="str">
        <f>IF(OR(ISNA(VLOOKUP($B79,'TICH LUY'!$B$11:$BY$85,71,0)),$B79=""),"",VLOOKUP($B79,'TICH LUY'!$B$11:$BY$85,71,0))</f>
        <v/>
      </c>
      <c r="DI79" s="507" t="str">
        <f>IF(OR(ISNA(VLOOKUP($B79,'TICH LUY'!$B$11:$BY$85,72,0)),$B79=""),"",VLOOKUP($B79,'TICH LUY'!$B$11:$BY$85,72,0))</f>
        <v/>
      </c>
      <c r="DJ79" s="507" t="str">
        <f>IF(OR(ISNA(VLOOKUP($B79,'TICH LUY'!$B$11:$BY$85,73,0)),$B79=""),"",VLOOKUP($B79,'TICH LUY'!$B$11:$BY$85,73,0))</f>
        <v/>
      </c>
      <c r="DK79" s="507" t="str">
        <f>IF(OR(ISNA(VLOOKUP($B79,'TICH LUY'!$B$11:$BY$85,74,0)),$B79=""),"",VLOOKUP($B79,'TICH LUY'!$B$11:$BY$85,74,0))</f>
        <v/>
      </c>
      <c r="DL79" s="507" t="str">
        <f>IF(OR(ISNA(VLOOKUP($B79,'TICH LUY'!$B$11:$BY$85,75,0)),$B79=""),"",VLOOKUP($B79,'TICH LUY'!$B$11:$BY$85,75,0))</f>
        <v/>
      </c>
      <c r="DM79" s="529" t="str">
        <f>IF(OR(ISNA(VLOOKUP($B79,'TICH LUY'!$B$11:$BY$85,76,0)),$B79=""),"",VLOOKUP($B79,'TICH LUY'!$B$11:$BY$85,76,0))</f>
        <v/>
      </c>
      <c r="DN79" s="41"/>
      <c r="DO79" s="41"/>
      <c r="DP79" s="41"/>
      <c r="DQ79" s="41"/>
      <c r="DR79" s="41"/>
      <c r="DS79" s="41"/>
      <c r="DT79" s="41"/>
      <c r="DU79" s="41"/>
      <c r="DV79" s="41"/>
      <c r="DW79" s="41"/>
      <c r="DX79" s="41"/>
      <c r="DY79" s="41"/>
      <c r="EU79" s="527" t="str">
        <f>IF(OR(ISNA(VLOOKUP($B79,'TICH LUY'!$B$11:$BY$85,54,0)),$B79=""),"",VLOOKUP($B79,'TICH LUY'!$B$11:$BY$85,54,0))</f>
        <v/>
      </c>
      <c r="EV79" s="507" t="str">
        <f>IF(OR(ISNA(VLOOKUP($B79,'TICH LUY'!$B$11:$BY$85,55,0)),$B79=""),"",VLOOKUP($B79,'TICH LUY'!$B$11:$BY$85,55,0))</f>
        <v/>
      </c>
      <c r="EW79" s="507" t="str">
        <f>IF(OR(ISNA(VLOOKUP($B79,'TICH LUY'!$B$11:$BY$85,56,0)),$B79=""),"",VLOOKUP($B79,'TICH LUY'!$B$11:$BY$85,56,0))</f>
        <v/>
      </c>
      <c r="EX79" s="507" t="str">
        <f>IF(OR(ISNA(VLOOKUP($B79,'TICH LUY'!$B$11:$BY$85,57,0)),$B79=""),"",VLOOKUP($B79,'TICH LUY'!$B$11:$BY$85,57,0))</f>
        <v/>
      </c>
      <c r="EY79" s="507" t="str">
        <f>IF(OR(ISNA(VLOOKUP($B79,'TICH LUY'!$B$11:$BY$85,58,0)),$B79=""),"",VLOOKUP($B79,'TICH LUY'!$B$11:$BY$85,58,0))</f>
        <v/>
      </c>
      <c r="EZ79" s="507" t="str">
        <f>IF(OR(ISNA(VLOOKUP($B79,'TICH LUY'!$B$11:$BY$85,59,0)),$B79=""),"",VLOOKUP($B79,'TICH LUY'!$B$11:$BY$85,59,0))</f>
        <v/>
      </c>
      <c r="FA79" s="507" t="str">
        <f>IF(OR(ISNA(VLOOKUP($B79,'TICH LUY'!$B$11:$BY$85,60,0)),$B79=""),"",VLOOKUP($B79,'TICH LUY'!$B$11:$BY$85,60,0))</f>
        <v/>
      </c>
      <c r="FB79" s="507" t="str">
        <f>IF(OR(ISNA(VLOOKUP($B79,'TICH LUY'!$B$11:$BY$85,61,0)),$B79=""),"",VLOOKUP($B79,'TICH LUY'!$B$11:$BY$85,61,0))</f>
        <v/>
      </c>
      <c r="FC79" s="507" t="str">
        <f>IF(OR(ISNA(VLOOKUP($B79,'TICH LUY'!$B$11:$BY$85,62,0)),$B79=""),"",VLOOKUP($B79,'TICH LUY'!$B$11:$BY$85,62,0))</f>
        <v/>
      </c>
      <c r="FD79" s="507" t="str">
        <f>IF(OR(ISNA(VLOOKUP($B79,'TICH LUY'!$B$11:$BY$85,63,0)),$B79=""),"",VLOOKUP($B79,'TICH LUY'!$B$11:$BY$85,63,0))</f>
        <v/>
      </c>
      <c r="FE79" s="507" t="str">
        <f>IF(OR(ISNA(VLOOKUP($B79,'TICH LUY'!$B$11:$BY$85,64,0)),$B79=""),"",VLOOKUP($B79,'TICH LUY'!$B$11:$BY$85,64,0))</f>
        <v/>
      </c>
      <c r="FF79" s="507" t="str">
        <f>IF(OR(ISNA(VLOOKUP($B79,'TICH LUY'!$B$11:$BY$85,65,0)),$B79=""),"",VLOOKUP($B79,'TICH LUY'!$B$11:$BY$85,65,0))</f>
        <v/>
      </c>
      <c r="FG79" s="507" t="str">
        <f>IF(OR(ISNA(VLOOKUP($B79,'TICH LUY'!$B$11:$BY$85,66,0)),$B79=""),"",VLOOKUP($B79,'TICH LUY'!$B$11:$BY$85,66,0))</f>
        <v/>
      </c>
      <c r="FH79" s="507" t="str">
        <f>IF(OR(ISNA(VLOOKUP($B79,'TICH LUY'!$B$11:$BY$85,67,0)),$B79=""),"",VLOOKUP($B79,'TICH LUY'!$B$11:$BY$85,67,0))</f>
        <v/>
      </c>
      <c r="FI79" s="507" t="str">
        <f>IF(OR(ISNA(VLOOKUP($B79,'TICH LUY'!$B$11:$BY$85,68,0)),$B79=""),"",VLOOKUP($B79,'TICH LUY'!$B$11:$BY$85,68,0))</f>
        <v/>
      </c>
      <c r="FJ79" s="507" t="str">
        <f>IF(OR(ISNA(VLOOKUP($B79,'TICH LUY'!$B$11:$BY$85,69,0)),$B79=""),"",VLOOKUP($B79,'TICH LUY'!$B$11:$BY$85,69,0))</f>
        <v/>
      </c>
      <c r="FK79" s="507" t="str">
        <f>IF(OR(ISNA(VLOOKUP($B79,'TICH LUY'!$B$11:$BY$85,70,0)),$B79=""),"",VLOOKUP($B79,'TICH LUY'!$B$11:$BY$85,70,0))</f>
        <v/>
      </c>
      <c r="FL79" s="507" t="str">
        <f>IF(OR(ISNA(VLOOKUP($B79,'TICH LUY'!$B$11:$BY$85,71,0)),$B79=""),"",VLOOKUP($B79,'TICH LUY'!$B$11:$BY$85,71,0))</f>
        <v/>
      </c>
      <c r="FM79" s="507" t="str">
        <f>IF(OR(ISNA(VLOOKUP($B79,'TICH LUY'!$B$11:$BY$85,72,0)),$B79=""),"",VLOOKUP($B79,'TICH LUY'!$B$11:$BY$85,72,0))</f>
        <v/>
      </c>
      <c r="FN79" s="507" t="str">
        <f>IF(OR(ISNA(VLOOKUP($B79,'TICH LUY'!$B$11:$BY$85,73,0)),$B79=""),"",VLOOKUP($B79,'TICH LUY'!$B$11:$BY$85,73,0))</f>
        <v/>
      </c>
      <c r="FO79" s="507" t="str">
        <f>IF(OR(ISNA(VLOOKUP($B79,'TICH LUY'!$B$11:$BY$85,74,0)),$B79=""),"",VLOOKUP($B79,'TICH LUY'!$B$11:$BY$85,74,0))</f>
        <v/>
      </c>
      <c r="FP79" s="507" t="str">
        <f>IF(OR(ISNA(VLOOKUP($B79,'TICH LUY'!$B$11:$BY$85,75,0)),$B79=""),"",VLOOKUP($B79,'TICH LUY'!$B$11:$BY$85,75,0))</f>
        <v/>
      </c>
      <c r="FQ79" s="529" t="str">
        <f>IF(OR(ISNA(VLOOKUP($B79,'TICH LUY'!$B$11:$BY$85,76,0)),$B79=""),"",VLOOKUP($B79,'TICH LUY'!$B$11:$BY$85,76,0))</f>
        <v/>
      </c>
      <c r="FR79" s="41"/>
      <c r="FS79" s="41"/>
      <c r="FT79" s="41"/>
      <c r="FU79" s="41"/>
      <c r="FV79" s="41"/>
      <c r="FW79" s="41"/>
      <c r="FX79" s="41"/>
      <c r="FY79" s="41"/>
      <c r="FZ79" s="41"/>
      <c r="GA79" s="261"/>
      <c r="GB79" s="261"/>
      <c r="GC79" s="41"/>
      <c r="GM79" s="41"/>
      <c r="GN79" s="41"/>
      <c r="GO79" s="41"/>
      <c r="GP79" s="41"/>
      <c r="GQ79" s="41"/>
      <c r="GR79" s="41"/>
      <c r="GS79" s="41"/>
      <c r="GT79" s="41"/>
    </row>
    <row r="80" spans="1:202" s="76" customFormat="1" ht="15" customHeight="1">
      <c r="A80" s="733" t="str">
        <f>"Loại Giỏi"</f>
        <v>Loại Giỏi</v>
      </c>
      <c r="B80" s="733"/>
      <c r="C80" s="733"/>
      <c r="D80" s="733" t="str">
        <f>"TBC HK từ 8,00 đến 8,99"</f>
        <v>TBC HK từ 8,00 đến 8,99</v>
      </c>
      <c r="E80" s="733"/>
      <c r="F80" s="733"/>
      <c r="G80" s="733"/>
      <c r="H80" s="739" t="str">
        <f>COUNTIF(AZ11:AZ75,"&gt;=8")-COUNTIF(AZ11:AZ75,"&gt;=9")&amp;"/"&amp;MAX($A$11:$A$75)</f>
        <v>0/35</v>
      </c>
      <c r="I80" s="739"/>
      <c r="J80" s="738" t="str">
        <f>IF(B11="","",ROUND(100*(COUNTIF(AZ11:AZ75,"&gt;=8")-COUNTIF(AZ11:AZ75,"&gt;=9"))/MAX($A$11:$A$75),2)&amp;" %")</f>
        <v>0 %</v>
      </c>
      <c r="K80" s="738"/>
      <c r="L80" s="74"/>
      <c r="M80" s="74"/>
      <c r="N80" s="74"/>
      <c r="O80" s="74"/>
      <c r="P80" s="74"/>
      <c r="Q80" s="74"/>
      <c r="R80" s="74"/>
      <c r="S80" s="74"/>
      <c r="BS80" s="41"/>
      <c r="BT80" s="41"/>
      <c r="CQ80" s="527" t="str">
        <f>IF(OR(ISNA(VLOOKUP($B80,'TICH LUY'!$B$11:$BY$85,54,0)),$B80=""),"",VLOOKUP($B80,'TICH LUY'!$B$11:$BY$85,54,0))</f>
        <v/>
      </c>
      <c r="CR80" s="507" t="str">
        <f>IF(OR(ISNA(VLOOKUP($B80,'TICH LUY'!$B$11:$BY$85,55,0)),$B80=""),"",VLOOKUP($B80,'TICH LUY'!$B$11:$BY$85,55,0))</f>
        <v/>
      </c>
      <c r="CS80" s="507" t="str">
        <f>IF(OR(ISNA(VLOOKUP($B80,'TICH LUY'!$B$11:$BY$85,56,0)),$B80=""),"",VLOOKUP($B80,'TICH LUY'!$B$11:$BY$85,56,0))</f>
        <v/>
      </c>
      <c r="CT80" s="507" t="str">
        <f>IF(OR(ISNA(VLOOKUP($B80,'TICH LUY'!$B$11:$BY$85,57,0)),$B80=""),"",VLOOKUP($B80,'TICH LUY'!$B$11:$BY$85,57,0))</f>
        <v/>
      </c>
      <c r="CU80" s="507" t="str">
        <f>IF(OR(ISNA(VLOOKUP($B80,'TICH LUY'!$B$11:$BY$85,58,0)),$B80=""),"",VLOOKUP($B80,'TICH LUY'!$B$11:$BY$85,58,0))</f>
        <v/>
      </c>
      <c r="CV80" s="507" t="str">
        <f>IF(OR(ISNA(VLOOKUP($B80,'TICH LUY'!$B$11:$BY$85,59,0)),$B80=""),"",VLOOKUP($B80,'TICH LUY'!$B$11:$BY$85,59,0))</f>
        <v/>
      </c>
      <c r="CW80" s="507" t="str">
        <f>IF(OR(ISNA(VLOOKUP($B80,'TICH LUY'!$B$11:$BY$85,60,0)),$B80=""),"",VLOOKUP($B80,'TICH LUY'!$B$11:$BY$85,60,0))</f>
        <v/>
      </c>
      <c r="CX80" s="507" t="str">
        <f>IF(OR(ISNA(VLOOKUP($B80,'TICH LUY'!$B$11:$BY$85,61,0)),$B80=""),"",VLOOKUP($B80,'TICH LUY'!$B$11:$BY$85,61,0))</f>
        <v/>
      </c>
      <c r="CY80" s="507" t="str">
        <f>IF(OR(ISNA(VLOOKUP($B80,'TICH LUY'!$B$11:$BY$85,62,0)),$B80=""),"",VLOOKUP($B80,'TICH LUY'!$B$11:$BY$85,62,0))</f>
        <v/>
      </c>
      <c r="CZ80" s="507" t="str">
        <f>IF(OR(ISNA(VLOOKUP($B80,'TICH LUY'!$B$11:$BY$85,63,0)),$B80=""),"",VLOOKUP($B80,'TICH LUY'!$B$11:$BY$85,63,0))</f>
        <v/>
      </c>
      <c r="DA80" s="507" t="str">
        <f>IF(OR(ISNA(VLOOKUP($B80,'TICH LUY'!$B$11:$BY$85,64,0)),$B80=""),"",VLOOKUP($B80,'TICH LUY'!$B$11:$BY$85,64,0))</f>
        <v/>
      </c>
      <c r="DB80" s="507" t="str">
        <f>IF(OR(ISNA(VLOOKUP($B80,'TICH LUY'!$B$11:$BY$85,65,0)),$B80=""),"",VLOOKUP($B80,'TICH LUY'!$B$11:$BY$85,65,0))</f>
        <v/>
      </c>
      <c r="DC80" s="507" t="str">
        <f>IF(OR(ISNA(VLOOKUP($B80,'TICH LUY'!$B$11:$BY$85,66,0)),$B80=""),"",VLOOKUP($B80,'TICH LUY'!$B$11:$BY$85,66,0))</f>
        <v/>
      </c>
      <c r="DD80" s="507" t="str">
        <f>IF(OR(ISNA(VLOOKUP($B80,'TICH LUY'!$B$11:$BY$85,67,0)),$B80=""),"",VLOOKUP($B80,'TICH LUY'!$B$11:$BY$85,67,0))</f>
        <v/>
      </c>
      <c r="DE80" s="507" t="str">
        <f>IF(OR(ISNA(VLOOKUP($B80,'TICH LUY'!$B$11:$BY$85,68,0)),$B80=""),"",VLOOKUP($B80,'TICH LUY'!$B$11:$BY$85,68,0))</f>
        <v/>
      </c>
      <c r="DF80" s="507" t="str">
        <f>IF(OR(ISNA(VLOOKUP($B80,'TICH LUY'!$B$11:$BY$85,69,0)),$B80=""),"",VLOOKUP($B80,'TICH LUY'!$B$11:$BY$85,69,0))</f>
        <v/>
      </c>
      <c r="DG80" s="507" t="str">
        <f>IF(OR(ISNA(VLOOKUP($B80,'TICH LUY'!$B$11:$BY$85,70,0)),$B80=""),"",VLOOKUP($B80,'TICH LUY'!$B$11:$BY$85,70,0))</f>
        <v/>
      </c>
      <c r="DH80" s="507" t="str">
        <f>IF(OR(ISNA(VLOOKUP($B80,'TICH LUY'!$B$11:$BY$85,71,0)),$B80=""),"",VLOOKUP($B80,'TICH LUY'!$B$11:$BY$85,71,0))</f>
        <v/>
      </c>
      <c r="DI80" s="507" t="str">
        <f>IF(OR(ISNA(VLOOKUP($B80,'TICH LUY'!$B$11:$BY$85,72,0)),$B80=""),"",VLOOKUP($B80,'TICH LUY'!$B$11:$BY$85,72,0))</f>
        <v/>
      </c>
      <c r="DJ80" s="507" t="str">
        <f>IF(OR(ISNA(VLOOKUP($B80,'TICH LUY'!$B$11:$BY$85,73,0)),$B80=""),"",VLOOKUP($B80,'TICH LUY'!$B$11:$BY$85,73,0))</f>
        <v/>
      </c>
      <c r="DK80" s="507" t="str">
        <f>IF(OR(ISNA(VLOOKUP($B80,'TICH LUY'!$B$11:$BY$85,74,0)),$B80=""),"",VLOOKUP($B80,'TICH LUY'!$B$11:$BY$85,74,0))</f>
        <v/>
      </c>
      <c r="DL80" s="507" t="str">
        <f>IF(OR(ISNA(VLOOKUP($B80,'TICH LUY'!$B$11:$BY$85,75,0)),$B80=""),"",VLOOKUP($B80,'TICH LUY'!$B$11:$BY$85,75,0))</f>
        <v/>
      </c>
      <c r="DM80" s="529" t="str">
        <f>IF(OR(ISNA(VLOOKUP($B80,'TICH LUY'!$B$11:$BY$85,76,0)),$B80=""),"",VLOOKUP($B80,'TICH LUY'!$B$11:$BY$85,76,0))</f>
        <v/>
      </c>
      <c r="DN80" s="41"/>
      <c r="DO80" s="41"/>
      <c r="DP80" s="41"/>
      <c r="DQ80" s="41"/>
      <c r="DR80" s="41"/>
      <c r="DS80" s="41"/>
      <c r="DT80" s="41"/>
      <c r="DU80" s="41"/>
      <c r="DV80" s="41"/>
      <c r="DW80" s="41"/>
      <c r="DX80" s="41"/>
      <c r="DY80" s="41"/>
      <c r="EU80" s="527" t="str">
        <f>IF(OR(ISNA(VLOOKUP($B80,'TICH LUY'!$B$11:$BY$85,54,0)),$B80=""),"",VLOOKUP($B80,'TICH LUY'!$B$11:$BY$85,54,0))</f>
        <v/>
      </c>
      <c r="EV80" s="507" t="str">
        <f>IF(OR(ISNA(VLOOKUP($B80,'TICH LUY'!$B$11:$BY$85,55,0)),$B80=""),"",VLOOKUP($B80,'TICH LUY'!$B$11:$BY$85,55,0))</f>
        <v/>
      </c>
      <c r="EW80" s="507" t="str">
        <f>IF(OR(ISNA(VLOOKUP($B80,'TICH LUY'!$B$11:$BY$85,56,0)),$B80=""),"",VLOOKUP($B80,'TICH LUY'!$B$11:$BY$85,56,0))</f>
        <v/>
      </c>
      <c r="EX80" s="507" t="str">
        <f>IF(OR(ISNA(VLOOKUP($B80,'TICH LUY'!$B$11:$BY$85,57,0)),$B80=""),"",VLOOKUP($B80,'TICH LUY'!$B$11:$BY$85,57,0))</f>
        <v/>
      </c>
      <c r="EY80" s="507" t="str">
        <f>IF(OR(ISNA(VLOOKUP($B80,'TICH LUY'!$B$11:$BY$85,58,0)),$B80=""),"",VLOOKUP($B80,'TICH LUY'!$B$11:$BY$85,58,0))</f>
        <v/>
      </c>
      <c r="EZ80" s="507" t="str">
        <f>IF(OR(ISNA(VLOOKUP($B80,'TICH LUY'!$B$11:$BY$85,59,0)),$B80=""),"",VLOOKUP($B80,'TICH LUY'!$B$11:$BY$85,59,0))</f>
        <v/>
      </c>
      <c r="FA80" s="507" t="str">
        <f>IF(OR(ISNA(VLOOKUP($B80,'TICH LUY'!$B$11:$BY$85,60,0)),$B80=""),"",VLOOKUP($B80,'TICH LUY'!$B$11:$BY$85,60,0))</f>
        <v/>
      </c>
      <c r="FB80" s="507" t="str">
        <f>IF(OR(ISNA(VLOOKUP($B80,'TICH LUY'!$B$11:$BY$85,61,0)),$B80=""),"",VLOOKUP($B80,'TICH LUY'!$B$11:$BY$85,61,0))</f>
        <v/>
      </c>
      <c r="FC80" s="507" t="str">
        <f>IF(OR(ISNA(VLOOKUP($B80,'TICH LUY'!$B$11:$BY$85,62,0)),$B80=""),"",VLOOKUP($B80,'TICH LUY'!$B$11:$BY$85,62,0))</f>
        <v/>
      </c>
      <c r="FD80" s="507" t="str">
        <f>IF(OR(ISNA(VLOOKUP($B80,'TICH LUY'!$B$11:$BY$85,63,0)),$B80=""),"",VLOOKUP($B80,'TICH LUY'!$B$11:$BY$85,63,0))</f>
        <v/>
      </c>
      <c r="FE80" s="507" t="str">
        <f>IF(OR(ISNA(VLOOKUP($B80,'TICH LUY'!$B$11:$BY$85,64,0)),$B80=""),"",VLOOKUP($B80,'TICH LUY'!$B$11:$BY$85,64,0))</f>
        <v/>
      </c>
      <c r="FF80" s="507" t="str">
        <f>IF(OR(ISNA(VLOOKUP($B80,'TICH LUY'!$B$11:$BY$85,65,0)),$B80=""),"",VLOOKUP($B80,'TICH LUY'!$B$11:$BY$85,65,0))</f>
        <v/>
      </c>
      <c r="FG80" s="507" t="str">
        <f>IF(OR(ISNA(VLOOKUP($B80,'TICH LUY'!$B$11:$BY$85,66,0)),$B80=""),"",VLOOKUP($B80,'TICH LUY'!$B$11:$BY$85,66,0))</f>
        <v/>
      </c>
      <c r="FH80" s="507" t="str">
        <f>IF(OR(ISNA(VLOOKUP($B80,'TICH LUY'!$B$11:$BY$85,67,0)),$B80=""),"",VLOOKUP($B80,'TICH LUY'!$B$11:$BY$85,67,0))</f>
        <v/>
      </c>
      <c r="FI80" s="507" t="str">
        <f>IF(OR(ISNA(VLOOKUP($B80,'TICH LUY'!$B$11:$BY$85,68,0)),$B80=""),"",VLOOKUP($B80,'TICH LUY'!$B$11:$BY$85,68,0))</f>
        <v/>
      </c>
      <c r="FJ80" s="507" t="str">
        <f>IF(OR(ISNA(VLOOKUP($B80,'TICH LUY'!$B$11:$BY$85,69,0)),$B80=""),"",VLOOKUP($B80,'TICH LUY'!$B$11:$BY$85,69,0))</f>
        <v/>
      </c>
      <c r="FK80" s="507" t="str">
        <f>IF(OR(ISNA(VLOOKUP($B80,'TICH LUY'!$B$11:$BY$85,70,0)),$B80=""),"",VLOOKUP($B80,'TICH LUY'!$B$11:$BY$85,70,0))</f>
        <v/>
      </c>
      <c r="FL80" s="507" t="str">
        <f>IF(OR(ISNA(VLOOKUP($B80,'TICH LUY'!$B$11:$BY$85,71,0)),$B80=""),"",VLOOKUP($B80,'TICH LUY'!$B$11:$BY$85,71,0))</f>
        <v/>
      </c>
      <c r="FM80" s="507" t="str">
        <f>IF(OR(ISNA(VLOOKUP($B80,'TICH LUY'!$B$11:$BY$85,72,0)),$B80=""),"",VLOOKUP($B80,'TICH LUY'!$B$11:$BY$85,72,0))</f>
        <v/>
      </c>
      <c r="FN80" s="507" t="str">
        <f>IF(OR(ISNA(VLOOKUP($B80,'TICH LUY'!$B$11:$BY$85,73,0)),$B80=""),"",VLOOKUP($B80,'TICH LUY'!$B$11:$BY$85,73,0))</f>
        <v/>
      </c>
      <c r="FO80" s="507" t="str">
        <f>IF(OR(ISNA(VLOOKUP($B80,'TICH LUY'!$B$11:$BY$85,74,0)),$B80=""),"",VLOOKUP($B80,'TICH LUY'!$B$11:$BY$85,74,0))</f>
        <v/>
      </c>
      <c r="FP80" s="507" t="str">
        <f>IF(OR(ISNA(VLOOKUP($B80,'TICH LUY'!$B$11:$BY$85,75,0)),$B80=""),"",VLOOKUP($B80,'TICH LUY'!$B$11:$BY$85,75,0))</f>
        <v/>
      </c>
      <c r="FQ80" s="529" t="str">
        <f>IF(OR(ISNA(VLOOKUP($B80,'TICH LUY'!$B$11:$BY$85,76,0)),$B80=""),"",VLOOKUP($B80,'TICH LUY'!$B$11:$BY$85,76,0))</f>
        <v/>
      </c>
      <c r="FR80" s="41"/>
      <c r="FS80" s="41"/>
      <c r="FT80" s="41"/>
      <c r="FU80" s="41"/>
      <c r="FV80" s="41"/>
      <c r="FW80" s="41"/>
      <c r="FX80" s="41"/>
      <c r="FY80" s="41"/>
      <c r="FZ80" s="41"/>
      <c r="GA80" s="261"/>
      <c r="GB80" s="261"/>
      <c r="GC80" s="41"/>
      <c r="GM80" s="41"/>
      <c r="GN80" s="41"/>
      <c r="GO80" s="41"/>
      <c r="GP80" s="41"/>
      <c r="GQ80" s="41"/>
      <c r="GR80" s="41"/>
      <c r="GS80" s="41"/>
      <c r="GT80" s="41"/>
    </row>
    <row r="81" spans="1:202" s="76" customFormat="1" ht="15" customHeight="1">
      <c r="A81" s="733" t="str">
        <f>"Loại Khá"</f>
        <v>Loại Khá</v>
      </c>
      <c r="B81" s="733"/>
      <c r="C81" s="733"/>
      <c r="D81" s="733" t="str">
        <f>"TBC HK từ 7,00 đến 7,99"</f>
        <v>TBC HK từ 7,00 đến 7,99</v>
      </c>
      <c r="E81" s="733"/>
      <c r="F81" s="733"/>
      <c r="G81" s="733"/>
      <c r="H81" s="739" t="str">
        <f>COUNTIF(AZ11:AZ75,"&gt;=7")-COUNTIF(AZ11:AZ75,"&gt;=8")&amp;"/"&amp;MAX($A$11:$A$75)</f>
        <v>0/35</v>
      </c>
      <c r="I81" s="739"/>
      <c r="J81" s="738" t="str">
        <f>IF(B11="","",ROUND(100*(COUNTIF(AZ11:AZ75,"&gt;=7")-COUNTIF(AZ11:AZ75,"&gt;=8"))/MAX($A$11:$A$75),2)&amp;" %")</f>
        <v>0 %</v>
      </c>
      <c r="K81" s="738"/>
      <c r="L81" s="74"/>
      <c r="M81" s="74"/>
      <c r="N81" s="74"/>
      <c r="O81" s="74"/>
      <c r="P81" s="74"/>
      <c r="Q81" s="74"/>
      <c r="R81" s="74"/>
      <c r="S81" s="74"/>
      <c r="BS81" s="41"/>
      <c r="BT81" s="41"/>
      <c r="CQ81" s="527" t="str">
        <f>IF(OR(ISNA(VLOOKUP($B81,'TICH LUY'!$B$11:$BY$85,54,0)),$B81=""),"",VLOOKUP($B81,'TICH LUY'!$B$11:$BY$85,54,0))</f>
        <v/>
      </c>
      <c r="CR81" s="507" t="str">
        <f>IF(OR(ISNA(VLOOKUP($B81,'TICH LUY'!$B$11:$BY$85,55,0)),$B81=""),"",VLOOKUP($B81,'TICH LUY'!$B$11:$BY$85,55,0))</f>
        <v/>
      </c>
      <c r="CS81" s="507" t="str">
        <f>IF(OR(ISNA(VLOOKUP($B81,'TICH LUY'!$B$11:$BY$85,56,0)),$B81=""),"",VLOOKUP($B81,'TICH LUY'!$B$11:$BY$85,56,0))</f>
        <v/>
      </c>
      <c r="CT81" s="507" t="str">
        <f>IF(OR(ISNA(VLOOKUP($B81,'TICH LUY'!$B$11:$BY$85,57,0)),$B81=""),"",VLOOKUP($B81,'TICH LUY'!$B$11:$BY$85,57,0))</f>
        <v/>
      </c>
      <c r="CU81" s="507" t="str">
        <f>IF(OR(ISNA(VLOOKUP($B81,'TICH LUY'!$B$11:$BY$85,58,0)),$B81=""),"",VLOOKUP($B81,'TICH LUY'!$B$11:$BY$85,58,0))</f>
        <v/>
      </c>
      <c r="CV81" s="507" t="str">
        <f>IF(OR(ISNA(VLOOKUP($B81,'TICH LUY'!$B$11:$BY$85,59,0)),$B81=""),"",VLOOKUP($B81,'TICH LUY'!$B$11:$BY$85,59,0))</f>
        <v/>
      </c>
      <c r="CW81" s="507" t="str">
        <f>IF(OR(ISNA(VLOOKUP($B81,'TICH LUY'!$B$11:$BY$85,60,0)),$B81=""),"",VLOOKUP($B81,'TICH LUY'!$B$11:$BY$85,60,0))</f>
        <v/>
      </c>
      <c r="CX81" s="507" t="str">
        <f>IF(OR(ISNA(VLOOKUP($B81,'TICH LUY'!$B$11:$BY$85,61,0)),$B81=""),"",VLOOKUP($B81,'TICH LUY'!$B$11:$BY$85,61,0))</f>
        <v/>
      </c>
      <c r="CY81" s="507" t="str">
        <f>IF(OR(ISNA(VLOOKUP($B81,'TICH LUY'!$B$11:$BY$85,62,0)),$B81=""),"",VLOOKUP($B81,'TICH LUY'!$B$11:$BY$85,62,0))</f>
        <v/>
      </c>
      <c r="CZ81" s="507" t="str">
        <f>IF(OR(ISNA(VLOOKUP($B81,'TICH LUY'!$B$11:$BY$85,63,0)),$B81=""),"",VLOOKUP($B81,'TICH LUY'!$B$11:$BY$85,63,0))</f>
        <v/>
      </c>
      <c r="DA81" s="507" t="str">
        <f>IF(OR(ISNA(VLOOKUP($B81,'TICH LUY'!$B$11:$BY$85,64,0)),$B81=""),"",VLOOKUP($B81,'TICH LUY'!$B$11:$BY$85,64,0))</f>
        <v/>
      </c>
      <c r="DB81" s="507" t="str">
        <f>IF(OR(ISNA(VLOOKUP($B81,'TICH LUY'!$B$11:$BY$85,65,0)),$B81=""),"",VLOOKUP($B81,'TICH LUY'!$B$11:$BY$85,65,0))</f>
        <v/>
      </c>
      <c r="DC81" s="507" t="str">
        <f>IF(OR(ISNA(VLOOKUP($B81,'TICH LUY'!$B$11:$BY$85,66,0)),$B81=""),"",VLOOKUP($B81,'TICH LUY'!$B$11:$BY$85,66,0))</f>
        <v/>
      </c>
      <c r="DD81" s="507" t="str">
        <f>IF(OR(ISNA(VLOOKUP($B81,'TICH LUY'!$B$11:$BY$85,67,0)),$B81=""),"",VLOOKUP($B81,'TICH LUY'!$B$11:$BY$85,67,0))</f>
        <v/>
      </c>
      <c r="DE81" s="507" t="str">
        <f>IF(OR(ISNA(VLOOKUP($B81,'TICH LUY'!$B$11:$BY$85,68,0)),$B81=""),"",VLOOKUP($B81,'TICH LUY'!$B$11:$BY$85,68,0))</f>
        <v/>
      </c>
      <c r="DF81" s="507" t="str">
        <f>IF(OR(ISNA(VLOOKUP($B81,'TICH LUY'!$B$11:$BY$85,69,0)),$B81=""),"",VLOOKUP($B81,'TICH LUY'!$B$11:$BY$85,69,0))</f>
        <v/>
      </c>
      <c r="DG81" s="507" t="str">
        <f>IF(OR(ISNA(VLOOKUP($B81,'TICH LUY'!$B$11:$BY$85,70,0)),$B81=""),"",VLOOKUP($B81,'TICH LUY'!$B$11:$BY$85,70,0))</f>
        <v/>
      </c>
      <c r="DH81" s="507" t="str">
        <f>IF(OR(ISNA(VLOOKUP($B81,'TICH LUY'!$B$11:$BY$85,71,0)),$B81=""),"",VLOOKUP($B81,'TICH LUY'!$B$11:$BY$85,71,0))</f>
        <v/>
      </c>
      <c r="DI81" s="507" t="str">
        <f>IF(OR(ISNA(VLOOKUP($B81,'TICH LUY'!$B$11:$BY$85,72,0)),$B81=""),"",VLOOKUP($B81,'TICH LUY'!$B$11:$BY$85,72,0))</f>
        <v/>
      </c>
      <c r="DJ81" s="507" t="str">
        <f>IF(OR(ISNA(VLOOKUP($B81,'TICH LUY'!$B$11:$BY$85,73,0)),$B81=""),"",VLOOKUP($B81,'TICH LUY'!$B$11:$BY$85,73,0))</f>
        <v/>
      </c>
      <c r="DK81" s="507" t="str">
        <f>IF(OR(ISNA(VLOOKUP($B81,'TICH LUY'!$B$11:$BY$85,74,0)),$B81=""),"",VLOOKUP($B81,'TICH LUY'!$B$11:$BY$85,74,0))</f>
        <v/>
      </c>
      <c r="DL81" s="507" t="str">
        <f>IF(OR(ISNA(VLOOKUP($B81,'TICH LUY'!$B$11:$BY$85,75,0)),$B81=""),"",VLOOKUP($B81,'TICH LUY'!$B$11:$BY$85,75,0))</f>
        <v/>
      </c>
      <c r="DM81" s="529" t="str">
        <f>IF(OR(ISNA(VLOOKUP($B81,'TICH LUY'!$B$11:$BY$85,76,0)),$B81=""),"",VLOOKUP($B81,'TICH LUY'!$B$11:$BY$85,76,0))</f>
        <v/>
      </c>
      <c r="DN81" s="41"/>
      <c r="DO81" s="41"/>
      <c r="DP81" s="41"/>
      <c r="DQ81" s="41"/>
      <c r="DR81" s="41"/>
      <c r="DS81" s="41"/>
      <c r="DT81" s="41"/>
      <c r="DU81" s="41"/>
      <c r="DV81" s="41"/>
      <c r="DW81" s="41"/>
      <c r="DX81" s="41"/>
      <c r="DY81" s="41"/>
      <c r="EU81" s="527" t="str">
        <f>IF(OR(ISNA(VLOOKUP($B81,'TICH LUY'!$B$11:$BY$85,54,0)),$B81=""),"",VLOOKUP($B81,'TICH LUY'!$B$11:$BY$85,54,0))</f>
        <v/>
      </c>
      <c r="EV81" s="507" t="str">
        <f>IF(OR(ISNA(VLOOKUP($B81,'TICH LUY'!$B$11:$BY$85,55,0)),$B81=""),"",VLOOKUP($B81,'TICH LUY'!$B$11:$BY$85,55,0))</f>
        <v/>
      </c>
      <c r="EW81" s="507" t="str">
        <f>IF(OR(ISNA(VLOOKUP($B81,'TICH LUY'!$B$11:$BY$85,56,0)),$B81=""),"",VLOOKUP($B81,'TICH LUY'!$B$11:$BY$85,56,0))</f>
        <v/>
      </c>
      <c r="EX81" s="507" t="str">
        <f>IF(OR(ISNA(VLOOKUP($B81,'TICH LUY'!$B$11:$BY$85,57,0)),$B81=""),"",VLOOKUP($B81,'TICH LUY'!$B$11:$BY$85,57,0))</f>
        <v/>
      </c>
      <c r="EY81" s="507" t="str">
        <f>IF(OR(ISNA(VLOOKUP($B81,'TICH LUY'!$B$11:$BY$85,58,0)),$B81=""),"",VLOOKUP($B81,'TICH LUY'!$B$11:$BY$85,58,0))</f>
        <v/>
      </c>
      <c r="EZ81" s="507" t="str">
        <f>IF(OR(ISNA(VLOOKUP($B81,'TICH LUY'!$B$11:$BY$85,59,0)),$B81=""),"",VLOOKUP($B81,'TICH LUY'!$B$11:$BY$85,59,0))</f>
        <v/>
      </c>
      <c r="FA81" s="507" t="str">
        <f>IF(OR(ISNA(VLOOKUP($B81,'TICH LUY'!$B$11:$BY$85,60,0)),$B81=""),"",VLOOKUP($B81,'TICH LUY'!$B$11:$BY$85,60,0))</f>
        <v/>
      </c>
      <c r="FB81" s="507" t="str">
        <f>IF(OR(ISNA(VLOOKUP($B81,'TICH LUY'!$B$11:$BY$85,61,0)),$B81=""),"",VLOOKUP($B81,'TICH LUY'!$B$11:$BY$85,61,0))</f>
        <v/>
      </c>
      <c r="FC81" s="507" t="str">
        <f>IF(OR(ISNA(VLOOKUP($B81,'TICH LUY'!$B$11:$BY$85,62,0)),$B81=""),"",VLOOKUP($B81,'TICH LUY'!$B$11:$BY$85,62,0))</f>
        <v/>
      </c>
      <c r="FD81" s="507" t="str">
        <f>IF(OR(ISNA(VLOOKUP($B81,'TICH LUY'!$B$11:$BY$85,63,0)),$B81=""),"",VLOOKUP($B81,'TICH LUY'!$B$11:$BY$85,63,0))</f>
        <v/>
      </c>
      <c r="FE81" s="507" t="str">
        <f>IF(OR(ISNA(VLOOKUP($B81,'TICH LUY'!$B$11:$BY$85,64,0)),$B81=""),"",VLOOKUP($B81,'TICH LUY'!$B$11:$BY$85,64,0))</f>
        <v/>
      </c>
      <c r="FF81" s="507" t="str">
        <f>IF(OR(ISNA(VLOOKUP($B81,'TICH LUY'!$B$11:$BY$85,65,0)),$B81=""),"",VLOOKUP($B81,'TICH LUY'!$B$11:$BY$85,65,0))</f>
        <v/>
      </c>
      <c r="FG81" s="507" t="str">
        <f>IF(OR(ISNA(VLOOKUP($B81,'TICH LUY'!$B$11:$BY$85,66,0)),$B81=""),"",VLOOKUP($B81,'TICH LUY'!$B$11:$BY$85,66,0))</f>
        <v/>
      </c>
      <c r="FH81" s="507" t="str">
        <f>IF(OR(ISNA(VLOOKUP($B81,'TICH LUY'!$B$11:$BY$85,67,0)),$B81=""),"",VLOOKUP($B81,'TICH LUY'!$B$11:$BY$85,67,0))</f>
        <v/>
      </c>
      <c r="FI81" s="507" t="str">
        <f>IF(OR(ISNA(VLOOKUP($B81,'TICH LUY'!$B$11:$BY$85,68,0)),$B81=""),"",VLOOKUP($B81,'TICH LUY'!$B$11:$BY$85,68,0))</f>
        <v/>
      </c>
      <c r="FJ81" s="507" t="str">
        <f>IF(OR(ISNA(VLOOKUP($B81,'TICH LUY'!$B$11:$BY$85,69,0)),$B81=""),"",VLOOKUP($B81,'TICH LUY'!$B$11:$BY$85,69,0))</f>
        <v/>
      </c>
      <c r="FK81" s="507" t="str">
        <f>IF(OR(ISNA(VLOOKUP($B81,'TICH LUY'!$B$11:$BY$85,70,0)),$B81=""),"",VLOOKUP($B81,'TICH LUY'!$B$11:$BY$85,70,0))</f>
        <v/>
      </c>
      <c r="FL81" s="507" t="str">
        <f>IF(OR(ISNA(VLOOKUP($B81,'TICH LUY'!$B$11:$BY$85,71,0)),$B81=""),"",VLOOKUP($B81,'TICH LUY'!$B$11:$BY$85,71,0))</f>
        <v/>
      </c>
      <c r="FM81" s="507" t="str">
        <f>IF(OR(ISNA(VLOOKUP($B81,'TICH LUY'!$B$11:$BY$85,72,0)),$B81=""),"",VLOOKUP($B81,'TICH LUY'!$B$11:$BY$85,72,0))</f>
        <v/>
      </c>
      <c r="FN81" s="507" t="str">
        <f>IF(OR(ISNA(VLOOKUP($B81,'TICH LUY'!$B$11:$BY$85,73,0)),$B81=""),"",VLOOKUP($B81,'TICH LUY'!$B$11:$BY$85,73,0))</f>
        <v/>
      </c>
      <c r="FO81" s="507" t="str">
        <f>IF(OR(ISNA(VLOOKUP($B81,'TICH LUY'!$B$11:$BY$85,74,0)),$B81=""),"",VLOOKUP($B81,'TICH LUY'!$B$11:$BY$85,74,0))</f>
        <v/>
      </c>
      <c r="FP81" s="507" t="str">
        <f>IF(OR(ISNA(VLOOKUP($B81,'TICH LUY'!$B$11:$BY$85,75,0)),$B81=""),"",VLOOKUP($B81,'TICH LUY'!$B$11:$BY$85,75,0))</f>
        <v/>
      </c>
      <c r="FQ81" s="529" t="str">
        <f>IF(OR(ISNA(VLOOKUP($B81,'TICH LUY'!$B$11:$BY$85,76,0)),$B81=""),"",VLOOKUP($B81,'TICH LUY'!$B$11:$BY$85,76,0))</f>
        <v/>
      </c>
      <c r="FR81" s="41"/>
      <c r="FS81" s="41"/>
      <c r="FT81" s="41"/>
      <c r="FU81" s="41"/>
      <c r="FV81" s="41"/>
      <c r="FW81" s="41"/>
      <c r="FX81" s="41"/>
      <c r="FY81" s="41"/>
      <c r="FZ81" s="41"/>
      <c r="GA81" s="261"/>
      <c r="GB81" s="261"/>
      <c r="GC81" s="41"/>
      <c r="GM81" s="41"/>
      <c r="GN81" s="41"/>
      <c r="GO81" s="41"/>
      <c r="GP81" s="41"/>
      <c r="GQ81" s="41"/>
      <c r="GR81" s="41"/>
      <c r="GS81" s="41"/>
      <c r="GT81" s="41"/>
    </row>
    <row r="82" spans="1:202" s="76" customFormat="1" ht="15" customHeight="1">
      <c r="A82" s="733" t="str">
        <f>"Loại Trung bình"</f>
        <v>Loại Trung bình</v>
      </c>
      <c r="B82" s="733"/>
      <c r="C82" s="733"/>
      <c r="D82" s="733" t="str">
        <f>"TBC HK từ 5,50 đến 6,99"</f>
        <v>TBC HK từ 5,50 đến 6,99</v>
      </c>
      <c r="E82" s="733"/>
      <c r="F82" s="733"/>
      <c r="G82" s="733"/>
      <c r="H82" s="739" t="str">
        <f>COUNTIF(AZ11:AZ75,"&gt;=5.5")-COUNTIF(AZ11:AZ75,"&gt;=7")&amp;"/"&amp;MAX($A$11:$A$75)</f>
        <v>14/35</v>
      </c>
      <c r="I82" s="739"/>
      <c r="J82" s="738" t="str">
        <f>IF(B11="","",ROUND(100*(COUNTIF(AZ11:AZ75,"&gt;=5.5")-COUNTIF(AZ11:AZ75,"&gt;=7"))/MAX($A$11:$A$75),2)&amp;" %")</f>
        <v>40 %</v>
      </c>
      <c r="K82" s="738"/>
      <c r="L82" s="74"/>
      <c r="M82" s="74"/>
      <c r="N82" s="74"/>
      <c r="O82" s="74"/>
      <c r="P82" s="74"/>
      <c r="Q82" s="74"/>
      <c r="R82" s="74"/>
      <c r="S82" s="74"/>
      <c r="BS82" s="41"/>
      <c r="BT82" s="41"/>
      <c r="CQ82" s="527" t="str">
        <f>IF(OR(ISNA(VLOOKUP($B82,'TICH LUY'!$B$11:$BY$85,54,0)),$B82=""),"",VLOOKUP($B82,'TICH LUY'!$B$11:$BY$85,54,0))</f>
        <v/>
      </c>
      <c r="CR82" s="507" t="str">
        <f>IF(OR(ISNA(VLOOKUP($B82,'TICH LUY'!$B$11:$BY$85,55,0)),$B82=""),"",VLOOKUP($B82,'TICH LUY'!$B$11:$BY$85,55,0))</f>
        <v/>
      </c>
      <c r="CS82" s="507" t="str">
        <f>IF(OR(ISNA(VLOOKUP($B82,'TICH LUY'!$B$11:$BY$85,56,0)),$B82=""),"",VLOOKUP($B82,'TICH LUY'!$B$11:$BY$85,56,0))</f>
        <v/>
      </c>
      <c r="CT82" s="507" t="str">
        <f>IF(OR(ISNA(VLOOKUP($B82,'TICH LUY'!$B$11:$BY$85,57,0)),$B82=""),"",VLOOKUP($B82,'TICH LUY'!$B$11:$BY$85,57,0))</f>
        <v/>
      </c>
      <c r="CU82" s="507" t="str">
        <f>IF(OR(ISNA(VLOOKUP($B82,'TICH LUY'!$B$11:$BY$85,58,0)),$B82=""),"",VLOOKUP($B82,'TICH LUY'!$B$11:$BY$85,58,0))</f>
        <v/>
      </c>
      <c r="CV82" s="507" t="str">
        <f>IF(OR(ISNA(VLOOKUP($B82,'TICH LUY'!$B$11:$BY$85,59,0)),$B82=""),"",VLOOKUP($B82,'TICH LUY'!$B$11:$BY$85,59,0))</f>
        <v/>
      </c>
      <c r="CW82" s="507" t="str">
        <f>IF(OR(ISNA(VLOOKUP($B82,'TICH LUY'!$B$11:$BY$85,60,0)),$B82=""),"",VLOOKUP($B82,'TICH LUY'!$B$11:$BY$85,60,0))</f>
        <v/>
      </c>
      <c r="CX82" s="507" t="str">
        <f>IF(OR(ISNA(VLOOKUP($B82,'TICH LUY'!$B$11:$BY$85,61,0)),$B82=""),"",VLOOKUP($B82,'TICH LUY'!$B$11:$BY$85,61,0))</f>
        <v/>
      </c>
      <c r="CY82" s="507" t="str">
        <f>IF(OR(ISNA(VLOOKUP($B82,'TICH LUY'!$B$11:$BY$85,62,0)),$B82=""),"",VLOOKUP($B82,'TICH LUY'!$B$11:$BY$85,62,0))</f>
        <v/>
      </c>
      <c r="CZ82" s="507" t="str">
        <f>IF(OR(ISNA(VLOOKUP($B82,'TICH LUY'!$B$11:$BY$85,63,0)),$B82=""),"",VLOOKUP($B82,'TICH LUY'!$B$11:$BY$85,63,0))</f>
        <v/>
      </c>
      <c r="DA82" s="507" t="str">
        <f>IF(OR(ISNA(VLOOKUP($B82,'TICH LUY'!$B$11:$BY$85,64,0)),$B82=""),"",VLOOKUP($B82,'TICH LUY'!$B$11:$BY$85,64,0))</f>
        <v/>
      </c>
      <c r="DB82" s="507" t="str">
        <f>IF(OR(ISNA(VLOOKUP($B82,'TICH LUY'!$B$11:$BY$85,65,0)),$B82=""),"",VLOOKUP($B82,'TICH LUY'!$B$11:$BY$85,65,0))</f>
        <v/>
      </c>
      <c r="DC82" s="507" t="str">
        <f>IF(OR(ISNA(VLOOKUP($B82,'TICH LUY'!$B$11:$BY$85,66,0)),$B82=""),"",VLOOKUP($B82,'TICH LUY'!$B$11:$BY$85,66,0))</f>
        <v/>
      </c>
      <c r="DD82" s="507" t="str">
        <f>IF(OR(ISNA(VLOOKUP($B82,'TICH LUY'!$B$11:$BY$85,67,0)),$B82=""),"",VLOOKUP($B82,'TICH LUY'!$B$11:$BY$85,67,0))</f>
        <v/>
      </c>
      <c r="DE82" s="507" t="str">
        <f>IF(OR(ISNA(VLOOKUP($B82,'TICH LUY'!$B$11:$BY$85,68,0)),$B82=""),"",VLOOKUP($B82,'TICH LUY'!$B$11:$BY$85,68,0))</f>
        <v/>
      </c>
      <c r="DF82" s="507" t="str">
        <f>IF(OR(ISNA(VLOOKUP($B82,'TICH LUY'!$B$11:$BY$85,69,0)),$B82=""),"",VLOOKUP($B82,'TICH LUY'!$B$11:$BY$85,69,0))</f>
        <v/>
      </c>
      <c r="DG82" s="507" t="str">
        <f>IF(OR(ISNA(VLOOKUP($B82,'TICH LUY'!$B$11:$BY$85,70,0)),$B82=""),"",VLOOKUP($B82,'TICH LUY'!$B$11:$BY$85,70,0))</f>
        <v/>
      </c>
      <c r="DH82" s="507" t="str">
        <f>IF(OR(ISNA(VLOOKUP($B82,'TICH LUY'!$B$11:$BY$85,71,0)),$B82=""),"",VLOOKUP($B82,'TICH LUY'!$B$11:$BY$85,71,0))</f>
        <v/>
      </c>
      <c r="DI82" s="507" t="str">
        <f>IF(OR(ISNA(VLOOKUP($B82,'TICH LUY'!$B$11:$BY$85,72,0)),$B82=""),"",VLOOKUP($B82,'TICH LUY'!$B$11:$BY$85,72,0))</f>
        <v/>
      </c>
      <c r="DJ82" s="507" t="str">
        <f>IF(OR(ISNA(VLOOKUP($B82,'TICH LUY'!$B$11:$BY$85,73,0)),$B82=""),"",VLOOKUP($B82,'TICH LUY'!$B$11:$BY$85,73,0))</f>
        <v/>
      </c>
      <c r="DK82" s="507" t="str">
        <f>IF(OR(ISNA(VLOOKUP($B82,'TICH LUY'!$B$11:$BY$85,74,0)),$B82=""),"",VLOOKUP($B82,'TICH LUY'!$B$11:$BY$85,74,0))</f>
        <v/>
      </c>
      <c r="DL82" s="507" t="str">
        <f>IF(OR(ISNA(VLOOKUP($B82,'TICH LUY'!$B$11:$BY$85,75,0)),$B82=""),"",VLOOKUP($B82,'TICH LUY'!$B$11:$BY$85,75,0))</f>
        <v/>
      </c>
      <c r="DM82" s="529" t="str">
        <f>IF(OR(ISNA(VLOOKUP($B82,'TICH LUY'!$B$11:$BY$85,76,0)),$B82=""),"",VLOOKUP($B82,'TICH LUY'!$B$11:$BY$85,76,0))</f>
        <v/>
      </c>
      <c r="DN82" s="41"/>
      <c r="DO82" s="41"/>
      <c r="DP82" s="41"/>
      <c r="DQ82" s="41"/>
      <c r="DR82" s="41"/>
      <c r="DS82" s="41"/>
      <c r="DT82" s="41"/>
      <c r="DU82" s="41"/>
      <c r="DV82" s="41"/>
      <c r="DW82" s="41"/>
      <c r="DX82" s="41"/>
      <c r="DY82" s="41"/>
      <c r="EU82" s="527" t="str">
        <f>IF(OR(ISNA(VLOOKUP($B82,'TICH LUY'!$B$11:$BY$85,54,0)),$B82=""),"",VLOOKUP($B82,'TICH LUY'!$B$11:$BY$85,54,0))</f>
        <v/>
      </c>
      <c r="EV82" s="507" t="str">
        <f>IF(OR(ISNA(VLOOKUP($B82,'TICH LUY'!$B$11:$BY$85,55,0)),$B82=""),"",VLOOKUP($B82,'TICH LUY'!$B$11:$BY$85,55,0))</f>
        <v/>
      </c>
      <c r="EW82" s="507" t="str">
        <f>IF(OR(ISNA(VLOOKUP($B82,'TICH LUY'!$B$11:$BY$85,56,0)),$B82=""),"",VLOOKUP($B82,'TICH LUY'!$B$11:$BY$85,56,0))</f>
        <v/>
      </c>
      <c r="EX82" s="507" t="str">
        <f>IF(OR(ISNA(VLOOKUP($B82,'TICH LUY'!$B$11:$BY$85,57,0)),$B82=""),"",VLOOKUP($B82,'TICH LUY'!$B$11:$BY$85,57,0))</f>
        <v/>
      </c>
      <c r="EY82" s="507" t="str">
        <f>IF(OR(ISNA(VLOOKUP($B82,'TICH LUY'!$B$11:$BY$85,58,0)),$B82=""),"",VLOOKUP($B82,'TICH LUY'!$B$11:$BY$85,58,0))</f>
        <v/>
      </c>
      <c r="EZ82" s="507" t="str">
        <f>IF(OR(ISNA(VLOOKUP($B82,'TICH LUY'!$B$11:$BY$85,59,0)),$B82=""),"",VLOOKUP($B82,'TICH LUY'!$B$11:$BY$85,59,0))</f>
        <v/>
      </c>
      <c r="FA82" s="507" t="str">
        <f>IF(OR(ISNA(VLOOKUP($B82,'TICH LUY'!$B$11:$BY$85,60,0)),$B82=""),"",VLOOKUP($B82,'TICH LUY'!$B$11:$BY$85,60,0))</f>
        <v/>
      </c>
      <c r="FB82" s="507" t="str">
        <f>IF(OR(ISNA(VLOOKUP($B82,'TICH LUY'!$B$11:$BY$85,61,0)),$B82=""),"",VLOOKUP($B82,'TICH LUY'!$B$11:$BY$85,61,0))</f>
        <v/>
      </c>
      <c r="FC82" s="507" t="str">
        <f>IF(OR(ISNA(VLOOKUP($B82,'TICH LUY'!$B$11:$BY$85,62,0)),$B82=""),"",VLOOKUP($B82,'TICH LUY'!$B$11:$BY$85,62,0))</f>
        <v/>
      </c>
      <c r="FD82" s="507" t="str">
        <f>IF(OR(ISNA(VLOOKUP($B82,'TICH LUY'!$B$11:$BY$85,63,0)),$B82=""),"",VLOOKUP($B82,'TICH LUY'!$B$11:$BY$85,63,0))</f>
        <v/>
      </c>
      <c r="FE82" s="507" t="str">
        <f>IF(OR(ISNA(VLOOKUP($B82,'TICH LUY'!$B$11:$BY$85,64,0)),$B82=""),"",VLOOKUP($B82,'TICH LUY'!$B$11:$BY$85,64,0))</f>
        <v/>
      </c>
      <c r="FF82" s="507" t="str">
        <f>IF(OR(ISNA(VLOOKUP($B82,'TICH LUY'!$B$11:$BY$85,65,0)),$B82=""),"",VLOOKUP($B82,'TICH LUY'!$B$11:$BY$85,65,0))</f>
        <v/>
      </c>
      <c r="FG82" s="507" t="str">
        <f>IF(OR(ISNA(VLOOKUP($B82,'TICH LUY'!$B$11:$BY$85,66,0)),$B82=""),"",VLOOKUP($B82,'TICH LUY'!$B$11:$BY$85,66,0))</f>
        <v/>
      </c>
      <c r="FH82" s="507" t="str">
        <f>IF(OR(ISNA(VLOOKUP($B82,'TICH LUY'!$B$11:$BY$85,67,0)),$B82=""),"",VLOOKUP($B82,'TICH LUY'!$B$11:$BY$85,67,0))</f>
        <v/>
      </c>
      <c r="FI82" s="507" t="str">
        <f>IF(OR(ISNA(VLOOKUP($B82,'TICH LUY'!$B$11:$BY$85,68,0)),$B82=""),"",VLOOKUP($B82,'TICH LUY'!$B$11:$BY$85,68,0))</f>
        <v/>
      </c>
      <c r="FJ82" s="507" t="str">
        <f>IF(OR(ISNA(VLOOKUP($B82,'TICH LUY'!$B$11:$BY$85,69,0)),$B82=""),"",VLOOKUP($B82,'TICH LUY'!$B$11:$BY$85,69,0))</f>
        <v/>
      </c>
      <c r="FK82" s="507" t="str">
        <f>IF(OR(ISNA(VLOOKUP($B82,'TICH LUY'!$B$11:$BY$85,70,0)),$B82=""),"",VLOOKUP($B82,'TICH LUY'!$B$11:$BY$85,70,0))</f>
        <v/>
      </c>
      <c r="FL82" s="507" t="str">
        <f>IF(OR(ISNA(VLOOKUP($B82,'TICH LUY'!$B$11:$BY$85,71,0)),$B82=""),"",VLOOKUP($B82,'TICH LUY'!$B$11:$BY$85,71,0))</f>
        <v/>
      </c>
      <c r="FM82" s="507" t="str">
        <f>IF(OR(ISNA(VLOOKUP($B82,'TICH LUY'!$B$11:$BY$85,72,0)),$B82=""),"",VLOOKUP($B82,'TICH LUY'!$B$11:$BY$85,72,0))</f>
        <v/>
      </c>
      <c r="FN82" s="507" t="str">
        <f>IF(OR(ISNA(VLOOKUP($B82,'TICH LUY'!$B$11:$BY$85,73,0)),$B82=""),"",VLOOKUP($B82,'TICH LUY'!$B$11:$BY$85,73,0))</f>
        <v/>
      </c>
      <c r="FO82" s="507" t="str">
        <f>IF(OR(ISNA(VLOOKUP($B82,'TICH LUY'!$B$11:$BY$85,74,0)),$B82=""),"",VLOOKUP($B82,'TICH LUY'!$B$11:$BY$85,74,0))</f>
        <v/>
      </c>
      <c r="FP82" s="507" t="str">
        <f>IF(OR(ISNA(VLOOKUP($B82,'TICH LUY'!$B$11:$BY$85,75,0)),$B82=""),"",VLOOKUP($B82,'TICH LUY'!$B$11:$BY$85,75,0))</f>
        <v/>
      </c>
      <c r="FQ82" s="529" t="str">
        <f>IF(OR(ISNA(VLOOKUP($B82,'TICH LUY'!$B$11:$BY$85,76,0)),$B82=""),"",VLOOKUP($B82,'TICH LUY'!$B$11:$BY$85,76,0))</f>
        <v/>
      </c>
      <c r="FR82" s="41"/>
      <c r="FS82" s="41"/>
      <c r="FT82" s="41"/>
      <c r="FU82" s="41"/>
      <c r="FV82" s="41"/>
      <c r="FW82" s="41"/>
      <c r="FX82" s="41"/>
      <c r="FY82" s="41"/>
      <c r="FZ82" s="41"/>
      <c r="GA82" s="261"/>
      <c r="GB82" s="261"/>
      <c r="GC82" s="41"/>
      <c r="GM82" s="41"/>
      <c r="GN82" s="41"/>
      <c r="GO82" s="41"/>
      <c r="GP82" s="41"/>
      <c r="GQ82" s="41"/>
      <c r="GR82" s="41"/>
      <c r="GS82" s="41"/>
      <c r="GT82" s="41"/>
    </row>
    <row r="83" spans="1:202" s="76" customFormat="1" ht="15" customHeight="1">
      <c r="A83" s="733" t="str">
        <f>"Loại Trung bình yếu"</f>
        <v>Loại Trung bình yếu</v>
      </c>
      <c r="B83" s="733"/>
      <c r="C83" s="733"/>
      <c r="D83" s="733" t="str">
        <f>"TBC HK từ 4,00 đến 5.49"</f>
        <v>TBC HK từ 4,00 đến 5.49</v>
      </c>
      <c r="E83" s="733"/>
      <c r="F83" s="733"/>
      <c r="G83" s="733"/>
      <c r="H83" s="739" t="str">
        <f>COUNTIF(AZ11:AZ75,"&gt;=4")-COUNTIF(AZ11:AZ75,"&gt;=5.5")&amp;"/"&amp;MAX($A$11:$A$75)</f>
        <v>20/35</v>
      </c>
      <c r="I83" s="739"/>
      <c r="J83" s="738" t="str">
        <f>IF(B11="","",ROUND(100*(COUNTIF(AZ11:AZ75,"&gt;=4")-COUNTIF(AZ11:AZ75,"&gt;=5.5"))/MAX($A$11:$A$75),2)&amp;" %")</f>
        <v>57.14 %</v>
      </c>
      <c r="K83" s="738"/>
      <c r="L83" s="74"/>
      <c r="M83" s="74"/>
      <c r="N83" s="74"/>
      <c r="O83" s="74"/>
      <c r="P83" s="74"/>
      <c r="Q83" s="74"/>
      <c r="R83" s="74"/>
      <c r="S83" s="74"/>
      <c r="BS83" s="41"/>
      <c r="BT83" s="41"/>
      <c r="CQ83" s="527" t="str">
        <f>IF(OR(ISNA(VLOOKUP($B83,'TICH LUY'!$B$11:$BY$85,54,0)),$B83=""),"",VLOOKUP($B83,'TICH LUY'!$B$11:$BY$85,54,0))</f>
        <v/>
      </c>
      <c r="CR83" s="507" t="str">
        <f>IF(OR(ISNA(VLOOKUP($B83,'TICH LUY'!$B$11:$BY$85,55,0)),$B83=""),"",VLOOKUP($B83,'TICH LUY'!$B$11:$BY$85,55,0))</f>
        <v/>
      </c>
      <c r="CS83" s="507" t="str">
        <f>IF(OR(ISNA(VLOOKUP($B83,'TICH LUY'!$B$11:$BY$85,56,0)),$B83=""),"",VLOOKUP($B83,'TICH LUY'!$B$11:$BY$85,56,0))</f>
        <v/>
      </c>
      <c r="CT83" s="507" t="str">
        <f>IF(OR(ISNA(VLOOKUP($B83,'TICH LUY'!$B$11:$BY$85,57,0)),$B83=""),"",VLOOKUP($B83,'TICH LUY'!$B$11:$BY$85,57,0))</f>
        <v/>
      </c>
      <c r="CU83" s="507" t="str">
        <f>IF(OR(ISNA(VLOOKUP($B83,'TICH LUY'!$B$11:$BY$85,58,0)),$B83=""),"",VLOOKUP($B83,'TICH LUY'!$B$11:$BY$85,58,0))</f>
        <v/>
      </c>
      <c r="CV83" s="507" t="str">
        <f>IF(OR(ISNA(VLOOKUP($B83,'TICH LUY'!$B$11:$BY$85,59,0)),$B83=""),"",VLOOKUP($B83,'TICH LUY'!$B$11:$BY$85,59,0))</f>
        <v/>
      </c>
      <c r="CW83" s="507" t="str">
        <f>IF(OR(ISNA(VLOOKUP($B83,'TICH LUY'!$B$11:$BY$85,60,0)),$B83=""),"",VLOOKUP($B83,'TICH LUY'!$B$11:$BY$85,60,0))</f>
        <v/>
      </c>
      <c r="CX83" s="507" t="str">
        <f>IF(OR(ISNA(VLOOKUP($B83,'TICH LUY'!$B$11:$BY$85,61,0)),$B83=""),"",VLOOKUP($B83,'TICH LUY'!$B$11:$BY$85,61,0))</f>
        <v/>
      </c>
      <c r="CY83" s="507" t="str">
        <f>IF(OR(ISNA(VLOOKUP($B83,'TICH LUY'!$B$11:$BY$85,62,0)),$B83=""),"",VLOOKUP($B83,'TICH LUY'!$B$11:$BY$85,62,0))</f>
        <v/>
      </c>
      <c r="CZ83" s="507" t="str">
        <f>IF(OR(ISNA(VLOOKUP($B83,'TICH LUY'!$B$11:$BY$85,63,0)),$B83=""),"",VLOOKUP($B83,'TICH LUY'!$B$11:$BY$85,63,0))</f>
        <v/>
      </c>
      <c r="DA83" s="507" t="str">
        <f>IF(OR(ISNA(VLOOKUP($B83,'TICH LUY'!$B$11:$BY$85,64,0)),$B83=""),"",VLOOKUP($B83,'TICH LUY'!$B$11:$BY$85,64,0))</f>
        <v/>
      </c>
      <c r="DB83" s="507" t="str">
        <f>IF(OR(ISNA(VLOOKUP($B83,'TICH LUY'!$B$11:$BY$85,65,0)),$B83=""),"",VLOOKUP($B83,'TICH LUY'!$B$11:$BY$85,65,0))</f>
        <v/>
      </c>
      <c r="DC83" s="507" t="str">
        <f>IF(OR(ISNA(VLOOKUP($B83,'TICH LUY'!$B$11:$BY$85,66,0)),$B83=""),"",VLOOKUP($B83,'TICH LUY'!$B$11:$BY$85,66,0))</f>
        <v/>
      </c>
      <c r="DD83" s="507" t="str">
        <f>IF(OR(ISNA(VLOOKUP($B83,'TICH LUY'!$B$11:$BY$85,67,0)),$B83=""),"",VLOOKUP($B83,'TICH LUY'!$B$11:$BY$85,67,0))</f>
        <v/>
      </c>
      <c r="DE83" s="507" t="str">
        <f>IF(OR(ISNA(VLOOKUP($B83,'TICH LUY'!$B$11:$BY$85,68,0)),$B83=""),"",VLOOKUP($B83,'TICH LUY'!$B$11:$BY$85,68,0))</f>
        <v/>
      </c>
      <c r="DF83" s="507" t="str">
        <f>IF(OR(ISNA(VLOOKUP($B83,'TICH LUY'!$B$11:$BY$85,69,0)),$B83=""),"",VLOOKUP($B83,'TICH LUY'!$B$11:$BY$85,69,0))</f>
        <v/>
      </c>
      <c r="DG83" s="507" t="str">
        <f>IF(OR(ISNA(VLOOKUP($B83,'TICH LUY'!$B$11:$BY$85,70,0)),$B83=""),"",VLOOKUP($B83,'TICH LUY'!$B$11:$BY$85,70,0))</f>
        <v/>
      </c>
      <c r="DH83" s="507" t="str">
        <f>IF(OR(ISNA(VLOOKUP($B83,'TICH LUY'!$B$11:$BY$85,71,0)),$B83=""),"",VLOOKUP($B83,'TICH LUY'!$B$11:$BY$85,71,0))</f>
        <v/>
      </c>
      <c r="DI83" s="507" t="str">
        <f>IF(OR(ISNA(VLOOKUP($B83,'TICH LUY'!$B$11:$BY$85,72,0)),$B83=""),"",VLOOKUP($B83,'TICH LUY'!$B$11:$BY$85,72,0))</f>
        <v/>
      </c>
      <c r="DJ83" s="507" t="str">
        <f>IF(OR(ISNA(VLOOKUP($B83,'TICH LUY'!$B$11:$BY$85,73,0)),$B83=""),"",VLOOKUP($B83,'TICH LUY'!$B$11:$BY$85,73,0))</f>
        <v/>
      </c>
      <c r="DK83" s="507" t="str">
        <f>IF(OR(ISNA(VLOOKUP($B83,'TICH LUY'!$B$11:$BY$85,74,0)),$B83=""),"",VLOOKUP($B83,'TICH LUY'!$B$11:$BY$85,74,0))</f>
        <v/>
      </c>
      <c r="DL83" s="507" t="str">
        <f>IF(OR(ISNA(VLOOKUP($B83,'TICH LUY'!$B$11:$BY$85,75,0)),$B83=""),"",VLOOKUP($B83,'TICH LUY'!$B$11:$BY$85,75,0))</f>
        <v/>
      </c>
      <c r="DM83" s="529" t="str">
        <f>IF(OR(ISNA(VLOOKUP($B83,'TICH LUY'!$B$11:$BY$85,76,0)),$B83=""),"",VLOOKUP($B83,'TICH LUY'!$B$11:$BY$85,76,0))</f>
        <v/>
      </c>
      <c r="DN83" s="41"/>
      <c r="DO83" s="41"/>
      <c r="DP83" s="41"/>
      <c r="DQ83" s="41"/>
      <c r="DR83" s="41"/>
      <c r="DS83" s="41"/>
      <c r="DT83" s="41"/>
      <c r="DU83" s="41"/>
      <c r="DV83" s="41"/>
      <c r="DW83" s="41"/>
      <c r="DX83" s="41"/>
      <c r="DY83" s="41"/>
      <c r="EU83" s="527" t="str">
        <f>IF(OR(ISNA(VLOOKUP($B83,'TICH LUY'!$B$11:$BY$85,54,0)),$B83=""),"",VLOOKUP($B83,'TICH LUY'!$B$11:$BY$85,54,0))</f>
        <v/>
      </c>
      <c r="EV83" s="507" t="str">
        <f>IF(OR(ISNA(VLOOKUP($B83,'TICH LUY'!$B$11:$BY$85,55,0)),$B83=""),"",VLOOKUP($B83,'TICH LUY'!$B$11:$BY$85,55,0))</f>
        <v/>
      </c>
      <c r="EW83" s="507" t="str">
        <f>IF(OR(ISNA(VLOOKUP($B83,'TICH LUY'!$B$11:$BY$85,56,0)),$B83=""),"",VLOOKUP($B83,'TICH LUY'!$B$11:$BY$85,56,0))</f>
        <v/>
      </c>
      <c r="EX83" s="507" t="str">
        <f>IF(OR(ISNA(VLOOKUP($B83,'TICH LUY'!$B$11:$BY$85,57,0)),$B83=""),"",VLOOKUP($B83,'TICH LUY'!$B$11:$BY$85,57,0))</f>
        <v/>
      </c>
      <c r="EY83" s="507" t="str">
        <f>IF(OR(ISNA(VLOOKUP($B83,'TICH LUY'!$B$11:$BY$85,58,0)),$B83=""),"",VLOOKUP($B83,'TICH LUY'!$B$11:$BY$85,58,0))</f>
        <v/>
      </c>
      <c r="EZ83" s="507" t="str">
        <f>IF(OR(ISNA(VLOOKUP($B83,'TICH LUY'!$B$11:$BY$85,59,0)),$B83=""),"",VLOOKUP($B83,'TICH LUY'!$B$11:$BY$85,59,0))</f>
        <v/>
      </c>
      <c r="FA83" s="507" t="str">
        <f>IF(OR(ISNA(VLOOKUP($B83,'TICH LUY'!$B$11:$BY$85,60,0)),$B83=""),"",VLOOKUP($B83,'TICH LUY'!$B$11:$BY$85,60,0))</f>
        <v/>
      </c>
      <c r="FB83" s="507" t="str">
        <f>IF(OR(ISNA(VLOOKUP($B83,'TICH LUY'!$B$11:$BY$85,61,0)),$B83=""),"",VLOOKUP($B83,'TICH LUY'!$B$11:$BY$85,61,0))</f>
        <v/>
      </c>
      <c r="FC83" s="507" t="str">
        <f>IF(OR(ISNA(VLOOKUP($B83,'TICH LUY'!$B$11:$BY$85,62,0)),$B83=""),"",VLOOKUP($B83,'TICH LUY'!$B$11:$BY$85,62,0))</f>
        <v/>
      </c>
      <c r="FD83" s="507" t="str">
        <f>IF(OR(ISNA(VLOOKUP($B83,'TICH LUY'!$B$11:$BY$85,63,0)),$B83=""),"",VLOOKUP($B83,'TICH LUY'!$B$11:$BY$85,63,0))</f>
        <v/>
      </c>
      <c r="FE83" s="507" t="str">
        <f>IF(OR(ISNA(VLOOKUP($B83,'TICH LUY'!$B$11:$BY$85,64,0)),$B83=""),"",VLOOKUP($B83,'TICH LUY'!$B$11:$BY$85,64,0))</f>
        <v/>
      </c>
      <c r="FF83" s="507" t="str">
        <f>IF(OR(ISNA(VLOOKUP($B83,'TICH LUY'!$B$11:$BY$85,65,0)),$B83=""),"",VLOOKUP($B83,'TICH LUY'!$B$11:$BY$85,65,0))</f>
        <v/>
      </c>
      <c r="FG83" s="507" t="str">
        <f>IF(OR(ISNA(VLOOKUP($B83,'TICH LUY'!$B$11:$BY$85,66,0)),$B83=""),"",VLOOKUP($B83,'TICH LUY'!$B$11:$BY$85,66,0))</f>
        <v/>
      </c>
      <c r="FH83" s="507" t="str">
        <f>IF(OR(ISNA(VLOOKUP($B83,'TICH LUY'!$B$11:$BY$85,67,0)),$B83=""),"",VLOOKUP($B83,'TICH LUY'!$B$11:$BY$85,67,0))</f>
        <v/>
      </c>
      <c r="FI83" s="507" t="str">
        <f>IF(OR(ISNA(VLOOKUP($B83,'TICH LUY'!$B$11:$BY$85,68,0)),$B83=""),"",VLOOKUP($B83,'TICH LUY'!$B$11:$BY$85,68,0))</f>
        <v/>
      </c>
      <c r="FJ83" s="507" t="str">
        <f>IF(OR(ISNA(VLOOKUP($B83,'TICH LUY'!$B$11:$BY$85,69,0)),$B83=""),"",VLOOKUP($B83,'TICH LUY'!$B$11:$BY$85,69,0))</f>
        <v/>
      </c>
      <c r="FK83" s="507" t="str">
        <f>IF(OR(ISNA(VLOOKUP($B83,'TICH LUY'!$B$11:$BY$85,70,0)),$B83=""),"",VLOOKUP($B83,'TICH LUY'!$B$11:$BY$85,70,0))</f>
        <v/>
      </c>
      <c r="FL83" s="507" t="str">
        <f>IF(OR(ISNA(VLOOKUP($B83,'TICH LUY'!$B$11:$BY$85,71,0)),$B83=""),"",VLOOKUP($B83,'TICH LUY'!$B$11:$BY$85,71,0))</f>
        <v/>
      </c>
      <c r="FM83" s="507" t="str">
        <f>IF(OR(ISNA(VLOOKUP($B83,'TICH LUY'!$B$11:$BY$85,72,0)),$B83=""),"",VLOOKUP($B83,'TICH LUY'!$B$11:$BY$85,72,0))</f>
        <v/>
      </c>
      <c r="FN83" s="507" t="str">
        <f>IF(OR(ISNA(VLOOKUP($B83,'TICH LUY'!$B$11:$BY$85,73,0)),$B83=""),"",VLOOKUP($B83,'TICH LUY'!$B$11:$BY$85,73,0))</f>
        <v/>
      </c>
      <c r="FO83" s="507" t="str">
        <f>IF(OR(ISNA(VLOOKUP($B83,'TICH LUY'!$B$11:$BY$85,74,0)),$B83=""),"",VLOOKUP($B83,'TICH LUY'!$B$11:$BY$85,74,0))</f>
        <v/>
      </c>
      <c r="FP83" s="507" t="str">
        <f>IF(OR(ISNA(VLOOKUP($B83,'TICH LUY'!$B$11:$BY$85,75,0)),$B83=""),"",VLOOKUP($B83,'TICH LUY'!$B$11:$BY$85,75,0))</f>
        <v/>
      </c>
      <c r="FQ83" s="529" t="str">
        <f>IF(OR(ISNA(VLOOKUP($B83,'TICH LUY'!$B$11:$BY$85,76,0)),$B83=""),"",VLOOKUP($B83,'TICH LUY'!$B$11:$BY$85,76,0))</f>
        <v/>
      </c>
      <c r="FR83" s="41"/>
      <c r="FS83" s="41"/>
      <c r="FT83" s="41"/>
      <c r="FU83" s="41"/>
      <c r="FV83" s="41"/>
      <c r="FW83" s="41"/>
      <c r="FX83" s="41"/>
      <c r="FY83" s="41"/>
      <c r="FZ83" s="41"/>
      <c r="GA83" s="261"/>
      <c r="GB83" s="261"/>
      <c r="GC83" s="41"/>
      <c r="GM83" s="41"/>
      <c r="GN83" s="41"/>
      <c r="GO83" s="41"/>
      <c r="GP83" s="41"/>
      <c r="GQ83" s="41"/>
      <c r="GR83" s="41"/>
      <c r="GS83" s="41"/>
      <c r="GT83" s="41"/>
    </row>
    <row r="84" spans="1:202" s="76" customFormat="1" ht="15" customHeight="1">
      <c r="A84" s="733" t="str">
        <f>"Loại Kém"</f>
        <v>Loại Kém</v>
      </c>
      <c r="B84" s="733"/>
      <c r="C84" s="733"/>
      <c r="D84" s="733" t="str">
        <f>"TBC HK dưới 4,00"</f>
        <v>TBC HK dưới 4,00</v>
      </c>
      <c r="E84" s="733"/>
      <c r="F84" s="733"/>
      <c r="G84" s="733"/>
      <c r="H84" s="739" t="str">
        <f>COUNTIF(AZ11:AZ75,"&lt;4")&amp;"/"&amp;MAX($A$11:$A$75)</f>
        <v>1/35</v>
      </c>
      <c r="I84" s="739"/>
      <c r="J84" s="738" t="str">
        <f>IF(B11="","",ROUND(100*(COUNTIF(AZ11:AZ75,"&lt;4"))/MAX($A$11:$A$75),2)&amp;" %")</f>
        <v>2.86 %</v>
      </c>
      <c r="K84" s="738"/>
      <c r="L84" s="74"/>
      <c r="M84" s="74"/>
      <c r="N84" s="74"/>
      <c r="O84" s="74"/>
      <c r="P84" s="74"/>
      <c r="Q84" s="74"/>
      <c r="R84" s="74"/>
      <c r="S84" s="74"/>
      <c r="BS84" s="41"/>
      <c r="BT84" s="41"/>
      <c r="CQ84" s="527" t="str">
        <f>IF(OR(ISNA(VLOOKUP($B84,'TICH LUY'!$B$11:$BY$85,54,0)),$B84=""),"",VLOOKUP($B84,'TICH LUY'!$B$11:$BY$85,54,0))</f>
        <v/>
      </c>
      <c r="CR84" s="507" t="str">
        <f>IF(OR(ISNA(VLOOKUP($B84,'TICH LUY'!$B$11:$BY$85,55,0)),$B84=""),"",VLOOKUP($B84,'TICH LUY'!$B$11:$BY$85,55,0))</f>
        <v/>
      </c>
      <c r="CS84" s="507" t="str">
        <f>IF(OR(ISNA(VLOOKUP($B84,'TICH LUY'!$B$11:$BY$85,56,0)),$B84=""),"",VLOOKUP($B84,'TICH LUY'!$B$11:$BY$85,56,0))</f>
        <v/>
      </c>
      <c r="CT84" s="507" t="str">
        <f>IF(OR(ISNA(VLOOKUP($B84,'TICH LUY'!$B$11:$BY$85,57,0)),$B84=""),"",VLOOKUP($B84,'TICH LUY'!$B$11:$BY$85,57,0))</f>
        <v/>
      </c>
      <c r="CU84" s="507" t="str">
        <f>IF(OR(ISNA(VLOOKUP($B84,'TICH LUY'!$B$11:$BY$85,58,0)),$B84=""),"",VLOOKUP($B84,'TICH LUY'!$B$11:$BY$85,58,0))</f>
        <v/>
      </c>
      <c r="CV84" s="507" t="str">
        <f>IF(OR(ISNA(VLOOKUP($B84,'TICH LUY'!$B$11:$BY$85,59,0)),$B84=""),"",VLOOKUP($B84,'TICH LUY'!$B$11:$BY$85,59,0))</f>
        <v/>
      </c>
      <c r="CW84" s="507" t="str">
        <f>IF(OR(ISNA(VLOOKUP($B84,'TICH LUY'!$B$11:$BY$85,60,0)),$B84=""),"",VLOOKUP($B84,'TICH LUY'!$B$11:$BY$85,60,0))</f>
        <v/>
      </c>
      <c r="CX84" s="507" t="str">
        <f>IF(OR(ISNA(VLOOKUP($B84,'TICH LUY'!$B$11:$BY$85,61,0)),$B84=""),"",VLOOKUP($B84,'TICH LUY'!$B$11:$BY$85,61,0))</f>
        <v/>
      </c>
      <c r="CY84" s="507" t="str">
        <f>IF(OR(ISNA(VLOOKUP($B84,'TICH LUY'!$B$11:$BY$85,62,0)),$B84=""),"",VLOOKUP($B84,'TICH LUY'!$B$11:$BY$85,62,0))</f>
        <v/>
      </c>
      <c r="CZ84" s="507" t="str">
        <f>IF(OR(ISNA(VLOOKUP($B84,'TICH LUY'!$B$11:$BY$85,63,0)),$B84=""),"",VLOOKUP($B84,'TICH LUY'!$B$11:$BY$85,63,0))</f>
        <v/>
      </c>
      <c r="DA84" s="507" t="str">
        <f>IF(OR(ISNA(VLOOKUP($B84,'TICH LUY'!$B$11:$BY$85,64,0)),$B84=""),"",VLOOKUP($B84,'TICH LUY'!$B$11:$BY$85,64,0))</f>
        <v/>
      </c>
      <c r="DB84" s="507" t="str">
        <f>IF(OR(ISNA(VLOOKUP($B84,'TICH LUY'!$B$11:$BY$85,65,0)),$B84=""),"",VLOOKUP($B84,'TICH LUY'!$B$11:$BY$85,65,0))</f>
        <v/>
      </c>
      <c r="DC84" s="507" t="str">
        <f>IF(OR(ISNA(VLOOKUP($B84,'TICH LUY'!$B$11:$BY$85,66,0)),$B84=""),"",VLOOKUP($B84,'TICH LUY'!$B$11:$BY$85,66,0))</f>
        <v/>
      </c>
      <c r="DD84" s="507" t="str">
        <f>IF(OR(ISNA(VLOOKUP($B84,'TICH LUY'!$B$11:$BY$85,67,0)),$B84=""),"",VLOOKUP($B84,'TICH LUY'!$B$11:$BY$85,67,0))</f>
        <v/>
      </c>
      <c r="DE84" s="507" t="str">
        <f>IF(OR(ISNA(VLOOKUP($B84,'TICH LUY'!$B$11:$BY$85,68,0)),$B84=""),"",VLOOKUP($B84,'TICH LUY'!$B$11:$BY$85,68,0))</f>
        <v/>
      </c>
      <c r="DF84" s="507" t="str">
        <f>IF(OR(ISNA(VLOOKUP($B84,'TICH LUY'!$B$11:$BY$85,69,0)),$B84=""),"",VLOOKUP($B84,'TICH LUY'!$B$11:$BY$85,69,0))</f>
        <v/>
      </c>
      <c r="DG84" s="507" t="str">
        <f>IF(OR(ISNA(VLOOKUP($B84,'TICH LUY'!$B$11:$BY$85,70,0)),$B84=""),"",VLOOKUP($B84,'TICH LUY'!$B$11:$BY$85,70,0))</f>
        <v/>
      </c>
      <c r="DH84" s="507" t="str">
        <f>IF(OR(ISNA(VLOOKUP($B84,'TICH LUY'!$B$11:$BY$85,71,0)),$B84=""),"",VLOOKUP($B84,'TICH LUY'!$B$11:$BY$85,71,0))</f>
        <v/>
      </c>
      <c r="DI84" s="507" t="str">
        <f>IF(OR(ISNA(VLOOKUP($B84,'TICH LUY'!$B$11:$BY$85,72,0)),$B84=""),"",VLOOKUP($B84,'TICH LUY'!$B$11:$BY$85,72,0))</f>
        <v/>
      </c>
      <c r="DJ84" s="507" t="str">
        <f>IF(OR(ISNA(VLOOKUP($B84,'TICH LUY'!$B$11:$BY$85,73,0)),$B84=""),"",VLOOKUP($B84,'TICH LUY'!$B$11:$BY$85,73,0))</f>
        <v/>
      </c>
      <c r="DK84" s="507" t="str">
        <f>IF(OR(ISNA(VLOOKUP($B84,'TICH LUY'!$B$11:$BY$85,74,0)),$B84=""),"",VLOOKUP($B84,'TICH LUY'!$B$11:$BY$85,74,0))</f>
        <v/>
      </c>
      <c r="DL84" s="507" t="str">
        <f>IF(OR(ISNA(VLOOKUP($B84,'TICH LUY'!$B$11:$BY$85,75,0)),$B84=""),"",VLOOKUP($B84,'TICH LUY'!$B$11:$BY$85,75,0))</f>
        <v/>
      </c>
      <c r="DM84" s="529" t="str">
        <f>IF(OR(ISNA(VLOOKUP($B84,'TICH LUY'!$B$11:$BY$85,76,0)),$B84=""),"",VLOOKUP($B84,'TICH LUY'!$B$11:$BY$85,76,0))</f>
        <v/>
      </c>
      <c r="DN84" s="41"/>
      <c r="DO84" s="41"/>
      <c r="DP84" s="41"/>
      <c r="DQ84" s="41"/>
      <c r="DR84" s="41"/>
      <c r="DS84" s="41"/>
      <c r="DT84" s="41"/>
      <c r="DU84" s="41"/>
      <c r="DV84" s="41"/>
      <c r="DW84" s="41"/>
      <c r="DX84" s="41"/>
      <c r="DY84" s="41"/>
      <c r="EU84" s="527" t="str">
        <f>IF(OR(ISNA(VLOOKUP($B84,'TICH LUY'!$B$11:$BY$85,54,0)),$B84=""),"",VLOOKUP($B84,'TICH LUY'!$B$11:$BY$85,54,0))</f>
        <v/>
      </c>
      <c r="EV84" s="507" t="str">
        <f>IF(OR(ISNA(VLOOKUP($B84,'TICH LUY'!$B$11:$BY$85,55,0)),$B84=""),"",VLOOKUP($B84,'TICH LUY'!$B$11:$BY$85,55,0))</f>
        <v/>
      </c>
      <c r="EW84" s="507" t="str">
        <f>IF(OR(ISNA(VLOOKUP($B84,'TICH LUY'!$B$11:$BY$85,56,0)),$B84=""),"",VLOOKUP($B84,'TICH LUY'!$B$11:$BY$85,56,0))</f>
        <v/>
      </c>
      <c r="EX84" s="507" t="str">
        <f>IF(OR(ISNA(VLOOKUP($B84,'TICH LUY'!$B$11:$BY$85,57,0)),$B84=""),"",VLOOKUP($B84,'TICH LUY'!$B$11:$BY$85,57,0))</f>
        <v/>
      </c>
      <c r="EY84" s="507" t="str">
        <f>IF(OR(ISNA(VLOOKUP($B84,'TICH LUY'!$B$11:$BY$85,58,0)),$B84=""),"",VLOOKUP($B84,'TICH LUY'!$B$11:$BY$85,58,0))</f>
        <v/>
      </c>
      <c r="EZ84" s="507" t="str">
        <f>IF(OR(ISNA(VLOOKUP($B84,'TICH LUY'!$B$11:$BY$85,59,0)),$B84=""),"",VLOOKUP($B84,'TICH LUY'!$B$11:$BY$85,59,0))</f>
        <v/>
      </c>
      <c r="FA84" s="507" t="str">
        <f>IF(OR(ISNA(VLOOKUP($B84,'TICH LUY'!$B$11:$BY$85,60,0)),$B84=""),"",VLOOKUP($B84,'TICH LUY'!$B$11:$BY$85,60,0))</f>
        <v/>
      </c>
      <c r="FB84" s="507" t="str">
        <f>IF(OR(ISNA(VLOOKUP($B84,'TICH LUY'!$B$11:$BY$85,61,0)),$B84=""),"",VLOOKUP($B84,'TICH LUY'!$B$11:$BY$85,61,0))</f>
        <v/>
      </c>
      <c r="FC84" s="507" t="str">
        <f>IF(OR(ISNA(VLOOKUP($B84,'TICH LUY'!$B$11:$BY$85,62,0)),$B84=""),"",VLOOKUP($B84,'TICH LUY'!$B$11:$BY$85,62,0))</f>
        <v/>
      </c>
      <c r="FD84" s="507" t="str">
        <f>IF(OR(ISNA(VLOOKUP($B84,'TICH LUY'!$B$11:$BY$85,63,0)),$B84=""),"",VLOOKUP($B84,'TICH LUY'!$B$11:$BY$85,63,0))</f>
        <v/>
      </c>
      <c r="FE84" s="507" t="str">
        <f>IF(OR(ISNA(VLOOKUP($B84,'TICH LUY'!$B$11:$BY$85,64,0)),$B84=""),"",VLOOKUP($B84,'TICH LUY'!$B$11:$BY$85,64,0))</f>
        <v/>
      </c>
      <c r="FF84" s="507" t="str">
        <f>IF(OR(ISNA(VLOOKUP($B84,'TICH LUY'!$B$11:$BY$85,65,0)),$B84=""),"",VLOOKUP($B84,'TICH LUY'!$B$11:$BY$85,65,0))</f>
        <v/>
      </c>
      <c r="FG84" s="507" t="str">
        <f>IF(OR(ISNA(VLOOKUP($B84,'TICH LUY'!$B$11:$BY$85,66,0)),$B84=""),"",VLOOKUP($B84,'TICH LUY'!$B$11:$BY$85,66,0))</f>
        <v/>
      </c>
      <c r="FH84" s="507" t="str">
        <f>IF(OR(ISNA(VLOOKUP($B84,'TICH LUY'!$B$11:$BY$85,67,0)),$B84=""),"",VLOOKUP($B84,'TICH LUY'!$B$11:$BY$85,67,0))</f>
        <v/>
      </c>
      <c r="FI84" s="507" t="str">
        <f>IF(OR(ISNA(VLOOKUP($B84,'TICH LUY'!$B$11:$BY$85,68,0)),$B84=""),"",VLOOKUP($B84,'TICH LUY'!$B$11:$BY$85,68,0))</f>
        <v/>
      </c>
      <c r="FJ84" s="507" t="str">
        <f>IF(OR(ISNA(VLOOKUP($B84,'TICH LUY'!$B$11:$BY$85,69,0)),$B84=""),"",VLOOKUP($B84,'TICH LUY'!$B$11:$BY$85,69,0))</f>
        <v/>
      </c>
      <c r="FK84" s="507" t="str">
        <f>IF(OR(ISNA(VLOOKUP($B84,'TICH LUY'!$B$11:$BY$85,70,0)),$B84=""),"",VLOOKUP($B84,'TICH LUY'!$B$11:$BY$85,70,0))</f>
        <v/>
      </c>
      <c r="FL84" s="507" t="str">
        <f>IF(OR(ISNA(VLOOKUP($B84,'TICH LUY'!$B$11:$BY$85,71,0)),$B84=""),"",VLOOKUP($B84,'TICH LUY'!$B$11:$BY$85,71,0))</f>
        <v/>
      </c>
      <c r="FM84" s="507" t="str">
        <f>IF(OR(ISNA(VLOOKUP($B84,'TICH LUY'!$B$11:$BY$85,72,0)),$B84=""),"",VLOOKUP($B84,'TICH LUY'!$B$11:$BY$85,72,0))</f>
        <v/>
      </c>
      <c r="FN84" s="507" t="str">
        <f>IF(OR(ISNA(VLOOKUP($B84,'TICH LUY'!$B$11:$BY$85,73,0)),$B84=""),"",VLOOKUP($B84,'TICH LUY'!$B$11:$BY$85,73,0))</f>
        <v/>
      </c>
      <c r="FO84" s="507" t="str">
        <f>IF(OR(ISNA(VLOOKUP($B84,'TICH LUY'!$B$11:$BY$85,74,0)),$B84=""),"",VLOOKUP($B84,'TICH LUY'!$B$11:$BY$85,74,0))</f>
        <v/>
      </c>
      <c r="FP84" s="507" t="str">
        <f>IF(OR(ISNA(VLOOKUP($B84,'TICH LUY'!$B$11:$BY$85,75,0)),$B84=""),"",VLOOKUP($B84,'TICH LUY'!$B$11:$BY$85,75,0))</f>
        <v/>
      </c>
      <c r="FQ84" s="529" t="str">
        <f>IF(OR(ISNA(VLOOKUP($B84,'TICH LUY'!$B$11:$BY$85,76,0)),$B84=""),"",VLOOKUP($B84,'TICH LUY'!$B$11:$BY$85,76,0))</f>
        <v/>
      </c>
      <c r="FR84" s="41"/>
      <c r="FS84" s="41"/>
      <c r="FT84" s="41"/>
      <c r="FU84" s="41"/>
      <c r="FV84" s="41"/>
      <c r="FW84" s="41"/>
      <c r="FX84" s="41"/>
      <c r="FY84" s="41"/>
      <c r="FZ84" s="41"/>
      <c r="GA84" s="261"/>
      <c r="GB84" s="261"/>
      <c r="GC84" s="41"/>
      <c r="GM84" s="41"/>
      <c r="GN84" s="41"/>
      <c r="GO84" s="41"/>
      <c r="GP84" s="41"/>
      <c r="GQ84" s="41"/>
      <c r="GR84" s="41"/>
      <c r="GS84" s="41"/>
      <c r="GT84" s="41"/>
    </row>
    <row r="85" spans="1:202" s="76" customFormat="1" ht="15.75">
      <c r="J85" s="74"/>
      <c r="K85" s="74"/>
      <c r="L85" s="74"/>
      <c r="M85" s="74"/>
      <c r="N85" s="74"/>
      <c r="O85" s="74"/>
      <c r="P85" s="74"/>
      <c r="Q85" s="74"/>
      <c r="R85" s="74"/>
      <c r="S85" s="74"/>
      <c r="BS85" s="38"/>
      <c r="BT85" s="38"/>
      <c r="CQ85" s="527" t="str">
        <f>IF(OR(ISNA(VLOOKUP($B85,'TICH LUY'!$B$11:$BY$85,54,0)),$B85=""),"",VLOOKUP($B85,'TICH LUY'!$B$11:$BY$85,54,0))</f>
        <v/>
      </c>
      <c r="CR85" s="507" t="str">
        <f>IF(OR(ISNA(VLOOKUP($B85,'TICH LUY'!$B$11:$BY$85,55,0)),$B85=""),"",VLOOKUP($B85,'TICH LUY'!$B$11:$BY$85,55,0))</f>
        <v/>
      </c>
      <c r="CS85" s="507" t="str">
        <f>IF(OR(ISNA(VLOOKUP($B85,'TICH LUY'!$B$11:$BY$85,56,0)),$B85=""),"",VLOOKUP($B85,'TICH LUY'!$B$11:$BY$85,56,0))</f>
        <v/>
      </c>
      <c r="CT85" s="507" t="str">
        <f>IF(OR(ISNA(VLOOKUP($B85,'TICH LUY'!$B$11:$BY$85,57,0)),$B85=""),"",VLOOKUP($B85,'TICH LUY'!$B$11:$BY$85,57,0))</f>
        <v/>
      </c>
      <c r="CU85" s="507" t="str">
        <f>IF(OR(ISNA(VLOOKUP($B85,'TICH LUY'!$B$11:$BY$85,58,0)),$B85=""),"",VLOOKUP($B85,'TICH LUY'!$B$11:$BY$85,58,0))</f>
        <v/>
      </c>
      <c r="CV85" s="507" t="str">
        <f>IF(OR(ISNA(VLOOKUP($B85,'TICH LUY'!$B$11:$BY$85,59,0)),$B85=""),"",VLOOKUP($B85,'TICH LUY'!$B$11:$BY$85,59,0))</f>
        <v/>
      </c>
      <c r="CW85" s="507" t="str">
        <f>IF(OR(ISNA(VLOOKUP($B85,'TICH LUY'!$B$11:$BY$85,60,0)),$B85=""),"",VLOOKUP($B85,'TICH LUY'!$B$11:$BY$85,60,0))</f>
        <v/>
      </c>
      <c r="CX85" s="507" t="str">
        <f>IF(OR(ISNA(VLOOKUP($B85,'TICH LUY'!$B$11:$BY$85,61,0)),$B85=""),"",VLOOKUP($B85,'TICH LUY'!$B$11:$BY$85,61,0))</f>
        <v/>
      </c>
      <c r="CY85" s="507" t="str">
        <f>IF(OR(ISNA(VLOOKUP($B85,'TICH LUY'!$B$11:$BY$85,62,0)),$B85=""),"",VLOOKUP($B85,'TICH LUY'!$B$11:$BY$85,62,0))</f>
        <v/>
      </c>
      <c r="CZ85" s="507" t="str">
        <f>IF(OR(ISNA(VLOOKUP($B85,'TICH LUY'!$B$11:$BY$85,63,0)),$B85=""),"",VLOOKUP($B85,'TICH LUY'!$B$11:$BY$85,63,0))</f>
        <v/>
      </c>
      <c r="DA85" s="507" t="str">
        <f>IF(OR(ISNA(VLOOKUP($B85,'TICH LUY'!$B$11:$BY$85,64,0)),$B85=""),"",VLOOKUP($B85,'TICH LUY'!$B$11:$BY$85,64,0))</f>
        <v/>
      </c>
      <c r="DB85" s="507" t="str">
        <f>IF(OR(ISNA(VLOOKUP($B85,'TICH LUY'!$B$11:$BY$85,65,0)),$B85=""),"",VLOOKUP($B85,'TICH LUY'!$B$11:$BY$85,65,0))</f>
        <v/>
      </c>
      <c r="DC85" s="507" t="str">
        <f>IF(OR(ISNA(VLOOKUP($B85,'TICH LUY'!$B$11:$BY$85,66,0)),$B85=""),"",VLOOKUP($B85,'TICH LUY'!$B$11:$BY$85,66,0))</f>
        <v/>
      </c>
      <c r="DD85" s="507" t="str">
        <f>IF(OR(ISNA(VLOOKUP($B85,'TICH LUY'!$B$11:$BY$85,67,0)),$B85=""),"",VLOOKUP($B85,'TICH LUY'!$B$11:$BY$85,67,0))</f>
        <v/>
      </c>
      <c r="DE85" s="507" t="str">
        <f>IF(OR(ISNA(VLOOKUP($B85,'TICH LUY'!$B$11:$BY$85,68,0)),$B85=""),"",VLOOKUP($B85,'TICH LUY'!$B$11:$BY$85,68,0))</f>
        <v/>
      </c>
      <c r="DF85" s="507" t="str">
        <f>IF(OR(ISNA(VLOOKUP($B85,'TICH LUY'!$B$11:$BY$85,69,0)),$B85=""),"",VLOOKUP($B85,'TICH LUY'!$B$11:$BY$85,69,0))</f>
        <v/>
      </c>
      <c r="DG85" s="507" t="str">
        <f>IF(OR(ISNA(VLOOKUP($B85,'TICH LUY'!$B$11:$BY$85,70,0)),$B85=""),"",VLOOKUP($B85,'TICH LUY'!$B$11:$BY$85,70,0))</f>
        <v/>
      </c>
      <c r="DH85" s="507" t="str">
        <f>IF(OR(ISNA(VLOOKUP($B85,'TICH LUY'!$B$11:$BY$85,71,0)),$B85=""),"",VLOOKUP($B85,'TICH LUY'!$B$11:$BY$85,71,0))</f>
        <v/>
      </c>
      <c r="DI85" s="507" t="str">
        <f>IF(OR(ISNA(VLOOKUP($B85,'TICH LUY'!$B$11:$BY$85,72,0)),$B85=""),"",VLOOKUP($B85,'TICH LUY'!$B$11:$BY$85,72,0))</f>
        <v/>
      </c>
      <c r="DJ85" s="507" t="str">
        <f>IF(OR(ISNA(VLOOKUP($B85,'TICH LUY'!$B$11:$BY$85,73,0)),$B85=""),"",VLOOKUP($B85,'TICH LUY'!$B$11:$BY$85,73,0))</f>
        <v/>
      </c>
      <c r="DK85" s="507" t="str">
        <f>IF(OR(ISNA(VLOOKUP($B85,'TICH LUY'!$B$11:$BY$85,74,0)),$B85=""),"",VLOOKUP($B85,'TICH LUY'!$B$11:$BY$85,74,0))</f>
        <v/>
      </c>
      <c r="DL85" s="507" t="str">
        <f>IF(OR(ISNA(VLOOKUP($B85,'TICH LUY'!$B$11:$BY$85,75,0)),$B85=""),"",VLOOKUP($B85,'TICH LUY'!$B$11:$BY$85,75,0))</f>
        <v/>
      </c>
      <c r="DM85" s="529" t="str">
        <f>IF(OR(ISNA(VLOOKUP($B85,'TICH LUY'!$B$11:$BY$85,76,0)),$B85=""),"",VLOOKUP($B85,'TICH LUY'!$B$11:$BY$85,76,0))</f>
        <v/>
      </c>
      <c r="DN85" s="41"/>
      <c r="DO85" s="41"/>
      <c r="DP85" s="41"/>
      <c r="DQ85" s="41"/>
      <c r="DR85" s="41"/>
      <c r="DS85" s="41"/>
      <c r="DT85" s="41"/>
      <c r="DU85" s="41"/>
      <c r="DV85" s="41"/>
      <c r="DW85" s="41"/>
      <c r="DX85" s="41"/>
      <c r="DY85" s="41"/>
      <c r="EU85" s="527" t="str">
        <f>IF(OR(ISNA(VLOOKUP($B85,'TICH LUY'!$B$11:$BY$85,54,0)),$B85=""),"",VLOOKUP($B85,'TICH LUY'!$B$11:$BY$85,54,0))</f>
        <v/>
      </c>
      <c r="EV85" s="507" t="str">
        <f>IF(OR(ISNA(VLOOKUP($B85,'TICH LUY'!$B$11:$BY$85,55,0)),$B85=""),"",VLOOKUP($B85,'TICH LUY'!$B$11:$BY$85,55,0))</f>
        <v/>
      </c>
      <c r="EW85" s="507" t="str">
        <f>IF(OR(ISNA(VLOOKUP($B85,'TICH LUY'!$B$11:$BY$85,56,0)),$B85=""),"",VLOOKUP($B85,'TICH LUY'!$B$11:$BY$85,56,0))</f>
        <v/>
      </c>
      <c r="EX85" s="507" t="str">
        <f>IF(OR(ISNA(VLOOKUP($B85,'TICH LUY'!$B$11:$BY$85,57,0)),$B85=""),"",VLOOKUP($B85,'TICH LUY'!$B$11:$BY$85,57,0))</f>
        <v/>
      </c>
      <c r="EY85" s="507" t="str">
        <f>IF(OR(ISNA(VLOOKUP($B85,'TICH LUY'!$B$11:$BY$85,58,0)),$B85=""),"",VLOOKUP($B85,'TICH LUY'!$B$11:$BY$85,58,0))</f>
        <v/>
      </c>
      <c r="EZ85" s="507" t="str">
        <f>IF(OR(ISNA(VLOOKUP($B85,'TICH LUY'!$B$11:$BY$85,59,0)),$B85=""),"",VLOOKUP($B85,'TICH LUY'!$B$11:$BY$85,59,0))</f>
        <v/>
      </c>
      <c r="FA85" s="507" t="str">
        <f>IF(OR(ISNA(VLOOKUP($B85,'TICH LUY'!$B$11:$BY$85,60,0)),$B85=""),"",VLOOKUP($B85,'TICH LUY'!$B$11:$BY$85,60,0))</f>
        <v/>
      </c>
      <c r="FB85" s="507" t="str">
        <f>IF(OR(ISNA(VLOOKUP($B85,'TICH LUY'!$B$11:$BY$85,61,0)),$B85=""),"",VLOOKUP($B85,'TICH LUY'!$B$11:$BY$85,61,0))</f>
        <v/>
      </c>
      <c r="FC85" s="507" t="str">
        <f>IF(OR(ISNA(VLOOKUP($B85,'TICH LUY'!$B$11:$BY$85,62,0)),$B85=""),"",VLOOKUP($B85,'TICH LUY'!$B$11:$BY$85,62,0))</f>
        <v/>
      </c>
      <c r="FD85" s="507" t="str">
        <f>IF(OR(ISNA(VLOOKUP($B85,'TICH LUY'!$B$11:$BY$85,63,0)),$B85=""),"",VLOOKUP($B85,'TICH LUY'!$B$11:$BY$85,63,0))</f>
        <v/>
      </c>
      <c r="FE85" s="507" t="str">
        <f>IF(OR(ISNA(VLOOKUP($B85,'TICH LUY'!$B$11:$BY$85,64,0)),$B85=""),"",VLOOKUP($B85,'TICH LUY'!$B$11:$BY$85,64,0))</f>
        <v/>
      </c>
      <c r="FF85" s="507" t="str">
        <f>IF(OR(ISNA(VLOOKUP($B85,'TICH LUY'!$B$11:$BY$85,65,0)),$B85=""),"",VLOOKUP($B85,'TICH LUY'!$B$11:$BY$85,65,0))</f>
        <v/>
      </c>
      <c r="FG85" s="507" t="str">
        <f>IF(OR(ISNA(VLOOKUP($B85,'TICH LUY'!$B$11:$BY$85,66,0)),$B85=""),"",VLOOKUP($B85,'TICH LUY'!$B$11:$BY$85,66,0))</f>
        <v/>
      </c>
      <c r="FH85" s="507" t="str">
        <f>IF(OR(ISNA(VLOOKUP($B85,'TICH LUY'!$B$11:$BY$85,67,0)),$B85=""),"",VLOOKUP($B85,'TICH LUY'!$B$11:$BY$85,67,0))</f>
        <v/>
      </c>
      <c r="FI85" s="507" t="str">
        <f>IF(OR(ISNA(VLOOKUP($B85,'TICH LUY'!$B$11:$BY$85,68,0)),$B85=""),"",VLOOKUP($B85,'TICH LUY'!$B$11:$BY$85,68,0))</f>
        <v/>
      </c>
      <c r="FJ85" s="507" t="str">
        <f>IF(OR(ISNA(VLOOKUP($B85,'TICH LUY'!$B$11:$BY$85,69,0)),$B85=""),"",VLOOKUP($B85,'TICH LUY'!$B$11:$BY$85,69,0))</f>
        <v/>
      </c>
      <c r="FK85" s="507" t="str">
        <f>IF(OR(ISNA(VLOOKUP($B85,'TICH LUY'!$B$11:$BY$85,70,0)),$B85=""),"",VLOOKUP($B85,'TICH LUY'!$B$11:$BY$85,70,0))</f>
        <v/>
      </c>
      <c r="FL85" s="507" t="str">
        <f>IF(OR(ISNA(VLOOKUP($B85,'TICH LUY'!$B$11:$BY$85,71,0)),$B85=""),"",VLOOKUP($B85,'TICH LUY'!$B$11:$BY$85,71,0))</f>
        <v/>
      </c>
      <c r="FM85" s="507" t="str">
        <f>IF(OR(ISNA(VLOOKUP($B85,'TICH LUY'!$B$11:$BY$85,72,0)),$B85=""),"",VLOOKUP($B85,'TICH LUY'!$B$11:$BY$85,72,0))</f>
        <v/>
      </c>
      <c r="FN85" s="507" t="str">
        <f>IF(OR(ISNA(VLOOKUP($B85,'TICH LUY'!$B$11:$BY$85,73,0)),$B85=""),"",VLOOKUP($B85,'TICH LUY'!$B$11:$BY$85,73,0))</f>
        <v/>
      </c>
      <c r="FO85" s="507" t="str">
        <f>IF(OR(ISNA(VLOOKUP($B85,'TICH LUY'!$B$11:$BY$85,74,0)),$B85=""),"",VLOOKUP($B85,'TICH LUY'!$B$11:$BY$85,74,0))</f>
        <v/>
      </c>
      <c r="FP85" s="507" t="str">
        <f>IF(OR(ISNA(VLOOKUP($B85,'TICH LUY'!$B$11:$BY$85,75,0)),$B85=""),"",VLOOKUP($B85,'TICH LUY'!$B$11:$BY$85,75,0))</f>
        <v/>
      </c>
      <c r="FQ85" s="529" t="str">
        <f>IF(OR(ISNA(VLOOKUP($B85,'TICH LUY'!$B$11:$BY$85,76,0)),$B85=""),"",VLOOKUP($B85,'TICH LUY'!$B$11:$BY$85,76,0))</f>
        <v/>
      </c>
      <c r="FR85" s="41"/>
      <c r="FS85" s="41"/>
      <c r="FT85" s="41"/>
      <c r="FU85" s="41"/>
      <c r="FV85" s="41"/>
      <c r="FW85" s="41"/>
      <c r="FX85" s="41"/>
      <c r="FY85" s="41"/>
      <c r="FZ85" s="41"/>
      <c r="GA85" s="261"/>
      <c r="GB85" s="261"/>
      <c r="GC85" s="41"/>
      <c r="GM85" s="41"/>
      <c r="GN85" s="41"/>
      <c r="GO85" s="41"/>
      <c r="GP85" s="41"/>
      <c r="GQ85" s="41"/>
      <c r="GR85" s="41"/>
      <c r="GS85" s="41"/>
      <c r="GT85" s="41"/>
    </row>
  </sheetData>
  <sheetProtection password="E4CC" sheet="1" objects="1" scenarios="1" formatCells="0" formatColumns="0" formatRows="0"/>
  <mergeCells count="157">
    <mergeCell ref="CQ5:DM5"/>
    <mergeCell ref="EU5:FQ5"/>
    <mergeCell ref="AQ8:AQ9"/>
    <mergeCell ref="AR6:AU6"/>
    <mergeCell ref="AR7:AU7"/>
    <mergeCell ref="AN6:AQ6"/>
    <mergeCell ref="AN7:AQ7"/>
    <mergeCell ref="AZ7:BA7"/>
    <mergeCell ref="BF6:BF9"/>
    <mergeCell ref="BC8:BC9"/>
    <mergeCell ref="FR8:GB8"/>
    <mergeCell ref="BR7:BR9"/>
    <mergeCell ref="AR8:AR9"/>
    <mergeCell ref="AS8:AS9"/>
    <mergeCell ref="AT8:AT9"/>
    <mergeCell ref="AU8:AU9"/>
    <mergeCell ref="BM6:BM9"/>
    <mergeCell ref="BJ6:BJ9"/>
    <mergeCell ref="BI6:BI9"/>
    <mergeCell ref="BA8:BA9"/>
    <mergeCell ref="DZ8:EH8"/>
    <mergeCell ref="EI8:ES8"/>
    <mergeCell ref="CD7:CD9"/>
    <mergeCell ref="DN8:DX8"/>
    <mergeCell ref="AZ78:BM78"/>
    <mergeCell ref="T8:T9"/>
    <mergeCell ref="U8:U9"/>
    <mergeCell ref="V8:V9"/>
    <mergeCell ref="W8:W9"/>
    <mergeCell ref="X8:X9"/>
    <mergeCell ref="Y8:Y9"/>
    <mergeCell ref="Z8:Z9"/>
    <mergeCell ref="AA8:AA9"/>
    <mergeCell ref="AC8:AC9"/>
    <mergeCell ref="AB8:AB9"/>
    <mergeCell ref="AN8:AN9"/>
    <mergeCell ref="AO8:AO9"/>
    <mergeCell ref="AP8:AP9"/>
    <mergeCell ref="N79:U79"/>
    <mergeCell ref="B6:G6"/>
    <mergeCell ref="B7:G7"/>
    <mergeCell ref="I8:I9"/>
    <mergeCell ref="B8:B9"/>
    <mergeCell ref="F8:G8"/>
    <mergeCell ref="E8:E9"/>
    <mergeCell ref="C8:D9"/>
    <mergeCell ref="C10:D10"/>
    <mergeCell ref="H8:H9"/>
    <mergeCell ref="N8:N9"/>
    <mergeCell ref="O8:O9"/>
    <mergeCell ref="N78:U78"/>
    <mergeCell ref="A1:P1"/>
    <mergeCell ref="A2:P2"/>
    <mergeCell ref="A6:A9"/>
    <mergeCell ref="P8:P9"/>
    <mergeCell ref="L8:L9"/>
    <mergeCell ref="M8:M9"/>
    <mergeCell ref="T7:W7"/>
    <mergeCell ref="AZ79:BM79"/>
    <mergeCell ref="AB78:AI78"/>
    <mergeCell ref="AB79:AI79"/>
    <mergeCell ref="AV10:AY10"/>
    <mergeCell ref="AN10:AQ10"/>
    <mergeCell ref="AR10:AU10"/>
    <mergeCell ref="AJ10:AM10"/>
    <mergeCell ref="AF10:AI10"/>
    <mergeCell ref="Q8:Q9"/>
    <mergeCell ref="AH8:AH9"/>
    <mergeCell ref="AD8:AD9"/>
    <mergeCell ref="AE8:AE9"/>
    <mergeCell ref="AG8:AG9"/>
    <mergeCell ref="R8:R9"/>
    <mergeCell ref="AZ8:AZ9"/>
    <mergeCell ref="X10:AA10"/>
    <mergeCell ref="AB10:AE10"/>
    <mergeCell ref="AB6:AE6"/>
    <mergeCell ref="AB7:AE7"/>
    <mergeCell ref="D3:F3"/>
    <mergeCell ref="G3:H3"/>
    <mergeCell ref="D5:O5"/>
    <mergeCell ref="L6:O6"/>
    <mergeCell ref="L7:O7"/>
    <mergeCell ref="P6:S6"/>
    <mergeCell ref="P7:S7"/>
    <mergeCell ref="T6:W6"/>
    <mergeCell ref="X7:AA7"/>
    <mergeCell ref="X6:AA6"/>
    <mergeCell ref="H7:K7"/>
    <mergeCell ref="H6:K6"/>
    <mergeCell ref="AF6:AI6"/>
    <mergeCell ref="AF7:AI7"/>
    <mergeCell ref="AI8:AI9"/>
    <mergeCell ref="AJ6:AM6"/>
    <mergeCell ref="AJ7:AM7"/>
    <mergeCell ref="AJ8:AJ9"/>
    <mergeCell ref="AK8:AK9"/>
    <mergeCell ref="AL8:AL9"/>
    <mergeCell ref="AM8:AM9"/>
    <mergeCell ref="AF8:AF9"/>
    <mergeCell ref="J84:K84"/>
    <mergeCell ref="J82:K82"/>
    <mergeCell ref="H84:I84"/>
    <mergeCell ref="H83:I83"/>
    <mergeCell ref="J83:K83"/>
    <mergeCell ref="H82:I82"/>
    <mergeCell ref="H10:K10"/>
    <mergeCell ref="L10:O10"/>
    <mergeCell ref="P10:S10"/>
    <mergeCell ref="H79:I79"/>
    <mergeCell ref="D82:G82"/>
    <mergeCell ref="D83:G83"/>
    <mergeCell ref="D84:G84"/>
    <mergeCell ref="A81:C81"/>
    <mergeCell ref="A82:C82"/>
    <mergeCell ref="A83:C83"/>
    <mergeCell ref="A84:C84"/>
    <mergeCell ref="S8:S9"/>
    <mergeCell ref="T10:W10"/>
    <mergeCell ref="A80:C80"/>
    <mergeCell ref="D79:G79"/>
    <mergeCell ref="D80:G80"/>
    <mergeCell ref="D81:G81"/>
    <mergeCell ref="A79:C79"/>
    <mergeCell ref="A78:G78"/>
    <mergeCell ref="J8:J9"/>
    <mergeCell ref="K8:K9"/>
    <mergeCell ref="J80:K80"/>
    <mergeCell ref="J81:K81"/>
    <mergeCell ref="H80:I80"/>
    <mergeCell ref="H81:I81"/>
    <mergeCell ref="J79:K79"/>
    <mergeCell ref="J78:K78"/>
    <mergeCell ref="H78:I78"/>
    <mergeCell ref="AQ1:BJ1"/>
    <mergeCell ref="AQ2:BJ2"/>
    <mergeCell ref="BS8:CC8"/>
    <mergeCell ref="CE8:CO8"/>
    <mergeCell ref="AV6:AY6"/>
    <mergeCell ref="AV7:AY7"/>
    <mergeCell ref="BO6:BO9"/>
    <mergeCell ref="BE6:BE9"/>
    <mergeCell ref="BB6:BB9"/>
    <mergeCell ref="BC6:BD7"/>
    <mergeCell ref="BP6:BP9"/>
    <mergeCell ref="BQ6:BQ9"/>
    <mergeCell ref="AY8:AY9"/>
    <mergeCell ref="AV8:AV9"/>
    <mergeCell ref="AW8:AW9"/>
    <mergeCell ref="BH6:BH9"/>
    <mergeCell ref="BG6:BG9"/>
    <mergeCell ref="A4:BO4"/>
    <mergeCell ref="BL6:BL9"/>
    <mergeCell ref="BN6:BN9"/>
    <mergeCell ref="AX8:AX9"/>
    <mergeCell ref="BK6:BK9"/>
    <mergeCell ref="BD8:BD9"/>
    <mergeCell ref="AZ6:BA6"/>
  </mergeCells>
  <phoneticPr fontId="9" type="noConversion"/>
  <conditionalFormatting sqref="BG11:BG75 BI11:BI75">
    <cfRule type="cellIs" dxfId="18" priority="1" stopIfTrue="1" operator="lessThanOrEqual">
      <formula>15</formula>
    </cfRule>
  </conditionalFormatting>
  <conditionalFormatting sqref="BL11:BL75 BN11:BN75">
    <cfRule type="cellIs" dxfId="17" priority="2" stopIfTrue="1" operator="equal">
      <formula>"Y"</formula>
    </cfRule>
  </conditionalFormatting>
  <conditionalFormatting sqref="H11:H75 AB11:AB75 T11:T75 W11:X75 P11:P75 L11:L75 AF11:AF75 AN11:AN75 AJ11:AJ75">
    <cfRule type="cellIs" dxfId="16" priority="3" stopIfTrue="1" operator="lessThan">
      <formula>5</formula>
    </cfRule>
  </conditionalFormatting>
  <conditionalFormatting sqref="I11:I75 K11:K75 M11:M75 O11:O75 Q11:Q75 S11:S75 U11:U75 Y11:Y75 AA11:AA75 AC11:AC75 AE11:AE75 AG11:AG75 AI11:AI75 AK11:AK75 AM11:AM75 AO11:AO75 AQ11:AQ75 AS11:AS75 AW11:AW75">
    <cfRule type="cellIs" dxfId="15" priority="4" stopIfTrue="1" operator="lessThan">
      <formula>4</formula>
    </cfRule>
  </conditionalFormatting>
  <conditionalFormatting sqref="BQ11:BQ75">
    <cfRule type="cellIs" dxfId="14" priority="5" stopIfTrue="1" operator="greaterThan">
      <formula>24</formula>
    </cfRule>
  </conditionalFormatting>
  <conditionalFormatting sqref="AZ11:BA75">
    <cfRule type="cellIs" dxfId="13" priority="6" stopIfTrue="1" operator="lessThan">
      <formula>3</formula>
    </cfRule>
    <cfRule type="cellIs" dxfId="12" priority="7" stopIfTrue="1" operator="lessThan">
      <formula>4</formula>
    </cfRule>
  </conditionalFormatting>
  <conditionalFormatting sqref="BM11:BM75 BK11:BK75">
    <cfRule type="cellIs" dxfId="11" priority="8" stopIfTrue="1" operator="lessThan">
      <formula>5.5</formula>
    </cfRule>
  </conditionalFormatting>
  <printOptions horizontalCentered="1"/>
  <pageMargins left="0.25" right="0.25" top="0.25" bottom="0.5" header="0.25" footer="0.25"/>
  <pageSetup paperSize="8" scale="43" orientation="landscape" r:id="rId1"/>
  <headerFooter alignWithMargins="0"/>
</worksheet>
</file>

<file path=xl/worksheets/sheet9.xml><?xml version="1.0" encoding="utf-8"?>
<worksheet xmlns="http://schemas.openxmlformats.org/spreadsheetml/2006/main" xmlns:r="http://schemas.openxmlformats.org/officeDocument/2006/relationships">
  <sheetPr codeName="Sheet7"/>
  <dimension ref="A1:R92"/>
  <sheetViews>
    <sheetView topLeftCell="A31" workbookViewId="0">
      <selection activeCell="U51" sqref="U51"/>
    </sheetView>
  </sheetViews>
  <sheetFormatPr defaultColWidth="6" defaultRowHeight="12.75"/>
  <cols>
    <col min="1" max="1" width="3.85546875" style="5" bestFit="1" customWidth="1"/>
    <col min="2" max="2" width="11.5703125" style="5" bestFit="1" customWidth="1"/>
    <col min="3" max="3" width="21.85546875" style="5" customWidth="1"/>
    <col min="4" max="4" width="8.85546875" style="5"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9" width="6" style="5" customWidth="1"/>
    <col min="20" max="16384" width="6" style="5"/>
  </cols>
  <sheetData>
    <row r="1" spans="1:18" ht="15.75">
      <c r="A1" s="788" t="s">
        <v>1502</v>
      </c>
      <c r="B1" s="788"/>
      <c r="C1" s="788"/>
      <c r="D1" s="788"/>
      <c r="E1" s="788"/>
      <c r="F1" s="784" t="s">
        <v>1503</v>
      </c>
      <c r="G1" s="784"/>
      <c r="H1" s="784"/>
      <c r="I1" s="784"/>
      <c r="J1" s="784"/>
      <c r="K1" s="784"/>
      <c r="L1" s="784"/>
      <c r="M1" s="784"/>
      <c r="N1" s="784"/>
      <c r="O1" s="784"/>
      <c r="P1" s="784"/>
    </row>
    <row r="2" spans="1:18" ht="15.75">
      <c r="A2" s="787" t="s">
        <v>1504</v>
      </c>
      <c r="B2" s="787"/>
      <c r="C2" s="787"/>
      <c r="D2" s="787"/>
      <c r="E2" s="787"/>
      <c r="F2" s="784" t="s">
        <v>1505</v>
      </c>
      <c r="G2" s="784"/>
      <c r="H2" s="784"/>
      <c r="I2" s="784"/>
      <c r="J2" s="784"/>
      <c r="K2" s="784"/>
      <c r="L2" s="784"/>
      <c r="M2" s="784"/>
      <c r="N2" s="784"/>
      <c r="O2" s="784"/>
      <c r="P2" s="784"/>
    </row>
    <row r="3" spans="1:18" ht="15.75">
      <c r="A3" s="785" t="s">
        <v>1506</v>
      </c>
      <c r="B3" s="785"/>
      <c r="C3" s="785"/>
      <c r="D3" s="785"/>
      <c r="E3" s="785"/>
      <c r="F3" s="785" t="s">
        <v>1507</v>
      </c>
      <c r="G3" s="785"/>
      <c r="H3" s="785"/>
      <c r="I3" s="785"/>
      <c r="J3" s="785"/>
      <c r="K3" s="785"/>
      <c r="L3" s="785"/>
      <c r="M3" s="785"/>
      <c r="N3" s="785"/>
      <c r="O3" s="785"/>
      <c r="P3" s="785"/>
    </row>
    <row r="4" spans="1:18" ht="18.75">
      <c r="A4" s="786" t="s">
        <v>1508</v>
      </c>
      <c r="B4" s="786"/>
      <c r="C4" s="786"/>
      <c r="D4" s="786"/>
      <c r="E4" s="786"/>
      <c r="F4" s="786"/>
      <c r="G4" s="786"/>
      <c r="H4" s="786"/>
      <c r="I4" s="786"/>
      <c r="J4" s="786"/>
      <c r="K4" s="786"/>
      <c r="L4" s="786"/>
      <c r="M4" s="786"/>
      <c r="N4" s="786"/>
      <c r="O4" s="786"/>
      <c r="P4" s="786"/>
    </row>
    <row r="5" spans="1:18" ht="18.75">
      <c r="A5" s="786"/>
      <c r="B5" s="786"/>
      <c r="C5" s="786"/>
      <c r="D5" s="786"/>
      <c r="E5" s="786"/>
      <c r="F5" s="786"/>
      <c r="G5" s="786"/>
      <c r="H5" s="786"/>
      <c r="I5" s="786"/>
      <c r="J5" s="786"/>
      <c r="K5" s="786"/>
      <c r="L5" s="786"/>
      <c r="M5" s="786"/>
      <c r="N5" s="786"/>
      <c r="O5" s="786"/>
      <c r="P5" s="786"/>
    </row>
    <row r="6" spans="1:18" s="81" customFormat="1" ht="15">
      <c r="A6" s="779" t="s">
        <v>1509</v>
      </c>
      <c r="B6" s="779"/>
      <c r="C6" s="780" t="str">
        <f>IF(L6="","",IF(VLOOKUP(L6,'LOP-MON'!$C$2:$N$55,2,FALSE)=0,"",VLOOKUP(L6,'LOP-MON'!$C$2:$N$55,2,FALSE)))</f>
        <v>Anh văn 2</v>
      </c>
      <c r="D6" s="780"/>
      <c r="E6" s="780"/>
      <c r="F6" s="780"/>
      <c r="G6" s="780"/>
      <c r="H6" s="781" t="s">
        <v>1532</v>
      </c>
      <c r="I6" s="781"/>
      <c r="J6" s="83">
        <f>IF(L6="","",IF(VLOOKUP(CONCATENATE("TC",MID(L6,1,4),MID(L6,6,3)),'LOP-MON'!$C$2:$N$55,2,FALSE)=0,"",VLOOKUP(CONCATENATE("TC",MID(L6,1,4),MID(L6,6,3)),'LOP-MON'!$C$2:$N$55,2,FALSE)))</f>
        <v>2</v>
      </c>
      <c r="K6" s="82" t="s">
        <v>1424</v>
      </c>
      <c r="L6" s="780" t="str">
        <f>HKI!$D$3</f>
        <v>13CĐ-Đ1</v>
      </c>
      <c r="M6" s="780"/>
      <c r="N6" s="780"/>
    </row>
    <row r="7" spans="1:18" s="86" customFormat="1" ht="15">
      <c r="C7" s="45" t="s">
        <v>1510</v>
      </c>
      <c r="D7" s="45" t="s">
        <v>1511</v>
      </c>
      <c r="E7" s="87"/>
      <c r="G7" s="790" t="s">
        <v>1512</v>
      </c>
      <c r="H7" s="790"/>
      <c r="I7" s="790"/>
      <c r="J7" s="790" t="s">
        <v>90</v>
      </c>
      <c r="K7" s="790"/>
      <c r="L7" s="790"/>
      <c r="O7" s="88"/>
      <c r="P7" s="88"/>
    </row>
    <row r="8" spans="1:18" s="81" customFormat="1" ht="15" customHeight="1">
      <c r="A8" s="783" t="s">
        <v>1514</v>
      </c>
      <c r="B8" s="783" t="s">
        <v>1425</v>
      </c>
      <c r="C8" s="783" t="s">
        <v>1426</v>
      </c>
      <c r="D8" s="797"/>
      <c r="E8" s="798" t="s">
        <v>1518</v>
      </c>
      <c r="F8" s="801" t="s">
        <v>1521</v>
      </c>
      <c r="G8" s="791" t="s">
        <v>1522</v>
      </c>
      <c r="H8" s="791" t="s">
        <v>1523</v>
      </c>
      <c r="I8" s="791" t="s">
        <v>1524</v>
      </c>
      <c r="J8" s="791" t="s">
        <v>1525</v>
      </c>
      <c r="K8" s="791" t="s">
        <v>1526</v>
      </c>
      <c r="L8" s="791" t="s">
        <v>1527</v>
      </c>
      <c r="M8" s="791" t="s">
        <v>1528</v>
      </c>
      <c r="N8" s="791" t="s">
        <v>1529</v>
      </c>
      <c r="O8" s="791" t="s">
        <v>1520</v>
      </c>
      <c r="P8" s="805" t="s">
        <v>1517</v>
      </c>
      <c r="Q8" s="791" t="s">
        <v>1530</v>
      </c>
      <c r="R8" s="791" t="s">
        <v>1531</v>
      </c>
    </row>
    <row r="9" spans="1:18" s="89" customFormat="1" ht="28.5" customHeight="1">
      <c r="A9" s="783"/>
      <c r="B9" s="783"/>
      <c r="C9" s="783"/>
      <c r="D9" s="797"/>
      <c r="E9" s="799"/>
      <c r="F9" s="802"/>
      <c r="G9" s="791"/>
      <c r="H9" s="791"/>
      <c r="I9" s="791"/>
      <c r="J9" s="791"/>
      <c r="K9" s="791"/>
      <c r="L9" s="791"/>
      <c r="M9" s="791"/>
      <c r="N9" s="791"/>
      <c r="O9" s="791"/>
      <c r="P9" s="805"/>
      <c r="Q9" s="791"/>
      <c r="R9" s="791"/>
    </row>
    <row r="10" spans="1:18" s="89" customFormat="1" ht="15">
      <c r="A10" s="783"/>
      <c r="B10" s="783"/>
      <c r="C10" s="783"/>
      <c r="D10" s="797"/>
      <c r="E10" s="800"/>
      <c r="F10" s="9"/>
      <c r="G10" s="803">
        <v>0.2</v>
      </c>
      <c r="H10" s="791"/>
      <c r="I10" s="791"/>
      <c r="J10" s="791"/>
      <c r="K10" s="791"/>
      <c r="L10" s="791"/>
      <c r="M10" s="9">
        <v>0.3</v>
      </c>
      <c r="N10" s="9">
        <v>0.5</v>
      </c>
      <c r="O10" s="791"/>
      <c r="P10" s="805"/>
      <c r="Q10" s="10">
        <v>0.5</v>
      </c>
      <c r="R10" s="791"/>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200"/>
      <c r="G11" s="200">
        <v>9</v>
      </c>
      <c r="H11" s="200">
        <v>7</v>
      </c>
      <c r="I11" s="200"/>
      <c r="J11" s="200"/>
      <c r="K11" s="542"/>
      <c r="L11" s="543"/>
      <c r="M11" s="200">
        <v>4.2</v>
      </c>
      <c r="N11" s="200">
        <v>3.4</v>
      </c>
      <c r="O11" s="12">
        <f t="shared" ref="O11:O42" si="0">IF(B11="","",IF(ISNUMBER(E11)=TRUE,E11,IF(COUNT(G11:N11)=0,"",IF(COUNT(G11:L11)=0,ROUND(0.3*M11+0.5*N11,1),ROUND(0.2*(SUM(G11:L11)/COUNT(G11:L11))+0.3*M11+0.5*N11,1)))))</f>
        <v>4.5999999999999996</v>
      </c>
      <c r="P11" s="7" t="str">
        <f t="shared" ref="P11:P42" si="1">IF(B11="","",IF(O11="","KXL",IF(O11&lt;4,"Kém",IF(O11&lt;5.5,"TBY",IF(O11&lt;7,"TB",IF(O11&lt;8.5,"Khá","Giỏi"))))))</f>
        <v>TBY</v>
      </c>
      <c r="Q11" s="93" t="str">
        <f>IF(ISNUMBER(E11)=TRUE,"",IF(HKI!J11="","",HKI!J11))</f>
        <v/>
      </c>
      <c r="R11" s="93" t="str">
        <f t="shared" ref="R11:R42" si="2">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201"/>
      <c r="G12" s="201">
        <v>9</v>
      </c>
      <c r="H12" s="201">
        <v>6</v>
      </c>
      <c r="I12" s="201"/>
      <c r="J12" s="201"/>
      <c r="K12" s="542"/>
      <c r="L12" s="543"/>
      <c r="M12" s="201">
        <v>6.8</v>
      </c>
      <c r="N12" s="201">
        <v>3</v>
      </c>
      <c r="O12" s="12">
        <f t="shared" si="0"/>
        <v>5</v>
      </c>
      <c r="P12" s="7" t="str">
        <f t="shared" si="1"/>
        <v>TBY</v>
      </c>
      <c r="Q12" s="93" t="str">
        <f>IF(ISNUMBER(E12)=TRUE,"",IF(HKI!J12="","",HKI!J12))</f>
        <v/>
      </c>
      <c r="R12" s="93" t="str">
        <f t="shared" si="2"/>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201"/>
      <c r="G13" s="201">
        <v>6</v>
      </c>
      <c r="H13" s="201">
        <v>6</v>
      </c>
      <c r="I13" s="201"/>
      <c r="J13" s="201"/>
      <c r="K13" s="542"/>
      <c r="L13" s="543"/>
      <c r="M13" s="201">
        <v>7</v>
      </c>
      <c r="N13" s="201">
        <v>2.9</v>
      </c>
      <c r="O13" s="12">
        <f t="shared" si="0"/>
        <v>4.8</v>
      </c>
      <c r="P13" s="7" t="str">
        <f t="shared" si="1"/>
        <v>TBY</v>
      </c>
      <c r="Q13" s="93" t="str">
        <f>IF(ISNUMBER(E13)=TRUE,"",IF(HKI!J13="","",HKI!J13))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201"/>
      <c r="G14" s="201">
        <v>8</v>
      </c>
      <c r="H14" s="201">
        <v>6</v>
      </c>
      <c r="I14" s="201"/>
      <c r="J14" s="201"/>
      <c r="K14" s="544"/>
      <c r="L14" s="543"/>
      <c r="M14" s="201">
        <v>5.4</v>
      </c>
      <c r="N14" s="201">
        <v>3.8</v>
      </c>
      <c r="O14" s="12">
        <f t="shared" si="0"/>
        <v>4.9000000000000004</v>
      </c>
      <c r="P14" s="7" t="str">
        <f t="shared" si="1"/>
        <v>TBY</v>
      </c>
      <c r="Q14" s="93" t="str">
        <f>IF(ISNUMBER(E14)=TRUE,"",IF(HKI!J14="","",HKI!J14))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201"/>
      <c r="G15" s="201">
        <v>7</v>
      </c>
      <c r="H15" s="201">
        <v>6</v>
      </c>
      <c r="I15" s="201"/>
      <c r="J15" s="201"/>
      <c r="K15" s="542"/>
      <c r="L15" s="543"/>
      <c r="M15" s="201">
        <v>4.5999999999999996</v>
      </c>
      <c r="N15" s="201">
        <v>3.9</v>
      </c>
      <c r="O15" s="12">
        <f t="shared" si="0"/>
        <v>4.5999999999999996</v>
      </c>
      <c r="P15" s="7" t="str">
        <f t="shared" si="1"/>
        <v>TBY</v>
      </c>
      <c r="Q15" s="93" t="str">
        <f>IF(ISNUMBER(E15)=TRUE,"",IF(HKI!J15="","",HKI!J15))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201"/>
      <c r="G16" s="201">
        <v>7</v>
      </c>
      <c r="H16" s="201">
        <v>6</v>
      </c>
      <c r="I16" s="201"/>
      <c r="J16" s="201"/>
      <c r="K16" s="542"/>
      <c r="L16" s="543"/>
      <c r="M16" s="201">
        <v>4.4000000000000004</v>
      </c>
      <c r="N16" s="201">
        <v>3.3</v>
      </c>
      <c r="O16" s="12">
        <f t="shared" si="0"/>
        <v>4.3</v>
      </c>
      <c r="P16" s="7" t="str">
        <f t="shared" si="1"/>
        <v>TBY</v>
      </c>
      <c r="Q16" s="93" t="str">
        <f>IF(ISNUMBER(E16)=TRUE,"",IF(HKI!J16="","",HKI!J16))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201"/>
      <c r="G17" s="201">
        <v>8</v>
      </c>
      <c r="H17" s="201">
        <v>7</v>
      </c>
      <c r="I17" s="201"/>
      <c r="J17" s="201"/>
      <c r="K17" s="542"/>
      <c r="L17" s="543"/>
      <c r="M17" s="201">
        <v>5.4</v>
      </c>
      <c r="N17" s="201">
        <v>3.5</v>
      </c>
      <c r="O17" s="12">
        <f t="shared" si="0"/>
        <v>4.9000000000000004</v>
      </c>
      <c r="P17" s="7" t="str">
        <f t="shared" si="1"/>
        <v>TBY</v>
      </c>
      <c r="Q17" s="93" t="str">
        <f>IF(ISNUMBER(E17)=TRUE,"",IF(HKI!J17="","",HKI!J17))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201"/>
      <c r="G18" s="201">
        <v>9</v>
      </c>
      <c r="H18" s="201">
        <v>6</v>
      </c>
      <c r="I18" s="201"/>
      <c r="J18" s="201"/>
      <c r="K18" s="542"/>
      <c r="L18" s="543"/>
      <c r="M18" s="201">
        <v>4.8</v>
      </c>
      <c r="N18" s="201">
        <v>3</v>
      </c>
      <c r="O18" s="12">
        <f t="shared" si="0"/>
        <v>4.4000000000000004</v>
      </c>
      <c r="P18" s="7" t="str">
        <f t="shared" si="1"/>
        <v>TBY</v>
      </c>
      <c r="Q18" s="93" t="str">
        <f>IF(ISNUMBER(E18)=TRUE,"",IF(HKI!J18="","",HKI!J18))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201"/>
      <c r="G19" s="201">
        <v>9</v>
      </c>
      <c r="H19" s="201">
        <v>6</v>
      </c>
      <c r="I19" s="201"/>
      <c r="J19" s="201"/>
      <c r="K19" s="542"/>
      <c r="L19" s="543"/>
      <c r="M19" s="201">
        <v>6</v>
      </c>
      <c r="N19" s="201">
        <v>2.9</v>
      </c>
      <c r="O19" s="12">
        <f t="shared" si="0"/>
        <v>4.8</v>
      </c>
      <c r="P19" s="7" t="str">
        <f t="shared" si="1"/>
        <v>TBY</v>
      </c>
      <c r="Q19" s="93" t="str">
        <f>IF(ISNUMBER(E19)=TRUE,"",IF(HKI!J19="","",HKI!J19))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201"/>
      <c r="G20" s="201">
        <v>7</v>
      </c>
      <c r="H20" s="201">
        <v>6</v>
      </c>
      <c r="I20" s="201"/>
      <c r="J20" s="201"/>
      <c r="K20" s="542"/>
      <c r="L20" s="543"/>
      <c r="M20" s="201">
        <v>5.2</v>
      </c>
      <c r="N20" s="201">
        <v>2.9</v>
      </c>
      <c r="O20" s="12">
        <f t="shared" si="0"/>
        <v>4.3</v>
      </c>
      <c r="P20" s="7" t="str">
        <f t="shared" si="1"/>
        <v>TBY</v>
      </c>
      <c r="Q20" s="93" t="str">
        <f>IF(ISNUMBER(E20)=TRUE,"",IF(HKI!J20="","",HKI!J20))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201"/>
      <c r="G21" s="201">
        <v>8</v>
      </c>
      <c r="H21" s="201">
        <v>6</v>
      </c>
      <c r="I21" s="201"/>
      <c r="J21" s="201"/>
      <c r="K21" s="542"/>
      <c r="L21" s="543"/>
      <c r="M21" s="201">
        <v>5.2</v>
      </c>
      <c r="N21" s="201">
        <v>2.6</v>
      </c>
      <c r="O21" s="12">
        <f t="shared" si="0"/>
        <v>4.3</v>
      </c>
      <c r="P21" s="7" t="str">
        <f t="shared" si="1"/>
        <v>TBY</v>
      </c>
      <c r="Q21" s="93" t="str">
        <f>IF(ISNUMBER(E21)=TRUE,"",IF(HKI!J21="","",HKI!J21))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201"/>
      <c r="G22" s="201">
        <v>8</v>
      </c>
      <c r="H22" s="201">
        <v>6</v>
      </c>
      <c r="I22" s="201"/>
      <c r="J22" s="201"/>
      <c r="K22" s="542"/>
      <c r="L22" s="543"/>
      <c r="M22" s="201">
        <v>6.4</v>
      </c>
      <c r="N22" s="201">
        <v>3.4</v>
      </c>
      <c r="O22" s="12">
        <f t="shared" si="0"/>
        <v>5</v>
      </c>
      <c r="P22" s="7" t="str">
        <f t="shared" si="1"/>
        <v>TBY</v>
      </c>
      <c r="Q22" s="93" t="str">
        <f>IF(ISNUMBER(E22)=TRUE,"",IF(HKI!J22="","",HKI!J22))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201"/>
      <c r="G23" s="201">
        <v>9</v>
      </c>
      <c r="H23" s="201">
        <v>6</v>
      </c>
      <c r="I23" s="201"/>
      <c r="J23" s="201"/>
      <c r="K23" s="542"/>
      <c r="L23" s="543"/>
      <c r="M23" s="201">
        <v>5</v>
      </c>
      <c r="N23" s="201">
        <v>2.9</v>
      </c>
      <c r="O23" s="12">
        <f t="shared" si="0"/>
        <v>4.5</v>
      </c>
      <c r="P23" s="7" t="str">
        <f t="shared" si="1"/>
        <v>TBY</v>
      </c>
      <c r="Q23" s="93" t="str">
        <f>IF(ISNUMBER(E23)=TRUE,"",IF(HKI!J23="","",HKI!J23))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201"/>
      <c r="G24" s="201"/>
      <c r="H24" s="201"/>
      <c r="I24" s="201"/>
      <c r="J24" s="201"/>
      <c r="K24" s="542"/>
      <c r="L24" s="545"/>
      <c r="M24" s="201"/>
      <c r="N24" s="201"/>
      <c r="O24" s="12" t="str">
        <f t="shared" si="0"/>
        <v/>
      </c>
      <c r="P24" s="7" t="str">
        <f t="shared" si="1"/>
        <v>KXL</v>
      </c>
      <c r="Q24" s="93" t="str">
        <f>IF(ISNUMBER(E24)=TRUE,"",IF(HKI!J24="","",HKI!J24))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201"/>
      <c r="G25" s="201">
        <v>8</v>
      </c>
      <c r="H25" s="201">
        <v>5</v>
      </c>
      <c r="I25" s="201"/>
      <c r="J25" s="201"/>
      <c r="K25" s="542"/>
      <c r="L25" s="543"/>
      <c r="M25" s="201">
        <v>6.4</v>
      </c>
      <c r="N25" s="201">
        <v>3.8</v>
      </c>
      <c r="O25" s="12">
        <f t="shared" si="0"/>
        <v>5.0999999999999996</v>
      </c>
      <c r="P25" s="7" t="str">
        <f t="shared" si="1"/>
        <v>TBY</v>
      </c>
      <c r="Q25" s="93" t="str">
        <f>IF(ISNUMBER(E25)=TRUE,"",IF(HKI!J25="","",HKI!J25))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201"/>
      <c r="G26" s="201">
        <v>8</v>
      </c>
      <c r="H26" s="201">
        <v>6</v>
      </c>
      <c r="I26" s="201"/>
      <c r="J26" s="201"/>
      <c r="K26" s="542"/>
      <c r="L26" s="543"/>
      <c r="M26" s="201">
        <v>5.2</v>
      </c>
      <c r="N26" s="201">
        <v>3.4</v>
      </c>
      <c r="O26" s="12">
        <f t="shared" si="0"/>
        <v>4.7</v>
      </c>
      <c r="P26" s="7" t="str">
        <f t="shared" si="1"/>
        <v>TBY</v>
      </c>
      <c r="Q26" s="93" t="str">
        <f>IF(ISNUMBER(E26)=TRUE,"",IF(HKI!J26="","",HKI!J26))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201"/>
      <c r="G27" s="201">
        <v>8</v>
      </c>
      <c r="H27" s="201">
        <v>6</v>
      </c>
      <c r="I27" s="201"/>
      <c r="J27" s="201"/>
      <c r="K27" s="542"/>
      <c r="L27" s="543"/>
      <c r="M27" s="201">
        <v>5.4</v>
      </c>
      <c r="N27" s="201">
        <v>4.5</v>
      </c>
      <c r="O27" s="12">
        <f t="shared" si="0"/>
        <v>5.3</v>
      </c>
      <c r="P27" s="7" t="str">
        <f t="shared" si="1"/>
        <v>TBY</v>
      </c>
      <c r="Q27" s="93" t="str">
        <f>IF(ISNUMBER(E27)=TRUE,"",IF(HKI!J27="","",HKI!J27))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201"/>
      <c r="G28" s="201">
        <v>8</v>
      </c>
      <c r="H28" s="201">
        <v>7</v>
      </c>
      <c r="I28" s="201"/>
      <c r="J28" s="201"/>
      <c r="K28" s="542"/>
      <c r="L28" s="543"/>
      <c r="M28" s="201">
        <v>3.2</v>
      </c>
      <c r="N28" s="201">
        <v>3.1</v>
      </c>
      <c r="O28" s="12">
        <f t="shared" si="0"/>
        <v>4</v>
      </c>
      <c r="P28" s="7" t="str">
        <f t="shared" si="1"/>
        <v>TBY</v>
      </c>
      <c r="Q28" s="93" t="str">
        <f>IF(ISNUMBER(E28)=TRUE,"",IF(HKI!J28="","",HKI!J28))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201"/>
      <c r="G29" s="201"/>
      <c r="H29" s="201"/>
      <c r="I29" s="201"/>
      <c r="J29" s="201"/>
      <c r="K29" s="542"/>
      <c r="L29" s="545"/>
      <c r="M29" s="201"/>
      <c r="N29" s="201"/>
      <c r="O29" s="12" t="str">
        <f t="shared" si="0"/>
        <v/>
      </c>
      <c r="P29" s="7" t="str">
        <f t="shared" si="1"/>
        <v>KXL</v>
      </c>
      <c r="Q29" s="93" t="str">
        <f>IF(ISNUMBER(E29)=TRUE,"",IF(HKI!J29="","",HKI!J29))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201"/>
      <c r="G30" s="201">
        <v>10</v>
      </c>
      <c r="H30" s="201">
        <v>8</v>
      </c>
      <c r="I30" s="201"/>
      <c r="J30" s="201"/>
      <c r="K30" s="542"/>
      <c r="L30" s="543"/>
      <c r="M30" s="201">
        <v>7.4</v>
      </c>
      <c r="N30" s="201">
        <v>3.4</v>
      </c>
      <c r="O30" s="12">
        <f t="shared" si="0"/>
        <v>5.7</v>
      </c>
      <c r="P30" s="7" t="str">
        <f t="shared" si="1"/>
        <v>TB</v>
      </c>
      <c r="Q30" s="93" t="str">
        <f>IF(ISNUMBER(E30)=TRUE,"",IF(HKI!J30="","",HKI!J30))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201"/>
      <c r="G31" s="201">
        <v>8</v>
      </c>
      <c r="H31" s="201">
        <v>5</v>
      </c>
      <c r="I31" s="201"/>
      <c r="J31" s="201"/>
      <c r="K31" s="542"/>
      <c r="L31" s="543"/>
      <c r="M31" s="201">
        <v>4.8</v>
      </c>
      <c r="N31" s="201">
        <v>2.6</v>
      </c>
      <c r="O31" s="12">
        <f t="shared" si="0"/>
        <v>4</v>
      </c>
      <c r="P31" s="7" t="str">
        <f t="shared" si="1"/>
        <v>TBY</v>
      </c>
      <c r="Q31" s="93" t="str">
        <f>IF(ISNUMBER(E31)=TRUE,"",IF(HKI!J31="","",HKI!J31))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201"/>
      <c r="G32" s="201">
        <v>7</v>
      </c>
      <c r="H32" s="201">
        <v>6</v>
      </c>
      <c r="I32" s="201"/>
      <c r="J32" s="201"/>
      <c r="K32" s="542"/>
      <c r="L32" s="543"/>
      <c r="M32" s="201">
        <v>4.8</v>
      </c>
      <c r="N32" s="201">
        <v>3.3</v>
      </c>
      <c r="O32" s="12">
        <f t="shared" si="0"/>
        <v>4.4000000000000004</v>
      </c>
      <c r="P32" s="7" t="str">
        <f t="shared" si="1"/>
        <v>TBY</v>
      </c>
      <c r="Q32" s="93" t="str">
        <f>IF(ISNUMBER(E32)=TRUE,"",IF(HKI!J32="","",HKI!J32))</f>
        <v/>
      </c>
      <c r="R32" s="93" t="str">
        <f t="shared" si="2"/>
        <v/>
      </c>
    </row>
    <row r="33" spans="1:18" ht="15.75">
      <c r="A33" s="2">
        <f>IF(OR($C$6="",$J$6=""),"",IF(B33="","",SUBTOTAL(3,$B$11:B33)))</f>
        <v>23</v>
      </c>
      <c r="B33" s="90" t="str">
        <f>IF(OR($C$6="",$J$6="",$L$6=""),"",IF(HKI!B33="","",HKI!B33))</f>
        <v>13D301Đ101</v>
      </c>
      <c r="C33" s="91" t="str">
        <f>IF($B33="","",VLOOKUP($B33,'DS LOP HKI'!$B$2:$F$2642,2,0))</f>
        <v>Huỳnh Thanh</v>
      </c>
      <c r="D33" s="92" t="str">
        <f>IF($B33="","",VLOOKUP($B33,'DS LOP HKI'!$B$2:$F$2642,3,0))</f>
        <v>Phú</v>
      </c>
      <c r="E33" s="144"/>
      <c r="F33" s="201"/>
      <c r="G33" s="201">
        <v>0</v>
      </c>
      <c r="H33" s="201">
        <v>0</v>
      </c>
      <c r="I33" s="201"/>
      <c r="J33" s="201"/>
      <c r="K33" s="542"/>
      <c r="L33" s="546"/>
      <c r="M33" s="201">
        <v>0</v>
      </c>
      <c r="N33" s="201">
        <v>0</v>
      </c>
      <c r="O33" s="12">
        <f t="shared" si="0"/>
        <v>0</v>
      </c>
      <c r="P33" s="7" t="str">
        <f t="shared" si="1"/>
        <v>Kém</v>
      </c>
      <c r="Q33" s="93" t="str">
        <f>IF(ISNUMBER(E33)=TRUE,"",IF(HKI!J33="","",HKI!J33))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201"/>
      <c r="G34" s="201">
        <v>7</v>
      </c>
      <c r="H34" s="201">
        <v>6</v>
      </c>
      <c r="I34" s="201"/>
      <c r="J34" s="201"/>
      <c r="K34" s="542"/>
      <c r="L34" s="543"/>
      <c r="M34" s="201">
        <v>6</v>
      </c>
      <c r="N34" s="201">
        <v>1.9</v>
      </c>
      <c r="O34" s="12">
        <f t="shared" si="0"/>
        <v>4.0999999999999996</v>
      </c>
      <c r="P34" s="7" t="str">
        <f t="shared" si="1"/>
        <v>TBY</v>
      </c>
      <c r="Q34" s="93" t="str">
        <f>IF(ISNUMBER(E34)=TRUE,"",IF(HKI!J34="","",HKI!J34))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201"/>
      <c r="G35" s="201">
        <v>7</v>
      </c>
      <c r="H35" s="201">
        <v>7</v>
      </c>
      <c r="I35" s="201"/>
      <c r="J35" s="201"/>
      <c r="K35" s="544"/>
      <c r="L35" s="543"/>
      <c r="M35" s="201">
        <v>5.6</v>
      </c>
      <c r="N35" s="201">
        <v>2.5</v>
      </c>
      <c r="O35" s="12">
        <f t="shared" si="0"/>
        <v>4.3</v>
      </c>
      <c r="P35" s="7" t="str">
        <f t="shared" si="1"/>
        <v>TBY</v>
      </c>
      <c r="Q35" s="93" t="str">
        <f>IF(ISNUMBER(E35)=TRUE,"",IF(HKI!J35="","",HKI!J35))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201"/>
      <c r="G36" s="201">
        <v>8</v>
      </c>
      <c r="H36" s="201">
        <v>7</v>
      </c>
      <c r="I36" s="201"/>
      <c r="J36" s="201"/>
      <c r="K36" s="542"/>
      <c r="L36" s="543"/>
      <c r="M36" s="201">
        <v>5.4</v>
      </c>
      <c r="N36" s="201">
        <v>2.4</v>
      </c>
      <c r="O36" s="12">
        <f t="shared" si="0"/>
        <v>4.3</v>
      </c>
      <c r="P36" s="7" t="str">
        <f t="shared" si="1"/>
        <v>TBY</v>
      </c>
      <c r="Q36" s="93" t="str">
        <f>IF(ISNUMBER(E36)=TRUE,"",IF(HKI!J36="","",HKI!J36))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201"/>
      <c r="G37" s="201">
        <v>8</v>
      </c>
      <c r="H37" s="201">
        <v>6</v>
      </c>
      <c r="I37" s="201"/>
      <c r="J37" s="201"/>
      <c r="K37" s="542"/>
      <c r="L37" s="543"/>
      <c r="M37" s="201">
        <v>3.8</v>
      </c>
      <c r="N37" s="201">
        <v>3</v>
      </c>
      <c r="O37" s="12">
        <f t="shared" si="0"/>
        <v>4</v>
      </c>
      <c r="P37" s="7" t="str">
        <f t="shared" si="1"/>
        <v>TBY</v>
      </c>
      <c r="Q37" s="93" t="str">
        <f>IF(ISNUMBER(E37)=TRUE,"",IF(HKI!J37="","",HKI!J37))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201"/>
      <c r="G38" s="201">
        <v>8</v>
      </c>
      <c r="H38" s="201">
        <v>6</v>
      </c>
      <c r="I38" s="201"/>
      <c r="J38" s="201"/>
      <c r="K38" s="542"/>
      <c r="L38" s="543"/>
      <c r="M38" s="201">
        <v>5.4</v>
      </c>
      <c r="N38" s="201">
        <v>3.5</v>
      </c>
      <c r="O38" s="12">
        <f t="shared" si="0"/>
        <v>4.8</v>
      </c>
      <c r="P38" s="7" t="str">
        <f t="shared" si="1"/>
        <v>TBY</v>
      </c>
      <c r="Q38" s="93" t="str">
        <f>IF(ISNUMBER(E38)=TRUE,"",IF(HKI!J38="","",HKI!J38))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201"/>
      <c r="G39" s="201">
        <v>9</v>
      </c>
      <c r="H39" s="201">
        <v>6</v>
      </c>
      <c r="I39" s="201"/>
      <c r="J39" s="201"/>
      <c r="K39" s="542"/>
      <c r="L39" s="543"/>
      <c r="M39" s="201">
        <v>5</v>
      </c>
      <c r="N39" s="201">
        <v>3.6</v>
      </c>
      <c r="O39" s="12">
        <f t="shared" si="0"/>
        <v>4.8</v>
      </c>
      <c r="P39" s="7" t="str">
        <f t="shared" si="1"/>
        <v>TBY</v>
      </c>
      <c r="Q39" s="93" t="str">
        <f>IF(ISNUMBER(E39)=TRUE,"",IF(HKI!J39="","",HKI!J39))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201"/>
      <c r="G40" s="201">
        <v>10</v>
      </c>
      <c r="H40" s="201">
        <v>6</v>
      </c>
      <c r="I40" s="201"/>
      <c r="J40" s="201"/>
      <c r="K40" s="542"/>
      <c r="L40" s="543"/>
      <c r="M40" s="201">
        <v>3.8</v>
      </c>
      <c r="N40" s="201">
        <v>3.4</v>
      </c>
      <c r="O40" s="12">
        <f t="shared" si="0"/>
        <v>4.4000000000000004</v>
      </c>
      <c r="P40" s="7" t="str">
        <f t="shared" si="1"/>
        <v>TBY</v>
      </c>
      <c r="Q40" s="93" t="str">
        <f>IF(ISNUMBER(E40)=TRUE,"",IF(HKI!J40="","",HKI!J40))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201"/>
      <c r="G41" s="201">
        <v>8</v>
      </c>
      <c r="H41" s="201">
        <v>6</v>
      </c>
      <c r="I41" s="201"/>
      <c r="J41" s="201"/>
      <c r="K41" s="542"/>
      <c r="L41" s="543"/>
      <c r="M41" s="201">
        <v>5</v>
      </c>
      <c r="N41" s="201">
        <v>3.8</v>
      </c>
      <c r="O41" s="12">
        <f t="shared" si="0"/>
        <v>4.8</v>
      </c>
      <c r="P41" s="7" t="str">
        <f t="shared" si="1"/>
        <v>TBY</v>
      </c>
      <c r="Q41" s="93" t="str">
        <f>IF(ISNUMBER(E41)=TRUE,"",IF(HKI!J41="","",HKI!J41))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201"/>
      <c r="G42" s="201">
        <v>8</v>
      </c>
      <c r="H42" s="201">
        <v>6</v>
      </c>
      <c r="I42" s="201"/>
      <c r="J42" s="201"/>
      <c r="K42" s="542"/>
      <c r="L42" s="543"/>
      <c r="M42" s="201">
        <v>5.8</v>
      </c>
      <c r="N42" s="201">
        <v>4.3</v>
      </c>
      <c r="O42" s="12">
        <f t="shared" si="0"/>
        <v>5.3</v>
      </c>
      <c r="P42" s="7" t="str">
        <f t="shared" si="1"/>
        <v>TBY</v>
      </c>
      <c r="Q42" s="93" t="str">
        <f>IF(ISNUMBER(E42)=TRUE,"",IF(HKI!J42="","",HKI!J42))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201"/>
      <c r="G43" s="201">
        <v>9</v>
      </c>
      <c r="H43" s="201">
        <v>6</v>
      </c>
      <c r="I43" s="201"/>
      <c r="J43" s="201"/>
      <c r="K43" s="542"/>
      <c r="L43" s="543"/>
      <c r="M43" s="201">
        <v>3.8</v>
      </c>
      <c r="N43" s="201">
        <v>3.3</v>
      </c>
      <c r="O43" s="12">
        <f t="shared" ref="O43:O74" si="3">IF(B43="","",IF(ISNUMBER(E43)=TRUE,E43,IF(COUNT(G43:N43)=0,"",IF(COUNT(G43:L43)=0,ROUND(0.3*M43+0.5*N43,1),ROUND(0.2*(SUM(G43:L43)/COUNT(G43:L43))+0.3*M43+0.5*N43,1)))))</f>
        <v>4.3</v>
      </c>
      <c r="P43" s="7" t="str">
        <f t="shared" ref="P43:P74" si="4">IF(B43="","",IF(O43="","KXL",IF(O43&lt;4,"Kém",IF(O43&lt;5.5,"TBY",IF(O43&lt;7,"TB",IF(O43&lt;8.5,"Khá","Giỏi"))))))</f>
        <v>TBY</v>
      </c>
      <c r="Q43" s="93" t="str">
        <f>IF(ISNUMBER(E43)=TRUE,"",IF(HKI!J43="","",HKI!J43))</f>
        <v/>
      </c>
      <c r="R43" s="93" t="str">
        <f t="shared" ref="R43:R74" si="5">IF(B43="","",IF(Q43="","",IF(COUNT(G43:N43)=0,"",IF(N43&gt;=Q43,O43,IF(COUNT(G43:L43)=0,ROUND(0.3*M43+0.5*Q43,1),ROUND(0.2*(SUM(G43:L43)/COUNT(G43:L43))+0.3*M43+0.5*Q43,1))))))</f>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201"/>
      <c r="G44" s="201">
        <v>8</v>
      </c>
      <c r="H44" s="201">
        <v>4</v>
      </c>
      <c r="I44" s="201"/>
      <c r="J44" s="201"/>
      <c r="K44" s="542"/>
      <c r="L44" s="543"/>
      <c r="M44" s="201">
        <v>7.4</v>
      </c>
      <c r="N44" s="201">
        <v>2.5</v>
      </c>
      <c r="O44" s="12">
        <f t="shared" si="3"/>
        <v>4.7</v>
      </c>
      <c r="P44" s="7" t="str">
        <f t="shared" si="4"/>
        <v>TBY</v>
      </c>
      <c r="Q44" s="93" t="str">
        <f>IF(ISNUMBER(E44)=TRUE,"",IF(HKI!J44="","",HKI!J44))</f>
        <v/>
      </c>
      <c r="R44" s="93" t="str">
        <f t="shared" si="5"/>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201"/>
      <c r="G45" s="201">
        <v>7</v>
      </c>
      <c r="H45" s="201">
        <v>5</v>
      </c>
      <c r="I45" s="201"/>
      <c r="J45" s="201"/>
      <c r="K45" s="542"/>
      <c r="L45" s="543"/>
      <c r="M45" s="201">
        <v>5.6</v>
      </c>
      <c r="N45" s="201">
        <v>3.3</v>
      </c>
      <c r="O45" s="12">
        <f t="shared" si="3"/>
        <v>4.5</v>
      </c>
      <c r="P45" s="7" t="str">
        <f t="shared" si="4"/>
        <v>TBY</v>
      </c>
      <c r="Q45" s="93" t="str">
        <f>IF(ISNUMBER(E45)=TRUE,"",IF(HKI!J45="","",HKI!J45))</f>
        <v/>
      </c>
      <c r="R45" s="93" t="str">
        <f t="shared" si="5"/>
        <v/>
      </c>
    </row>
    <row r="46" spans="1:18" ht="15">
      <c r="A46" s="2" t="str">
        <f>IF(OR($C$6="",$J$6=""),"",IF(B46="","",SUBTOTAL(3,$B$11:B46)))</f>
        <v/>
      </c>
      <c r="B46" s="90" t="str">
        <f>IF(OR($C$6="",$J$6="",$L$6=""),"",IF(HKI!B46="","",HKI!B46))</f>
        <v/>
      </c>
      <c r="C46" s="91" t="str">
        <f>IF($B46="","",VLOOKUP($B46,'DS LOP HKI'!$B$2:$F$2642,2,0))</f>
        <v/>
      </c>
      <c r="D46" s="92" t="str">
        <f>IF($B46="","",VLOOKUP($B46,'DS LOP HKI'!$B$2:$F$2642,3,0))</f>
        <v/>
      </c>
      <c r="E46" s="144"/>
      <c r="F46" s="201"/>
      <c r="G46" s="262"/>
      <c r="H46" s="262"/>
      <c r="I46" s="262"/>
      <c r="J46" s="201"/>
      <c r="K46" s="201"/>
      <c r="L46" s="201"/>
      <c r="M46" s="262"/>
      <c r="N46" s="262"/>
      <c r="O46" s="12" t="str">
        <f t="shared" si="3"/>
        <v/>
      </c>
      <c r="P46" s="7" t="str">
        <f t="shared" si="4"/>
        <v/>
      </c>
      <c r="Q46" s="93" t="str">
        <f>IF(ISNUMBER(E46)=TRUE,"",IF(HKI!J46="","",HKI!J46))</f>
        <v/>
      </c>
      <c r="R46" s="93" t="str">
        <f t="shared" si="5"/>
        <v/>
      </c>
    </row>
    <row r="47" spans="1:18" ht="15">
      <c r="A47" s="2" t="str">
        <f>IF(OR($C$6="",$J$6=""),"",IF(B47="","",SUBTOTAL(3,$B$11:B47)))</f>
        <v/>
      </c>
      <c r="B47" s="90" t="str">
        <f>IF(OR($C$6="",$J$6="",$L$6=""),"",IF(HKI!B47="","",HKI!B47))</f>
        <v/>
      </c>
      <c r="C47" s="91" t="str">
        <f>IF($B47="","",VLOOKUP($B47,'DS LOP HKI'!$B$2:$F$2642,2,0))</f>
        <v/>
      </c>
      <c r="D47" s="92" t="str">
        <f>IF($B47="","",VLOOKUP($B47,'DS LOP HKI'!$B$2:$F$2642,3,0))</f>
        <v/>
      </c>
      <c r="E47" s="144"/>
      <c r="F47" s="201"/>
      <c r="G47" s="262"/>
      <c r="H47" s="262"/>
      <c r="I47" s="262"/>
      <c r="J47" s="201"/>
      <c r="K47" s="201"/>
      <c r="L47" s="201"/>
      <c r="M47" s="262"/>
      <c r="N47" s="262"/>
      <c r="O47" s="12" t="str">
        <f t="shared" si="3"/>
        <v/>
      </c>
      <c r="P47" s="7" t="str">
        <f t="shared" si="4"/>
        <v/>
      </c>
      <c r="Q47" s="93" t="str">
        <f>IF(ISNUMBER(E47)=TRUE,"",IF(HKI!J47="","",HKI!J47))</f>
        <v/>
      </c>
      <c r="R47" s="93" t="str">
        <f t="shared" si="5"/>
        <v/>
      </c>
    </row>
    <row r="48" spans="1:18" ht="15">
      <c r="A48" s="2" t="str">
        <f>IF(OR($C$6="",$J$6=""),"",IF(B48="","",SUBTOTAL(3,$B$11:B48)))</f>
        <v/>
      </c>
      <c r="B48" s="90" t="str">
        <f>IF(OR($C$6="",$J$6="",$L$6=""),"",IF(HKI!B48="","",HKI!B48))</f>
        <v/>
      </c>
      <c r="C48" s="91" t="str">
        <f>IF($B48="","",VLOOKUP($B48,'DS LOP HKI'!$B$2:$F$2642,2,0))</f>
        <v/>
      </c>
      <c r="D48" s="92" t="str">
        <f>IF($B48="","",VLOOKUP($B48,'DS LOP HKI'!$B$2:$F$2642,3,0))</f>
        <v/>
      </c>
      <c r="E48" s="144"/>
      <c r="F48" s="201"/>
      <c r="G48" s="262"/>
      <c r="H48" s="262"/>
      <c r="I48" s="262"/>
      <c r="J48" s="201"/>
      <c r="K48" s="201"/>
      <c r="L48" s="201"/>
      <c r="M48" s="262"/>
      <c r="N48" s="262"/>
      <c r="O48" s="12" t="str">
        <f t="shared" si="3"/>
        <v/>
      </c>
      <c r="P48" s="7" t="str">
        <f t="shared" si="4"/>
        <v/>
      </c>
      <c r="Q48" s="93" t="str">
        <f>IF(ISNUMBER(E48)=TRUE,"",IF(HKI!J48="","",HKI!J48))</f>
        <v/>
      </c>
      <c r="R48" s="93" t="str">
        <f t="shared" si="5"/>
        <v/>
      </c>
    </row>
    <row r="49" spans="1:18" ht="15">
      <c r="A49" s="2" t="str">
        <f>IF(OR($C$6="",$J$6=""),"",IF(B49="","",SUBTOTAL(3,$B$11:B49)))</f>
        <v/>
      </c>
      <c r="B49" s="90" t="str">
        <f>IF(OR($C$6="",$J$6="",$L$6=""),"",IF(HKI!B49="","",HKI!B49))</f>
        <v/>
      </c>
      <c r="C49" s="91" t="str">
        <f>IF($B49="","",VLOOKUP($B49,'DS LOP HKI'!$B$2:$F$2642,2,0))</f>
        <v/>
      </c>
      <c r="D49" s="92" t="str">
        <f>IF($B49="","",VLOOKUP($B49,'DS LOP HKI'!$B$2:$F$2642,3,0))</f>
        <v/>
      </c>
      <c r="E49" s="144"/>
      <c r="F49" s="201"/>
      <c r="G49" s="262"/>
      <c r="H49" s="262"/>
      <c r="I49" s="262"/>
      <c r="J49" s="201"/>
      <c r="K49" s="201"/>
      <c r="L49" s="201"/>
      <c r="M49" s="262"/>
      <c r="N49" s="262"/>
      <c r="O49" s="12" t="str">
        <f t="shared" si="3"/>
        <v/>
      </c>
      <c r="P49" s="7" t="str">
        <f t="shared" si="4"/>
        <v/>
      </c>
      <c r="Q49" s="93" t="str">
        <f>IF(ISNUMBER(E49)=TRUE,"",IF(HKI!J49="","",HKI!J49))</f>
        <v/>
      </c>
      <c r="R49" s="93" t="str">
        <f t="shared" si="5"/>
        <v/>
      </c>
    </row>
    <row r="50" spans="1:18" ht="15">
      <c r="A50" s="2" t="str">
        <f>IF(OR($C$6="",$J$6=""),"",IF(B50="","",SUBTOTAL(3,$B$11:B50)))</f>
        <v/>
      </c>
      <c r="B50" s="90" t="str">
        <f>IF(OR($C$6="",$J$6="",$L$6=""),"",IF(HKI!B50="","",HKI!B50))</f>
        <v/>
      </c>
      <c r="C50" s="91" t="str">
        <f>IF($B50="","",VLOOKUP($B50,'DS LOP HKI'!$B$2:$F$2642,2,0))</f>
        <v/>
      </c>
      <c r="D50" s="92" t="str">
        <f>IF($B50="","",VLOOKUP($B50,'DS LOP HKI'!$B$2:$F$2642,3,0))</f>
        <v/>
      </c>
      <c r="E50" s="144"/>
      <c r="F50" s="201"/>
      <c r="G50" s="262"/>
      <c r="H50" s="262"/>
      <c r="I50" s="262"/>
      <c r="J50" s="201"/>
      <c r="K50" s="201"/>
      <c r="L50" s="201"/>
      <c r="M50" s="262"/>
      <c r="N50" s="262"/>
      <c r="O50" s="12" t="str">
        <f t="shared" si="3"/>
        <v/>
      </c>
      <c r="P50" s="7" t="str">
        <f t="shared" si="4"/>
        <v/>
      </c>
      <c r="Q50" s="93" t="str">
        <f>IF(ISNUMBER(E50)=TRUE,"",IF(HKI!J50="","",HKI!J50))</f>
        <v/>
      </c>
      <c r="R50" s="93" t="str">
        <f t="shared" si="5"/>
        <v/>
      </c>
    </row>
    <row r="51" spans="1:18" ht="15">
      <c r="A51" s="2" t="str">
        <f>IF(OR($C$6="",$J$6=""),"",IF(B51="","",SUBTOTAL(3,$B$11:B51)))</f>
        <v/>
      </c>
      <c r="B51" s="90" t="str">
        <f>IF(OR($C$6="",$J$6="",$L$6=""),"",IF(HKI!B51="","",HKI!B51))</f>
        <v/>
      </c>
      <c r="C51" s="91" t="str">
        <f>IF($B51="","",VLOOKUP($B51,'DS LOP HKI'!$B$2:$F$2642,2,0))</f>
        <v/>
      </c>
      <c r="D51" s="92" t="str">
        <f>IF($B51="","",VLOOKUP($B51,'DS LOP HKI'!$B$2:$F$2642,3,0))</f>
        <v/>
      </c>
      <c r="E51" s="144"/>
      <c r="F51" s="201"/>
      <c r="G51" s="262"/>
      <c r="H51" s="262"/>
      <c r="I51" s="262"/>
      <c r="J51" s="201"/>
      <c r="K51" s="201"/>
      <c r="L51" s="201"/>
      <c r="M51" s="262"/>
      <c r="N51" s="262"/>
      <c r="O51" s="12" t="str">
        <f t="shared" si="3"/>
        <v/>
      </c>
      <c r="P51" s="7" t="str">
        <f t="shared" si="4"/>
        <v/>
      </c>
      <c r="Q51" s="93" t="str">
        <f>IF(ISNUMBER(E51)=TRUE,"",IF(HKI!J51="","",HKI!J51))</f>
        <v/>
      </c>
      <c r="R51" s="93" t="str">
        <f t="shared" si="5"/>
        <v/>
      </c>
    </row>
    <row r="52" spans="1:18" ht="15">
      <c r="A52" s="2" t="str">
        <f>IF(OR($C$6="",$J$6=""),"",IF(B52="","",SUBTOTAL(3,$B$11:B52)))</f>
        <v/>
      </c>
      <c r="B52" s="90" t="str">
        <f>IF(OR($C$6="",$J$6="",$L$6=""),"",IF(HKI!B52="","",HKI!B52))</f>
        <v/>
      </c>
      <c r="C52" s="91" t="str">
        <f>IF($B52="","",VLOOKUP($B52,'DS LOP HKI'!$B$2:$F$2642,2,0))</f>
        <v/>
      </c>
      <c r="D52" s="92" t="str">
        <f>IF($B52="","",VLOOKUP($B52,'DS LOP HKI'!$B$2:$F$2642,3,0))</f>
        <v/>
      </c>
      <c r="E52" s="144"/>
      <c r="F52" s="201"/>
      <c r="G52" s="262"/>
      <c r="H52" s="262"/>
      <c r="I52" s="262"/>
      <c r="J52" s="201"/>
      <c r="K52" s="201"/>
      <c r="L52" s="201"/>
      <c r="M52" s="262"/>
      <c r="N52" s="262"/>
      <c r="O52" s="12" t="str">
        <f t="shared" si="3"/>
        <v/>
      </c>
      <c r="P52" s="7" t="str">
        <f t="shared" si="4"/>
        <v/>
      </c>
      <c r="Q52" s="93" t="str">
        <f>IF(ISNUMBER(E52)=TRUE,"",IF(HKI!J52="","",HKI!J52))</f>
        <v/>
      </c>
      <c r="R52" s="93" t="str">
        <f t="shared" si="5"/>
        <v/>
      </c>
    </row>
    <row r="53" spans="1:18" ht="15">
      <c r="A53" s="2" t="str">
        <f>IF(OR($C$6="",$J$6=""),"",IF(B53="","",SUBTOTAL(3,$B$11:B53)))</f>
        <v/>
      </c>
      <c r="B53" s="90" t="str">
        <f>IF(OR($C$6="",$J$6="",$L$6=""),"",IF(HKI!B53="","",HKI!B53))</f>
        <v/>
      </c>
      <c r="C53" s="91" t="str">
        <f>IF($B53="","",VLOOKUP($B53,'DS LOP HKI'!$B$2:$F$2642,2,0))</f>
        <v/>
      </c>
      <c r="D53" s="92" t="str">
        <f>IF($B53="","",VLOOKUP($B53,'DS LOP HKI'!$B$2:$F$2642,3,0))</f>
        <v/>
      </c>
      <c r="E53" s="144"/>
      <c r="F53" s="201"/>
      <c r="G53" s="262"/>
      <c r="H53" s="262"/>
      <c r="I53" s="262"/>
      <c r="J53" s="201"/>
      <c r="K53" s="201"/>
      <c r="L53" s="201"/>
      <c r="M53" s="262"/>
      <c r="N53" s="262"/>
      <c r="O53" s="12" t="str">
        <f t="shared" si="3"/>
        <v/>
      </c>
      <c r="P53" s="7" t="str">
        <f t="shared" si="4"/>
        <v/>
      </c>
      <c r="Q53" s="93" t="str">
        <f>IF(ISNUMBER(E53)=TRUE,"",IF(HKI!J53="","",HKI!J53))</f>
        <v/>
      </c>
      <c r="R53" s="93" t="str">
        <f t="shared" si="5"/>
        <v/>
      </c>
    </row>
    <row r="54" spans="1:18" ht="15">
      <c r="A54" s="2" t="str">
        <f>IF(OR($C$6="",$J$6=""),"",IF(B54="","",SUBTOTAL(3,$B$11:B54)))</f>
        <v/>
      </c>
      <c r="B54" s="90" t="str">
        <f>IF(OR($C$6="",$J$6="",$L$6=""),"",IF(HKI!B54="","",HKI!B54))</f>
        <v/>
      </c>
      <c r="C54" s="91" t="str">
        <f>IF($B54="","",VLOOKUP($B54,'DS LOP HKI'!$B$2:$F$2642,2,0))</f>
        <v/>
      </c>
      <c r="D54" s="92" t="str">
        <f>IF($B54="","",VLOOKUP($B54,'DS LOP HKI'!$B$2:$F$2642,3,0))</f>
        <v/>
      </c>
      <c r="E54" s="144"/>
      <c r="F54" s="201"/>
      <c r="G54" s="262"/>
      <c r="H54" s="262"/>
      <c r="I54" s="262"/>
      <c r="J54" s="201"/>
      <c r="K54" s="201"/>
      <c r="L54" s="201"/>
      <c r="M54" s="262"/>
      <c r="N54" s="262"/>
      <c r="O54" s="12" t="str">
        <f t="shared" si="3"/>
        <v/>
      </c>
      <c r="P54" s="7" t="str">
        <f t="shared" si="4"/>
        <v/>
      </c>
      <c r="Q54" s="93" t="str">
        <f>IF(ISNUMBER(E54)=TRUE,"",IF(HKI!J54="","",HKI!J54))</f>
        <v/>
      </c>
      <c r="R54" s="93" t="str">
        <f t="shared" si="5"/>
        <v/>
      </c>
    </row>
    <row r="55" spans="1:18" ht="15">
      <c r="A55" s="2" t="str">
        <f>IF(OR($C$6="",$J$6=""),"",IF(B55="","",SUBTOTAL(3,$B$11:B55)))</f>
        <v/>
      </c>
      <c r="B55" s="90" t="str">
        <f>IF(OR($C$6="",$J$6="",$L$6=""),"",IF(HKI!B55="","",HKI!B55))</f>
        <v/>
      </c>
      <c r="C55" s="91" t="str">
        <f>IF($B55="","",VLOOKUP($B55,'DS LOP HKI'!$B$2:$F$2642,2,0))</f>
        <v/>
      </c>
      <c r="D55" s="92" t="str">
        <f>IF($B55="","",VLOOKUP($B55,'DS LOP HKI'!$B$2:$F$2642,3,0))</f>
        <v/>
      </c>
      <c r="E55" s="144"/>
      <c r="F55" s="201"/>
      <c r="G55" s="262"/>
      <c r="H55" s="262"/>
      <c r="I55" s="262"/>
      <c r="J55" s="201"/>
      <c r="K55" s="201"/>
      <c r="L55" s="201"/>
      <c r="M55" s="262"/>
      <c r="N55" s="262"/>
      <c r="O55" s="12" t="str">
        <f t="shared" si="3"/>
        <v/>
      </c>
      <c r="P55" s="7" t="str">
        <f t="shared" si="4"/>
        <v/>
      </c>
      <c r="Q55" s="93" t="str">
        <f>IF(ISNUMBER(E55)=TRUE,"",IF(HKI!J55="","",HKI!J55))</f>
        <v/>
      </c>
      <c r="R55" s="93" t="str">
        <f t="shared" si="5"/>
        <v/>
      </c>
    </row>
    <row r="56" spans="1:18" ht="15">
      <c r="A56" s="2" t="str">
        <f>IF(OR($C$6="",$J$6=""),"",IF(B56="","",SUBTOTAL(3,$B$11:B56)))</f>
        <v/>
      </c>
      <c r="B56" s="90" t="str">
        <f>IF(OR($C$6="",$J$6="",$L$6=""),"",IF(HKI!B56="","",HKI!B56))</f>
        <v/>
      </c>
      <c r="C56" s="91" t="str">
        <f>IF($B56="","",VLOOKUP($B56,'DS LOP HKI'!$B$2:$F$2642,2,0))</f>
        <v/>
      </c>
      <c r="D56" s="92" t="str">
        <f>IF($B56="","",VLOOKUP($B56,'DS LOP HKI'!$B$2:$F$2642,3,0))</f>
        <v/>
      </c>
      <c r="E56" s="144"/>
      <c r="F56" s="201"/>
      <c r="G56" s="262"/>
      <c r="H56" s="262"/>
      <c r="I56" s="262"/>
      <c r="J56" s="201"/>
      <c r="K56" s="201"/>
      <c r="L56" s="201"/>
      <c r="M56" s="262"/>
      <c r="N56" s="262"/>
      <c r="O56" s="12" t="str">
        <f t="shared" si="3"/>
        <v/>
      </c>
      <c r="P56" s="7" t="str">
        <f t="shared" si="4"/>
        <v/>
      </c>
      <c r="Q56" s="93" t="str">
        <f>IF(ISNUMBER(E56)=TRUE,"",IF(HKI!J56="","",HKI!J56))</f>
        <v/>
      </c>
      <c r="R56" s="93" t="str">
        <f t="shared" si="5"/>
        <v/>
      </c>
    </row>
    <row r="57" spans="1:18"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3"/>
        <v/>
      </c>
      <c r="P57" s="7" t="str">
        <f t="shared" si="4"/>
        <v/>
      </c>
      <c r="Q57" s="93" t="str">
        <f>IF(ISNUMBER(E57)=TRUE,"",IF(HKI!J57="","",HKI!J57))</f>
        <v/>
      </c>
      <c r="R57" s="93" t="str">
        <f t="shared" si="5"/>
        <v/>
      </c>
    </row>
    <row r="58" spans="1:18" ht="15">
      <c r="A58" s="2" t="str">
        <f>IF(OR($C$6="",$J$6=""),"",IF(B58="","",SUBTOTAL(3,$B$11:B58)))</f>
        <v/>
      </c>
      <c r="B58" s="90" t="str">
        <f>IF(OR($C$6="",$J$6="",$L$6=""),"",IF(HKI!B58="","",HKI!B58))</f>
        <v/>
      </c>
      <c r="C58" s="91" t="str">
        <f>IF($B58="","",VLOOKUP($B58,'DS LOP HKI'!$B$2:$F$2642,2,0))</f>
        <v/>
      </c>
      <c r="D58" s="92" t="str">
        <f>IF($B58="","",VLOOKUP($B58,'DS LOP HKI'!$B$2:$F$2642,3,0))</f>
        <v/>
      </c>
      <c r="E58" s="144"/>
      <c r="F58" s="141"/>
      <c r="G58" s="262"/>
      <c r="H58" s="262"/>
      <c r="I58" s="262"/>
      <c r="J58" s="141"/>
      <c r="K58" s="141"/>
      <c r="L58" s="141"/>
      <c r="M58" s="262"/>
      <c r="N58" s="262"/>
      <c r="O58" s="12" t="str">
        <f t="shared" si="3"/>
        <v/>
      </c>
      <c r="P58" s="7" t="str">
        <f t="shared" si="4"/>
        <v/>
      </c>
      <c r="Q58" s="93" t="str">
        <f>IF(ISNUMBER(E58)=TRUE,"",IF(HKI!J58="","",HKI!J58))</f>
        <v/>
      </c>
      <c r="R58" s="93" t="str">
        <f t="shared" si="5"/>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3"/>
        <v/>
      </c>
      <c r="P59" s="7" t="str">
        <f t="shared" si="4"/>
        <v/>
      </c>
      <c r="Q59" s="93" t="str">
        <f>IF(ISNUMBER(E59)=TRUE,"",IF(HKI!J59="","",HKI!J59))</f>
        <v/>
      </c>
      <c r="R59" s="93" t="str">
        <f t="shared" si="5"/>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3"/>
        <v/>
      </c>
      <c r="P60" s="7" t="str">
        <f t="shared" si="4"/>
        <v/>
      </c>
      <c r="Q60" s="93" t="str">
        <f>IF(ISNUMBER(E60)=TRUE,"",IF(HKI!J60="","",HKI!J60))</f>
        <v/>
      </c>
      <c r="R60" s="93" t="str">
        <f t="shared" si="5"/>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3"/>
        <v/>
      </c>
      <c r="P61" s="7" t="str">
        <f t="shared" si="4"/>
        <v/>
      </c>
      <c r="Q61" s="93" t="str">
        <f>IF(ISNUMBER(E61)=TRUE,"",IF(HKI!J61="","",HKI!J61))</f>
        <v/>
      </c>
      <c r="R61" s="93" t="str">
        <f t="shared" si="5"/>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3"/>
        <v/>
      </c>
      <c r="P62" s="7" t="str">
        <f t="shared" si="4"/>
        <v/>
      </c>
      <c r="Q62" s="93" t="str">
        <f>IF(ISNUMBER(E62)=TRUE,"",IF(HKI!J62="","",HKI!J62))</f>
        <v/>
      </c>
      <c r="R62" s="93" t="str">
        <f t="shared" si="5"/>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3"/>
        <v/>
      </c>
      <c r="P63" s="7" t="str">
        <f t="shared" si="4"/>
        <v/>
      </c>
      <c r="Q63" s="93" t="str">
        <f>IF(ISNUMBER(E63)=TRUE,"",IF(HKI!J63="","",HKI!J63))</f>
        <v/>
      </c>
      <c r="R63" s="93" t="str">
        <f t="shared" si="5"/>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3"/>
        <v/>
      </c>
      <c r="P64" s="7" t="str">
        <f t="shared" si="4"/>
        <v/>
      </c>
      <c r="Q64" s="93" t="str">
        <f>IF(ISNUMBER(E64)=TRUE,"",IF(HKI!J64="","",HKI!J64))</f>
        <v/>
      </c>
      <c r="R64" s="93" t="str">
        <f t="shared" si="5"/>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3"/>
        <v/>
      </c>
      <c r="P65" s="7" t="str">
        <f t="shared" si="4"/>
        <v/>
      </c>
      <c r="Q65" s="93" t="str">
        <f>IF(ISNUMBER(E65)=TRUE,"",IF(HKI!J65="","",HKI!J65))</f>
        <v/>
      </c>
      <c r="R65" s="93" t="str">
        <f t="shared" si="5"/>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3"/>
        <v/>
      </c>
      <c r="P66" s="7" t="str">
        <f t="shared" si="4"/>
        <v/>
      </c>
      <c r="Q66" s="93" t="str">
        <f>IF(ISNUMBER(E66)=TRUE,"",IF(HKI!J66="","",HKI!J66))</f>
        <v/>
      </c>
      <c r="R66" s="93" t="str">
        <f t="shared" si="5"/>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3"/>
        <v/>
      </c>
      <c r="P67" s="7" t="str">
        <f t="shared" si="4"/>
        <v/>
      </c>
      <c r="Q67" s="93" t="str">
        <f>IF(ISNUMBER(E67)=TRUE,"",IF(HKI!J67="","",HKI!J67))</f>
        <v/>
      </c>
      <c r="R67" s="93" t="str">
        <f t="shared" si="5"/>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3"/>
        <v/>
      </c>
      <c r="P68" s="7" t="str">
        <f t="shared" si="4"/>
        <v/>
      </c>
      <c r="Q68" s="93" t="str">
        <f>IF(ISNUMBER(E68)=TRUE,"",IF(HKI!J68="","",HKI!J68))</f>
        <v/>
      </c>
      <c r="R68" s="93" t="str">
        <f t="shared" si="5"/>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3"/>
        <v/>
      </c>
      <c r="P69" s="7" t="str">
        <f t="shared" si="4"/>
        <v/>
      </c>
      <c r="Q69" s="93" t="str">
        <f>IF(ISNUMBER(E69)=TRUE,"",IF(HKI!J69="","",HKI!J69))</f>
        <v/>
      </c>
      <c r="R69" s="93" t="str">
        <f t="shared" si="5"/>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3"/>
        <v/>
      </c>
      <c r="P70" s="7" t="str">
        <f t="shared" si="4"/>
        <v/>
      </c>
      <c r="Q70" s="93" t="str">
        <f>IF(ISNUMBER(E70)=TRUE,"",IF(HKI!J70="","",HKI!J70))</f>
        <v/>
      </c>
      <c r="R70" s="93" t="str">
        <f t="shared" si="5"/>
        <v/>
      </c>
    </row>
    <row r="71" spans="1:18" ht="15">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3"/>
        <v/>
      </c>
      <c r="P71" s="7" t="str">
        <f t="shared" si="4"/>
        <v/>
      </c>
      <c r="Q71" s="93" t="str">
        <f>IF(ISNUMBER(E71)=TRUE,"",IF(HKI!J71="","",HKI!J71))</f>
        <v/>
      </c>
      <c r="R71" s="93" t="str">
        <f t="shared" si="5"/>
        <v/>
      </c>
    </row>
    <row r="72" spans="1:18"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3"/>
        <v/>
      </c>
      <c r="P72" s="7" t="str">
        <f t="shared" si="4"/>
        <v/>
      </c>
      <c r="Q72" s="93" t="str">
        <f>IF(ISNUMBER(E72)=TRUE,"",IF(HKI!J72="","",HKI!J72))</f>
        <v/>
      </c>
      <c r="R72" s="93" t="str">
        <f t="shared" si="5"/>
        <v/>
      </c>
    </row>
    <row r="73" spans="1:18" ht="15">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3"/>
        <v/>
      </c>
      <c r="P73" s="7" t="str">
        <f t="shared" si="4"/>
        <v/>
      </c>
      <c r="Q73" s="93" t="str">
        <f>IF(ISNUMBER(E73)=TRUE,"",IF(HKI!J73="","",HKI!J73))</f>
        <v/>
      </c>
      <c r="R73" s="93" t="str">
        <f t="shared" si="5"/>
        <v/>
      </c>
    </row>
    <row r="74" spans="1:18" ht="15">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3"/>
        <v/>
      </c>
      <c r="P74" s="7" t="str">
        <f t="shared" si="4"/>
        <v/>
      </c>
      <c r="Q74" s="93" t="str">
        <f>IF(ISNUMBER(E74)=TRUE,"",IF(HKI!J74="","",HKI!J74))</f>
        <v/>
      </c>
      <c r="R74" s="93" t="str">
        <f t="shared" si="5"/>
        <v/>
      </c>
    </row>
    <row r="75" spans="1:18" ht="15">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IF(B75="","",IF(ISNUMBER(E75)=TRUE,E75,IF(COUNT(G75:N75)=0,"",IF(COUNT(G75:L75)=0,ROUND(0.3*M75+0.5*N75,1),ROUND(0.2*(SUM(G75:L75)/COUNT(G75:L75))+0.3*M75+0.5*N75,1)))))</f>
        <v/>
      </c>
      <c r="P75" s="7" t="str">
        <f>IF(B75="","",IF(O75="","KXL",IF(O75&lt;4,"Kém",IF(O75&lt;5.5,"TBY",IF(O75&lt;7,"TB",IF(O75&lt;8.5,"Khá","Giỏi"))))))</f>
        <v/>
      </c>
      <c r="Q75" s="93" t="str">
        <f>IF(ISNUMBER(E75)=TRUE,"",IF(HKI!J75="","",HKI!J75))</f>
        <v/>
      </c>
      <c r="R75" s="93" t="str">
        <f>IF(B75="","",IF(Q75="","",IF(COUNT(G75:N75)=0,"",IF(N75&gt;=Q75,O75,IF(COUNT(G75:L75)=0,ROUND(0.3*M75+0.5*Q75,1),ROUND(0.2*(SUM(G75:L75)/COUNT(G75:L75))+0.3*M75+0.5*Q75,1))))))</f>
        <v/>
      </c>
    </row>
    <row r="76" spans="1:18" s="38" customFormat="1">
      <c r="A76" s="792" t="s">
        <v>1519</v>
      </c>
      <c r="B76" s="792"/>
      <c r="C76" s="792"/>
      <c r="D76" s="792"/>
      <c r="E76" s="792"/>
      <c r="F76" s="792"/>
      <c r="G76" s="792"/>
      <c r="H76" s="792"/>
      <c r="I76" s="792"/>
      <c r="J76" s="792"/>
      <c r="K76" s="792"/>
      <c r="L76" s="792"/>
      <c r="M76" s="792"/>
      <c r="N76" s="792"/>
      <c r="O76" s="792"/>
      <c r="P76" s="792"/>
    </row>
    <row r="77" spans="1:18" s="38" customFormat="1">
      <c r="A77" s="5"/>
      <c r="B77" s="793" t="str">
        <f>"Tổng danh sách có"</f>
        <v>Tổng danh sách có</v>
      </c>
      <c r="C77" s="793"/>
      <c r="D77" s="793"/>
      <c r="E77" s="793"/>
      <c r="F77" s="804" t="str">
        <f>": "&amp;MAX($A$11:$A$75)&amp;" SV"</f>
        <v>: 35 SV</v>
      </c>
      <c r="G77" s="804"/>
      <c r="L77" s="6"/>
      <c r="M77" s="6"/>
      <c r="N77" s="6"/>
      <c r="O77" s="6"/>
      <c r="P77" s="5"/>
    </row>
    <row r="78" spans="1:18" s="38" customFormat="1" ht="12.75" customHeight="1">
      <c r="A78" s="4"/>
      <c r="B78" s="782" t="str">
        <f>"Tổng số SV có điểm Giỏi từ 8,5 đ đến 10 đ"</f>
        <v>Tổng số SV có điểm Giỏi từ 8,5 đ đến 10 đ</v>
      </c>
      <c r="C78" s="782"/>
      <c r="D78" s="782"/>
      <c r="E78" s="782"/>
      <c r="F78" s="782" t="str">
        <f>": "&amp;COUNTIF($P$11:$P$75,"Giỏi")&amp;" SV"</f>
        <v>: 0 SV</v>
      </c>
      <c r="G78" s="782"/>
      <c r="H78" s="782" t="str">
        <f>IF(B11="","","("&amp;ROUND(COUNTIF($P$11:$P$75,"Giỏi")*100/MAX($A$11:$A$75),2)&amp;"%" &amp;")")</f>
        <v>(0%)</v>
      </c>
      <c r="I78" s="782"/>
      <c r="J78" s="782"/>
      <c r="K78" s="782"/>
      <c r="L78" s="789" t="str">
        <f>IF(B11="","","Tổng số SV có điểm &gt;= 4 đ : "&amp;COUNTIF(O11:O75,"&gt;=4")&amp;" SV"&amp;" ("&amp;ROUND(COUNTIF(O11:O75,"&gt;=4")*100/MAX($A$11:$A$75),2)&amp;"%" &amp;")")</f>
        <v>Tổng số SV có điểm &gt;= 4 đ : 32 SV (91.43%)</v>
      </c>
      <c r="M78" s="789"/>
      <c r="N78" s="789"/>
      <c r="O78" s="789"/>
      <c r="P78" s="46"/>
    </row>
    <row r="79" spans="1:18" s="38" customFormat="1" ht="12.75" customHeight="1">
      <c r="A79" s="4"/>
      <c r="B79" s="782" t="str">
        <f>"Tổng số SV có điểm Khá từ 7 đ đến &lt;8,5 đ"</f>
        <v>Tổng số SV có điểm Khá từ 7 đ đến &lt;8,5 đ</v>
      </c>
      <c r="C79" s="782"/>
      <c r="D79" s="782"/>
      <c r="E79" s="782"/>
      <c r="F79" s="782" t="str">
        <f>": "&amp;COUNTIF($P$11:$P$75,"Khá")&amp;" SV"</f>
        <v>: 0 SV</v>
      </c>
      <c r="G79" s="782"/>
      <c r="H79" s="782" t="str">
        <f>IF(B11="","","("&amp;ROUND(COUNTIF($P$11:$P$75,"Khá")*100/MAX($A$11:$A$75),2)&amp;"%" &amp;")")</f>
        <v>(0%)</v>
      </c>
      <c r="I79" s="782"/>
      <c r="J79" s="782"/>
      <c r="K79" s="782"/>
      <c r="L79" s="789"/>
      <c r="M79" s="789"/>
      <c r="N79" s="789"/>
      <c r="O79" s="789"/>
      <c r="P79" s="46"/>
    </row>
    <row r="80" spans="1:18" s="38" customFormat="1" ht="12.75" customHeight="1">
      <c r="A80" s="4"/>
      <c r="B80" s="782" t="str">
        <f>"Tổng số SV có điểm Trung bình từ 5,5 đ đến &lt;7 đ"</f>
        <v>Tổng số SV có điểm Trung bình từ 5,5 đ đến &lt;7 đ</v>
      </c>
      <c r="C80" s="782"/>
      <c r="D80" s="782"/>
      <c r="E80" s="782"/>
      <c r="F80" s="782" t="str">
        <f>": "&amp;COUNTIF($P$11:$P$75,"TB")&amp;" SV"</f>
        <v>: 1 SV</v>
      </c>
      <c r="G80" s="782"/>
      <c r="H80" s="782" t="str">
        <f>IF(B11="","","("&amp;ROUND(COUNTIF($P$11:$P$75,"TB")*100/MAX($A$11:$A$75),2)&amp;"%" &amp;")")</f>
        <v>(2.86%)</v>
      </c>
      <c r="I80" s="782"/>
      <c r="J80" s="782"/>
      <c r="K80" s="782"/>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31 SV</v>
      </c>
      <c r="G81" s="782"/>
      <c r="H81" s="782" t="str">
        <f>IF(B11="","","("&amp;ROUND(COUNTIF($P$11:$P$75,"TBY")*100/MAX($A$11:$A$75),2)&amp;"%" &amp;")")</f>
        <v>(88.57%)</v>
      </c>
      <c r="I81" s="782"/>
      <c r="J81" s="782"/>
      <c r="K81" s="782"/>
      <c r="L81" s="794" t="str">
        <f>IF(B11="","","Tổng số SV có điểm &lt; 4 đ : "&amp;COUNTIF(O11:O75,"&lt;4")&amp;" SV"&amp;" ("&amp;ROUND(COUNTIF(O11:O75,"&lt;4")*100/MAX($A$11:$A$75),2)&amp;"%" &amp;")")</f>
        <v>Tổng số SV có điểm &lt; 4 đ : 1 SV (2.86%)</v>
      </c>
      <c r="M81" s="794"/>
      <c r="N81" s="794"/>
      <c r="O81" s="794"/>
      <c r="P81" s="94"/>
    </row>
    <row r="82" spans="1:16" s="38" customFormat="1" ht="12.75" customHeight="1">
      <c r="A82" s="4"/>
      <c r="B82" s="782" t="str">
        <f>"Tổng số SV có điểm kém &lt;4 đ"</f>
        <v>Tổng số SV có điểm kém &lt;4 đ</v>
      </c>
      <c r="C82" s="782"/>
      <c r="D82" s="782"/>
      <c r="E82" s="782"/>
      <c r="F82" s="782" t="str">
        <f>": "&amp;COUNTIF($P$11:$P$75,"Kém")&amp;" SV"</f>
        <v>: 1 SV</v>
      </c>
      <c r="G82" s="782"/>
      <c r="H82" s="782" t="str">
        <f>IF(B11="","","("&amp;ROUND(COUNTIF($P$11:$P$75,"Kém")*100/MAX($A$11:$A$75),2)&amp;"%"&amp;")")</f>
        <v>(2.86%)</v>
      </c>
      <c r="I82" s="782"/>
      <c r="J82" s="782"/>
      <c r="K82" s="782"/>
      <c r="L82" s="794"/>
      <c r="M82" s="794"/>
      <c r="N82" s="794"/>
      <c r="O82" s="794"/>
      <c r="P82" s="94"/>
    </row>
    <row r="83" spans="1:16" s="38" customFormat="1" ht="12.75" customHeight="1">
      <c r="A83" s="4"/>
      <c r="B83" s="782" t="str">
        <f>"Tổng số SV không xếp loại vì chưa đủ điều kiện"</f>
        <v>Tổng số SV không xếp loại vì chưa đủ điều kiện</v>
      </c>
      <c r="C83" s="782"/>
      <c r="D83" s="782"/>
      <c r="E83" s="782"/>
      <c r="F83" s="782" t="str">
        <f>": "&amp;COUNTIF($P$11:$P$75,"KXL")&amp;" SV"</f>
        <v>: 2 SV</v>
      </c>
      <c r="G83" s="782"/>
      <c r="H83" s="782" t="str">
        <f>IF(B11="","","("&amp;ROUND(COUNTIF($P$11:$P$75,"KXL")*100/MAX($A$11:$A$75),2)&amp;"%"&amp;")")</f>
        <v>(5.71%)</v>
      </c>
      <c r="I83" s="782"/>
      <c r="J83" s="782"/>
      <c r="K83" s="782"/>
      <c r="L83" s="794"/>
      <c r="M83" s="794"/>
      <c r="N83" s="794"/>
      <c r="O83" s="794"/>
      <c r="P83" s="94"/>
    </row>
    <row r="84" spans="1:16" ht="15.75">
      <c r="B84" s="47"/>
      <c r="C84" s="47"/>
      <c r="D84" s="47"/>
      <c r="E84" s="47"/>
      <c r="F84" s="47"/>
      <c r="G84" s="47"/>
      <c r="H84" s="47"/>
      <c r="I84" s="47"/>
      <c r="J84" s="47"/>
      <c r="K84" s="47"/>
      <c r="L84" s="47"/>
      <c r="M84" s="47"/>
      <c r="N84" s="47"/>
      <c r="O84" s="47"/>
    </row>
    <row r="85" spans="1:16" ht="15.75" customHeight="1">
      <c r="A85" s="781" t="s">
        <v>1427</v>
      </c>
      <c r="B85" s="781"/>
      <c r="C85" s="781"/>
      <c r="D85" s="781" t="s">
        <v>1515</v>
      </c>
      <c r="E85" s="781"/>
      <c r="F85" s="781"/>
      <c r="G85" s="781"/>
      <c r="H85" s="781"/>
      <c r="I85" s="84"/>
      <c r="J85" s="84"/>
      <c r="K85" s="781" t="s">
        <v>418</v>
      </c>
      <c r="L85" s="781"/>
      <c r="M85" s="781"/>
      <c r="N85" s="781"/>
      <c r="O85" s="781"/>
      <c r="P85" s="781"/>
    </row>
    <row r="86" spans="1:16">
      <c r="A86" s="795"/>
      <c r="B86" s="795"/>
      <c r="C86" s="795"/>
      <c r="D86" s="95"/>
      <c r="E86" s="95"/>
      <c r="G86" s="95"/>
      <c r="H86" s="95"/>
      <c r="I86" s="95"/>
      <c r="J86" s="95"/>
      <c r="K86" s="95"/>
      <c r="L86" s="95"/>
      <c r="M86" s="796"/>
      <c r="N86" s="796"/>
      <c r="O86" s="796"/>
      <c r="P86" s="796"/>
    </row>
    <row r="92" spans="1:16">
      <c r="A92" s="778"/>
      <c r="B92" s="778"/>
      <c r="C92" s="778"/>
      <c r="D92" s="778"/>
      <c r="E92" s="778"/>
      <c r="F92" s="778"/>
      <c r="G92" s="778"/>
      <c r="H92" s="778"/>
      <c r="K92" s="778"/>
      <c r="L92" s="778"/>
      <c r="M92" s="778"/>
      <c r="N92" s="778"/>
      <c r="O92" s="778"/>
    </row>
  </sheetData>
  <sheetProtection password="E4CC" sheet="1" objects="1" scenarios="1" formatCells="0" formatRows="0"/>
  <dataConsolidate/>
  <mergeCells count="63">
    <mergeCell ref="F77:G77"/>
    <mergeCell ref="H8:H9"/>
    <mergeCell ref="R8:R10"/>
    <mergeCell ref="N8:N9"/>
    <mergeCell ref="O8:O10"/>
    <mergeCell ref="P8:P10"/>
    <mergeCell ref="Q8:Q9"/>
    <mergeCell ref="B8:B10"/>
    <mergeCell ref="C8:D10"/>
    <mergeCell ref="E8:E10"/>
    <mergeCell ref="F8:F9"/>
    <mergeCell ref="G8:G9"/>
    <mergeCell ref="G10:L10"/>
    <mergeCell ref="I8:I9"/>
    <mergeCell ref="J8:J9"/>
    <mergeCell ref="F78:G78"/>
    <mergeCell ref="H81:K81"/>
    <mergeCell ref="A85:C85"/>
    <mergeCell ref="A86:C86"/>
    <mergeCell ref="M86:P86"/>
    <mergeCell ref="D85:H85"/>
    <mergeCell ref="K85:P85"/>
    <mergeCell ref="F83:G83"/>
    <mergeCell ref="H83:K83"/>
    <mergeCell ref="A5:P5"/>
    <mergeCell ref="B80:E80"/>
    <mergeCell ref="L78:O80"/>
    <mergeCell ref="G7:I7"/>
    <mergeCell ref="J7:L7"/>
    <mergeCell ref="H78:K78"/>
    <mergeCell ref="F79:G79"/>
    <mergeCell ref="K8:K9"/>
    <mergeCell ref="L8:L9"/>
    <mergeCell ref="M8:M9"/>
    <mergeCell ref="A76:P76"/>
    <mergeCell ref="B77:E77"/>
    <mergeCell ref="H79:K79"/>
    <mergeCell ref="B78:E78"/>
    <mergeCell ref="B79:E79"/>
    <mergeCell ref="H80:K80"/>
    <mergeCell ref="F1:P1"/>
    <mergeCell ref="F2:P2"/>
    <mergeCell ref="F3:P3"/>
    <mergeCell ref="A4:P4"/>
    <mergeCell ref="A2:E2"/>
    <mergeCell ref="A1:E1"/>
    <mergeCell ref="A3:E3"/>
    <mergeCell ref="A92:C92"/>
    <mergeCell ref="D92:H92"/>
    <mergeCell ref="K92:O92"/>
    <mergeCell ref="A6:B6"/>
    <mergeCell ref="C6:G6"/>
    <mergeCell ref="L6:N6"/>
    <mergeCell ref="H6:I6"/>
    <mergeCell ref="B81:E81"/>
    <mergeCell ref="B82:E82"/>
    <mergeCell ref="A8:A10"/>
    <mergeCell ref="B83:E83"/>
    <mergeCell ref="L81:O83"/>
    <mergeCell ref="F81:G81"/>
    <mergeCell ref="F82:G82"/>
    <mergeCell ref="H82:K82"/>
    <mergeCell ref="F80:G80"/>
  </mergeCells>
  <phoneticPr fontId="12" type="noConversion"/>
  <conditionalFormatting sqref="O11:O75">
    <cfRule type="cellIs" dxfId="10"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0.xml><?xml version="1.0" encoding="utf-8"?>
<worksheet xmlns="http://schemas.openxmlformats.org/spreadsheetml/2006/main" xmlns:r="http://schemas.openxmlformats.org/officeDocument/2006/relationships">
  <sheetPr codeName="Sheet8"/>
  <dimension ref="A1:R86"/>
  <sheetViews>
    <sheetView topLeftCell="A25" workbookViewId="0">
      <selection activeCell="G11" sqref="G11:N45"/>
    </sheetView>
  </sheetViews>
  <sheetFormatPr defaultColWidth="6" defaultRowHeight="12.75"/>
  <cols>
    <col min="1" max="1" width="3.85546875" style="5" bestFit="1" customWidth="1"/>
    <col min="2" max="2" width="11.5703125" style="5" bestFit="1" customWidth="1"/>
    <col min="3" max="3" width="21.85546875" style="5" customWidth="1"/>
    <col min="4" max="4" width="8.85546875" style="5"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9" width="6" style="5" customWidth="1"/>
    <col min="20" max="16384" width="6" style="5"/>
  </cols>
  <sheetData>
    <row r="1" spans="1:18" ht="15.75">
      <c r="A1" s="788" t="s">
        <v>1502</v>
      </c>
      <c r="B1" s="788"/>
      <c r="C1" s="788"/>
      <c r="D1" s="788"/>
      <c r="E1" s="788"/>
      <c r="F1" s="784" t="s">
        <v>1503</v>
      </c>
      <c r="G1" s="784"/>
      <c r="H1" s="784"/>
      <c r="I1" s="784"/>
      <c r="J1" s="784"/>
      <c r="K1" s="784"/>
      <c r="L1" s="784"/>
      <c r="M1" s="784"/>
      <c r="N1" s="784"/>
      <c r="O1" s="784"/>
      <c r="P1" s="784"/>
    </row>
    <row r="2" spans="1:18" ht="15.75">
      <c r="A2" s="787" t="s">
        <v>1504</v>
      </c>
      <c r="B2" s="787"/>
      <c r="C2" s="787"/>
      <c r="D2" s="787"/>
      <c r="E2" s="787"/>
      <c r="F2" s="784" t="s">
        <v>1505</v>
      </c>
      <c r="G2" s="784"/>
      <c r="H2" s="784"/>
      <c r="I2" s="784"/>
      <c r="J2" s="784"/>
      <c r="K2" s="784"/>
      <c r="L2" s="784"/>
      <c r="M2" s="784"/>
      <c r="N2" s="784"/>
      <c r="O2" s="784"/>
      <c r="P2" s="784"/>
    </row>
    <row r="3" spans="1:18" ht="15.75">
      <c r="A3" s="785" t="s">
        <v>1506</v>
      </c>
      <c r="B3" s="785"/>
      <c r="C3" s="785"/>
      <c r="D3" s="785"/>
      <c r="E3" s="785"/>
      <c r="F3" s="785" t="s">
        <v>1507</v>
      </c>
      <c r="G3" s="785"/>
      <c r="H3" s="785"/>
      <c r="I3" s="785"/>
      <c r="J3" s="785"/>
      <c r="K3" s="785"/>
      <c r="L3" s="785"/>
      <c r="M3" s="785"/>
      <c r="N3" s="785"/>
      <c r="O3" s="785"/>
      <c r="P3" s="785"/>
    </row>
    <row r="4" spans="1:18" ht="18.75">
      <c r="A4" s="786" t="s">
        <v>1508</v>
      </c>
      <c r="B4" s="786"/>
      <c r="C4" s="786"/>
      <c r="D4" s="786"/>
      <c r="E4" s="786"/>
      <c r="F4" s="786"/>
      <c r="G4" s="786"/>
      <c r="H4" s="786"/>
      <c r="I4" s="786"/>
      <c r="J4" s="786"/>
      <c r="K4" s="786"/>
      <c r="L4" s="786"/>
      <c r="M4" s="786"/>
      <c r="N4" s="786"/>
      <c r="O4" s="786"/>
      <c r="P4" s="786"/>
    </row>
    <row r="5" spans="1:18" ht="18.75">
      <c r="A5" s="786"/>
      <c r="B5" s="786"/>
      <c r="C5" s="786"/>
      <c r="D5" s="786"/>
      <c r="E5" s="786"/>
      <c r="F5" s="786"/>
      <c r="G5" s="786"/>
      <c r="H5" s="786"/>
      <c r="I5" s="786"/>
      <c r="J5" s="786"/>
      <c r="K5" s="786"/>
      <c r="L5" s="786"/>
      <c r="M5" s="786"/>
      <c r="N5" s="786"/>
      <c r="O5" s="786"/>
      <c r="P5" s="786"/>
    </row>
    <row r="6" spans="1:18" s="81" customFormat="1" ht="15">
      <c r="A6" s="779" t="s">
        <v>1509</v>
      </c>
      <c r="B6" s="779"/>
      <c r="C6" s="780" t="str">
        <f>IF(L6="","",IF(VLOOKUP(L6,'LOP-MON'!$C$2:$N$55,3,FALSE)=0,"",VLOOKUP(L6,'LOP-MON'!$C$2:$N$55,3,FALSE)))</f>
        <v>Những NLCB của CNMLN 2</v>
      </c>
      <c r="D6" s="780"/>
      <c r="E6" s="780"/>
      <c r="F6" s="780"/>
      <c r="G6" s="780"/>
      <c r="H6" s="781" t="s">
        <v>1532</v>
      </c>
      <c r="I6" s="781"/>
      <c r="J6" s="83">
        <f>IF(L6="","",IF(VLOOKUP(CONCATENATE("TC",MID(L6,1,4),MID(L6,6,3)),'LOP-MON'!$C$2:$N$55,3,FALSE)=0,"",VLOOKUP(CONCATENATE("TC",MID(L6,1,4),MID(L6,6,3)),'LOP-MON'!$C$2:$N$55,3,FALSE)))</f>
        <v>3</v>
      </c>
      <c r="K6" s="82" t="s">
        <v>1424</v>
      </c>
      <c r="L6" s="780" t="str">
        <f>HKI!$D$3</f>
        <v>13CĐ-Đ1</v>
      </c>
      <c r="M6" s="780"/>
      <c r="N6" s="780"/>
    </row>
    <row r="7" spans="1:18" s="86" customFormat="1" ht="15">
      <c r="C7" s="45" t="s">
        <v>1510</v>
      </c>
      <c r="D7" s="45" t="s">
        <v>1511</v>
      </c>
      <c r="E7" s="87"/>
      <c r="G7" s="790" t="s">
        <v>1512</v>
      </c>
      <c r="H7" s="790"/>
      <c r="I7" s="790"/>
      <c r="J7" s="790" t="s">
        <v>90</v>
      </c>
      <c r="K7" s="790"/>
      <c r="L7" s="790"/>
      <c r="O7" s="88"/>
      <c r="P7" s="88"/>
    </row>
    <row r="8" spans="1:18" s="81" customFormat="1" ht="15" customHeight="1">
      <c r="A8" s="783" t="s">
        <v>1514</v>
      </c>
      <c r="B8" s="783" t="s">
        <v>1425</v>
      </c>
      <c r="C8" s="783" t="s">
        <v>1426</v>
      </c>
      <c r="D8" s="783"/>
      <c r="E8" s="783" t="s">
        <v>1518</v>
      </c>
      <c r="F8" s="791" t="s">
        <v>1521</v>
      </c>
      <c r="G8" s="791" t="s">
        <v>1522</v>
      </c>
      <c r="H8" s="791" t="s">
        <v>1523</v>
      </c>
      <c r="I8" s="791" t="s">
        <v>1524</v>
      </c>
      <c r="J8" s="791" t="s">
        <v>1525</v>
      </c>
      <c r="K8" s="791" t="s">
        <v>1526</v>
      </c>
      <c r="L8" s="791" t="s">
        <v>1527</v>
      </c>
      <c r="M8" s="791" t="s">
        <v>1528</v>
      </c>
      <c r="N8" s="791" t="s">
        <v>1529</v>
      </c>
      <c r="O8" s="791" t="s">
        <v>1520</v>
      </c>
      <c r="P8" s="805" t="s">
        <v>1517</v>
      </c>
      <c r="Q8" s="791" t="s">
        <v>1530</v>
      </c>
      <c r="R8" s="791" t="s">
        <v>1531</v>
      </c>
    </row>
    <row r="9" spans="1:18" s="89" customFormat="1" ht="28.5" customHeight="1">
      <c r="A9" s="783"/>
      <c r="B9" s="783"/>
      <c r="C9" s="783"/>
      <c r="D9" s="783"/>
      <c r="E9" s="783"/>
      <c r="F9" s="791"/>
      <c r="G9" s="791"/>
      <c r="H9" s="791"/>
      <c r="I9" s="791"/>
      <c r="J9" s="791"/>
      <c r="K9" s="791"/>
      <c r="L9" s="791"/>
      <c r="M9" s="791"/>
      <c r="N9" s="791"/>
      <c r="O9" s="791"/>
      <c r="P9" s="805"/>
      <c r="Q9" s="791"/>
      <c r="R9" s="791"/>
    </row>
    <row r="10" spans="1:18" s="89" customFormat="1" ht="15">
      <c r="A10" s="783"/>
      <c r="B10" s="783"/>
      <c r="C10" s="783"/>
      <c r="D10" s="783"/>
      <c r="E10" s="783"/>
      <c r="F10" s="9"/>
      <c r="G10" s="803">
        <v>0.2</v>
      </c>
      <c r="H10" s="791"/>
      <c r="I10" s="791"/>
      <c r="J10" s="791"/>
      <c r="K10" s="791"/>
      <c r="L10" s="791"/>
      <c r="M10" s="9">
        <v>0.3</v>
      </c>
      <c r="N10" s="9">
        <v>0.5</v>
      </c>
      <c r="O10" s="791"/>
      <c r="P10" s="805"/>
      <c r="Q10" s="10">
        <v>0.5</v>
      </c>
      <c r="R10" s="791"/>
    </row>
    <row r="11" spans="1:18" ht="15">
      <c r="A11" s="2">
        <f>IF(OR($C$6="",$J$6="",L6=""),"",IF(B11="",1,SUBTOTAL(3,$B$11:B11)))</f>
        <v>1</v>
      </c>
      <c r="B11" s="90" t="str">
        <f>IF(OR($C$6="",$J$6="",$L$6=""),"",IF(HKI!B11="","",HKI!B11))</f>
        <v>13D301Đ001</v>
      </c>
      <c r="C11" s="91" t="str">
        <f>IF($B11="","",VLOOKUP($B11,'DS LOP HKI'!$B$2:$F$2642,2,0))</f>
        <v>Lương Hoàng Thuận</v>
      </c>
      <c r="D11" s="92" t="str">
        <f>IF($B11="","",VLOOKUP($B11,'DS LOP HKI'!$B$2:$F$2642,3,0))</f>
        <v>An</v>
      </c>
      <c r="E11" s="144"/>
      <c r="F11" s="200"/>
      <c r="G11" s="547">
        <v>8</v>
      </c>
      <c r="H11" s="547"/>
      <c r="I11" s="547"/>
      <c r="J11" s="547"/>
      <c r="K11" s="547"/>
      <c r="L11" s="547"/>
      <c r="M11" s="547">
        <v>7.3</v>
      </c>
      <c r="N11" s="547">
        <v>7</v>
      </c>
      <c r="O11" s="12">
        <f>IF(B11="","",IF(ISNUMBER(E11)=TRUE,E11,IF(COUNT(G11:N11)=0,"",IF(COUNT(G11:L11)=0,ROUND(0.3*M11+0.5*N11,1),ROUND(0.2*(SUM(G11:L11)/COUNT(G11:L11))+0.3*M11+0.5*N11,1)))))</f>
        <v>7.3</v>
      </c>
      <c r="P11" s="7" t="str">
        <f>IF(B11="","",IF(O11="","KXL",IF(O11&lt;4,"Kém",IF(O11&lt;5.5,"TBY",IF(O11&lt;7,"TB",IF(O11&lt;8.5,"Khá","Giỏi"))))))</f>
        <v>Khá</v>
      </c>
      <c r="Q11" s="93" t="str">
        <f>IF(ISNUMBER(E11)=TRUE,"",IF(HKI!N11="","",HKI!N11))</f>
        <v/>
      </c>
      <c r="R11" s="93" t="str">
        <f>IF(B11="","",IF(Q11="","",IF(COUNT(G11:N11)=0,"",IF(N11&gt;=Q11,O11,IF(COUNT(G11:L11)=0,ROUND(0.3*M11+0.5*Q11,1),ROUND(0.2*(SUM(G11:L11)/COUNT(G11:L11))+0.3*M11+0.5*Q11,1))))))</f>
        <v/>
      </c>
    </row>
    <row r="12" spans="1:18" ht="15">
      <c r="A12" s="2">
        <f>IF(OR($C$6="",$J$6=""),"",IF(B12="","",SUBTOTAL(3,$B$11:B12)))</f>
        <v>2</v>
      </c>
      <c r="B12" s="90" t="str">
        <f>IF(OR($C$6="",$J$6="",$L$6=""),"",IF(HKI!B12="","",HKI!B12))</f>
        <v>13D301Đ009</v>
      </c>
      <c r="C12" s="91" t="str">
        <f>IF($B12="","",VLOOKUP($B12,'DS LOP HKI'!$B$2:$F$2642,2,0))</f>
        <v>Võ Thành</v>
      </c>
      <c r="D12" s="92" t="str">
        <f>IF($B12="","",VLOOKUP($B12,'DS LOP HKI'!$B$2:$F$2642,3,0))</f>
        <v>Bảo</v>
      </c>
      <c r="E12" s="144"/>
      <c r="F12" s="201"/>
      <c r="G12" s="548">
        <v>7</v>
      </c>
      <c r="H12" s="548"/>
      <c r="I12" s="548"/>
      <c r="J12" s="548"/>
      <c r="K12" s="548"/>
      <c r="L12" s="548"/>
      <c r="M12" s="548">
        <v>4</v>
      </c>
      <c r="N12" s="548">
        <v>7</v>
      </c>
      <c r="O12" s="12">
        <f t="shared" ref="O12:O75" si="0">IF(B12="","",IF(ISNUMBER(E12)=TRUE,E12,IF(COUNT(G12:N12)=0,"",IF(COUNT(G12:L12)=0,ROUND(0.3*M12+0.5*N12,1),ROUND(0.2*(SUM(G12:L12)/COUNT(G12:L12))+0.3*M12+0.5*N12,1)))))</f>
        <v>6.1</v>
      </c>
      <c r="P12" s="7" t="str">
        <f t="shared" ref="P12:P75" si="1">IF(B12="","",IF(O12="","KXL",IF(O12&lt;4,"Kém",IF(O12&lt;5.5,"TBY",IF(O12&lt;7,"TB",IF(O12&lt;8.5,"Khá","Giỏi"))))))</f>
        <v>TB</v>
      </c>
      <c r="Q12" s="93" t="str">
        <f>IF(ISNUMBER(E12)=TRUE,"",IF(HKI!N12="","",HKI!N12))</f>
        <v/>
      </c>
      <c r="R12" s="93" t="str">
        <f t="shared" ref="R12:R75" si="2">IF(B12="","",IF(Q12="","",IF(COUNT(G12:N12)=0,"",IF(N12&gt;=Q12,O12,IF(COUNT(G12:L12)=0,ROUND(0.3*M12+0.5*Q12,1),ROUND(0.2*(SUM(G12:L12)/COUNT(G12:L12))+0.3*M12+0.5*Q12,1))))))</f>
        <v/>
      </c>
    </row>
    <row r="13" spans="1:18" ht="15">
      <c r="A13" s="2">
        <f>IF(OR($C$6="",$J$6=""),"",IF(B13="","",SUBTOTAL(3,$B$11:B13)))</f>
        <v>3</v>
      </c>
      <c r="B13" s="90" t="str">
        <f>IF(OR($C$6="",$J$6="",$L$6=""),"",IF(HKI!B13="","",HKI!B13))</f>
        <v>13D301Đ013</v>
      </c>
      <c r="C13" s="91" t="str">
        <f>IF($B13="","",VLOOKUP($B13,'DS LOP HKI'!$B$2:$F$2642,2,0))</f>
        <v>Nguyễn Chí</v>
      </c>
      <c r="D13" s="92" t="str">
        <f>IF($B13="","",VLOOKUP($B13,'DS LOP HKI'!$B$2:$F$2642,3,0))</f>
        <v>Bình</v>
      </c>
      <c r="E13" s="144"/>
      <c r="F13" s="201"/>
      <c r="G13" s="548">
        <v>7</v>
      </c>
      <c r="H13" s="548"/>
      <c r="I13" s="548"/>
      <c r="J13" s="548"/>
      <c r="K13" s="548"/>
      <c r="L13" s="548"/>
      <c r="M13" s="548">
        <v>5</v>
      </c>
      <c r="N13" s="548">
        <v>6.8</v>
      </c>
      <c r="O13" s="12">
        <f t="shared" si="0"/>
        <v>6.3</v>
      </c>
      <c r="P13" s="7" t="str">
        <f t="shared" si="1"/>
        <v>TB</v>
      </c>
      <c r="Q13" s="93" t="str">
        <f>IF(ISNUMBER(E13)=TRUE,"",IF(HKI!N13="","",HKI!N13))</f>
        <v/>
      </c>
      <c r="R13" s="93" t="str">
        <f t="shared" si="2"/>
        <v/>
      </c>
    </row>
    <row r="14" spans="1:18" ht="15">
      <c r="A14" s="2">
        <f>IF(OR($C$6="",$J$6=""),"",IF(B14="","",SUBTOTAL(3,$B$11:B14)))</f>
        <v>4</v>
      </c>
      <c r="B14" s="90" t="str">
        <f>IF(OR($C$6="",$J$6="",$L$6=""),"",IF(HKI!B14="","",HKI!B14))</f>
        <v>13D301Đ017</v>
      </c>
      <c r="C14" s="91" t="str">
        <f>IF($B14="","",VLOOKUP($B14,'DS LOP HKI'!$B$2:$F$2642,2,0))</f>
        <v>Trần Văn</v>
      </c>
      <c r="D14" s="92" t="str">
        <f>IF($B14="","",VLOOKUP($B14,'DS LOP HKI'!$B$2:$F$2642,3,0))</f>
        <v>Chinh</v>
      </c>
      <c r="E14" s="144"/>
      <c r="F14" s="201"/>
      <c r="G14" s="548">
        <v>8</v>
      </c>
      <c r="H14" s="548"/>
      <c r="I14" s="548"/>
      <c r="J14" s="548"/>
      <c r="K14" s="548"/>
      <c r="L14" s="548"/>
      <c r="M14" s="548">
        <v>5.5</v>
      </c>
      <c r="N14" s="548">
        <v>8</v>
      </c>
      <c r="O14" s="12">
        <f t="shared" si="0"/>
        <v>7.3</v>
      </c>
      <c r="P14" s="7" t="str">
        <f t="shared" si="1"/>
        <v>Khá</v>
      </c>
      <c r="Q14" s="93" t="str">
        <f>IF(ISNUMBER(E14)=TRUE,"",IF(HKI!N14="","",HKI!N14))</f>
        <v/>
      </c>
      <c r="R14" s="93" t="str">
        <f t="shared" si="2"/>
        <v/>
      </c>
    </row>
    <row r="15" spans="1:18" ht="15">
      <c r="A15" s="2">
        <f>IF(OR($C$6="",$J$6=""),"",IF(B15="","",SUBTOTAL(3,$B$11:B15)))</f>
        <v>5</v>
      </c>
      <c r="B15" s="90" t="str">
        <f>IF(OR($C$6="",$J$6="",$L$6=""),"",IF(HKI!B15="","",HKI!B15))</f>
        <v>13D301Đ021</v>
      </c>
      <c r="C15" s="91" t="str">
        <f>IF($B15="","",VLOOKUP($B15,'DS LOP HKI'!$B$2:$F$2642,2,0))</f>
        <v>Nguyễn Chí</v>
      </c>
      <c r="D15" s="92" t="str">
        <f>IF($B15="","",VLOOKUP($B15,'DS LOP HKI'!$B$2:$F$2642,3,0))</f>
        <v>Cường</v>
      </c>
      <c r="E15" s="144"/>
      <c r="F15" s="201"/>
      <c r="G15" s="548">
        <v>5</v>
      </c>
      <c r="H15" s="548"/>
      <c r="I15" s="548"/>
      <c r="J15" s="548"/>
      <c r="K15" s="548"/>
      <c r="L15" s="548"/>
      <c r="M15" s="548">
        <v>5.5</v>
      </c>
      <c r="N15" s="548">
        <v>7</v>
      </c>
      <c r="O15" s="12">
        <f t="shared" si="0"/>
        <v>6.2</v>
      </c>
      <c r="P15" s="7" t="str">
        <f t="shared" si="1"/>
        <v>TB</v>
      </c>
      <c r="Q15" s="93" t="str">
        <f>IF(ISNUMBER(E15)=TRUE,"",IF(HKI!N15="","",HKI!N15))</f>
        <v/>
      </c>
      <c r="R15" s="93" t="str">
        <f t="shared" si="2"/>
        <v/>
      </c>
    </row>
    <row r="16" spans="1:18" ht="15">
      <c r="A16" s="2">
        <f>IF(OR($C$6="",$J$6=""),"",IF(B16="","",SUBTOTAL(3,$B$11:B16)))</f>
        <v>6</v>
      </c>
      <c r="B16" s="90" t="str">
        <f>IF(OR($C$6="",$J$6="",$L$6=""),"",IF(HKI!B16="","",HKI!B16))</f>
        <v>13D301Đ025</v>
      </c>
      <c r="C16" s="91" t="str">
        <f>IF($B16="","",VLOOKUP($B16,'DS LOP HKI'!$B$2:$F$2642,2,0))</f>
        <v>Nguyễn Ngọc</v>
      </c>
      <c r="D16" s="92" t="str">
        <f>IF($B16="","",VLOOKUP($B16,'DS LOP HKI'!$B$2:$F$2642,3,0))</f>
        <v>Dũng</v>
      </c>
      <c r="E16" s="144"/>
      <c r="F16" s="201"/>
      <c r="G16" s="548">
        <v>5</v>
      </c>
      <c r="H16" s="548"/>
      <c r="I16" s="548"/>
      <c r="J16" s="548"/>
      <c r="K16" s="548"/>
      <c r="L16" s="548"/>
      <c r="M16" s="548">
        <v>3</v>
      </c>
      <c r="N16" s="548">
        <v>5.8</v>
      </c>
      <c r="O16" s="12">
        <f t="shared" si="0"/>
        <v>4.8</v>
      </c>
      <c r="P16" s="7" t="str">
        <f t="shared" si="1"/>
        <v>TBY</v>
      </c>
      <c r="Q16" s="93" t="str">
        <f>IF(ISNUMBER(E16)=TRUE,"",IF(HKI!N16="","",HKI!N16))</f>
        <v/>
      </c>
      <c r="R16" s="93" t="str">
        <f t="shared" si="2"/>
        <v/>
      </c>
    </row>
    <row r="17" spans="1:18" ht="1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201"/>
      <c r="G17" s="548">
        <v>8</v>
      </c>
      <c r="H17" s="548"/>
      <c r="I17" s="548"/>
      <c r="J17" s="548"/>
      <c r="K17" s="548"/>
      <c r="L17" s="548"/>
      <c r="M17" s="548">
        <v>7.5</v>
      </c>
      <c r="N17" s="548">
        <v>7</v>
      </c>
      <c r="O17" s="12">
        <f t="shared" si="0"/>
        <v>7.4</v>
      </c>
      <c r="P17" s="7" t="str">
        <f t="shared" si="1"/>
        <v>Khá</v>
      </c>
      <c r="Q17" s="93" t="str">
        <f>IF(ISNUMBER(E17)=TRUE,"",IF(HKI!N17="","",HKI!N17))</f>
        <v/>
      </c>
      <c r="R17" s="93" t="str">
        <f t="shared" si="2"/>
        <v/>
      </c>
    </row>
    <row r="18" spans="1:18" ht="15">
      <c r="A18" s="2">
        <f>IF(OR($C$6="",$J$6=""),"",IF(B18="","",SUBTOTAL(3,$B$11:B18)))</f>
        <v>8</v>
      </c>
      <c r="B18" s="90" t="str">
        <f>IF(OR($C$6="",$J$6="",$L$6=""),"",IF(HKI!B18="","",HKI!B18))</f>
        <v>13D301Đ037</v>
      </c>
      <c r="C18" s="91" t="str">
        <f>IF($B18="","",VLOOKUP($B18,'DS LOP HKI'!$B$2:$F$2642,2,0))</f>
        <v>Nguyễn Thành</v>
      </c>
      <c r="D18" s="92" t="str">
        <f>IF($B18="","",VLOOKUP($B18,'DS LOP HKI'!$B$2:$F$2642,3,0))</f>
        <v>Đông</v>
      </c>
      <c r="E18" s="144"/>
      <c r="F18" s="201"/>
      <c r="G18" s="548">
        <v>7</v>
      </c>
      <c r="H18" s="548"/>
      <c r="I18" s="548"/>
      <c r="J18" s="548"/>
      <c r="K18" s="548"/>
      <c r="L18" s="548"/>
      <c r="M18" s="548">
        <v>7</v>
      </c>
      <c r="N18" s="548">
        <v>5.8</v>
      </c>
      <c r="O18" s="12">
        <f t="shared" si="0"/>
        <v>6.4</v>
      </c>
      <c r="P18" s="7" t="str">
        <f t="shared" si="1"/>
        <v>TB</v>
      </c>
      <c r="Q18" s="93" t="str">
        <f>IF(ISNUMBER(E18)=TRUE,"",IF(HKI!N18="","",HKI!N18))</f>
        <v/>
      </c>
      <c r="R18" s="93" t="str">
        <f t="shared" si="2"/>
        <v/>
      </c>
    </row>
    <row r="19" spans="1:18" ht="15">
      <c r="A19" s="2">
        <f>IF(OR($C$6="",$J$6=""),"",IF(B19="","",SUBTOTAL(3,$B$11:B19)))</f>
        <v>9</v>
      </c>
      <c r="B19" s="90" t="str">
        <f>IF(OR($C$6="",$J$6="",$L$6=""),"",IF(HKI!B19="","",HKI!B19))</f>
        <v>13D301Đ041</v>
      </c>
      <c r="C19" s="91" t="str">
        <f>IF($B19="","",VLOOKUP($B19,'DS LOP HKI'!$B$2:$F$2642,2,0))</f>
        <v>Lê Hoàng</v>
      </c>
      <c r="D19" s="92" t="str">
        <f>IF($B19="","",VLOOKUP($B19,'DS LOP HKI'!$B$2:$F$2642,3,0))</f>
        <v>Giang</v>
      </c>
      <c r="E19" s="144"/>
      <c r="F19" s="201"/>
      <c r="G19" s="548">
        <v>5</v>
      </c>
      <c r="H19" s="548"/>
      <c r="I19" s="548"/>
      <c r="J19" s="548"/>
      <c r="K19" s="548"/>
      <c r="L19" s="548"/>
      <c r="M19" s="548">
        <v>6</v>
      </c>
      <c r="N19" s="548">
        <v>5.8</v>
      </c>
      <c r="O19" s="12">
        <f t="shared" si="0"/>
        <v>5.7</v>
      </c>
      <c r="P19" s="7" t="str">
        <f t="shared" si="1"/>
        <v>TB</v>
      </c>
      <c r="Q19" s="93" t="str">
        <f>IF(ISNUMBER(E19)=TRUE,"",IF(HKI!N19="","",HKI!N19))</f>
        <v/>
      </c>
      <c r="R19" s="93" t="str">
        <f t="shared" si="2"/>
        <v/>
      </c>
    </row>
    <row r="20" spans="1:18" ht="15">
      <c r="A20" s="2">
        <f>IF(OR($C$6="",$J$6=""),"",IF(B20="","",SUBTOTAL(3,$B$11:B20)))</f>
        <v>10</v>
      </c>
      <c r="B20" s="90" t="str">
        <f>IF(OR($C$6="",$J$6="",$L$6=""),"",IF(HKI!B20="","",HKI!B20))</f>
        <v>13D301Đ045</v>
      </c>
      <c r="C20" s="91" t="str">
        <f>IF($B20="","",VLOOKUP($B20,'DS LOP HKI'!$B$2:$F$2642,2,0))</f>
        <v>Lê Công</v>
      </c>
      <c r="D20" s="92" t="str">
        <f>IF($B20="","",VLOOKUP($B20,'DS LOP HKI'!$B$2:$F$2642,3,0))</f>
        <v>Hậu</v>
      </c>
      <c r="E20" s="144"/>
      <c r="F20" s="201"/>
      <c r="G20" s="548">
        <v>5</v>
      </c>
      <c r="H20" s="548"/>
      <c r="I20" s="548"/>
      <c r="J20" s="548"/>
      <c r="K20" s="548"/>
      <c r="L20" s="548"/>
      <c r="M20" s="548">
        <v>7</v>
      </c>
      <c r="N20" s="548">
        <v>5.8</v>
      </c>
      <c r="O20" s="12">
        <f t="shared" si="0"/>
        <v>6</v>
      </c>
      <c r="P20" s="7" t="str">
        <f t="shared" si="1"/>
        <v>TB</v>
      </c>
      <c r="Q20" s="93" t="str">
        <f>IF(ISNUMBER(E20)=TRUE,"",IF(HKI!N20="","",HKI!N20))</f>
        <v/>
      </c>
      <c r="R20" s="93" t="str">
        <f t="shared" si="2"/>
        <v/>
      </c>
    </row>
    <row r="21" spans="1:18" ht="15">
      <c r="A21" s="2">
        <f>IF(OR($C$6="",$J$6=""),"",IF(B21="","",SUBTOTAL(3,$B$11:B21)))</f>
        <v>11</v>
      </c>
      <c r="B21" s="90" t="str">
        <f>IF(OR($C$6="",$J$6="",$L$6=""),"",IF(HKI!B21="","",HKI!B21))</f>
        <v>13D301Đ049</v>
      </c>
      <c r="C21" s="91" t="str">
        <f>IF($B21="","",VLOOKUP($B21,'DS LOP HKI'!$B$2:$F$2642,2,0))</f>
        <v>Lê Minh</v>
      </c>
      <c r="D21" s="92" t="str">
        <f>IF($B21="","",VLOOKUP($B21,'DS LOP HKI'!$B$2:$F$2642,3,0))</f>
        <v>Hiếu</v>
      </c>
      <c r="E21" s="144"/>
      <c r="F21" s="201"/>
      <c r="G21" s="548">
        <v>7</v>
      </c>
      <c r="H21" s="548"/>
      <c r="I21" s="548"/>
      <c r="J21" s="548"/>
      <c r="K21" s="548"/>
      <c r="L21" s="548"/>
      <c r="M21" s="548">
        <v>5.5</v>
      </c>
      <c r="N21" s="548">
        <v>6.3</v>
      </c>
      <c r="O21" s="12">
        <f t="shared" si="0"/>
        <v>6.2</v>
      </c>
      <c r="P21" s="7" t="str">
        <f t="shared" si="1"/>
        <v>TB</v>
      </c>
      <c r="Q21" s="93" t="str">
        <f>IF(ISNUMBER(E21)=TRUE,"",IF(HKI!N21="","",HKI!N21))</f>
        <v/>
      </c>
      <c r="R21" s="93" t="str">
        <f t="shared" si="2"/>
        <v/>
      </c>
    </row>
    <row r="22" spans="1:18" ht="15">
      <c r="A22" s="2">
        <f>IF(OR($C$6="",$J$6=""),"",IF(B22="","",SUBTOTAL(3,$B$11:B22)))</f>
        <v>12</v>
      </c>
      <c r="B22" s="90" t="str">
        <f>IF(OR($C$6="",$J$6="",$L$6=""),"",IF(HKI!B22="","",HKI!B22))</f>
        <v>13D301Đ053</v>
      </c>
      <c r="C22" s="91" t="str">
        <f>IF($B22="","",VLOOKUP($B22,'DS LOP HKI'!$B$2:$F$2642,2,0))</f>
        <v>Nguyễn Ngọc</v>
      </c>
      <c r="D22" s="92" t="str">
        <f>IF($B22="","",VLOOKUP($B22,'DS LOP HKI'!$B$2:$F$2642,3,0))</f>
        <v>Hoài</v>
      </c>
      <c r="E22" s="144"/>
      <c r="F22" s="201"/>
      <c r="G22" s="548">
        <v>7</v>
      </c>
      <c r="H22" s="548"/>
      <c r="I22" s="548"/>
      <c r="J22" s="548"/>
      <c r="K22" s="548"/>
      <c r="L22" s="548"/>
      <c r="M22" s="548">
        <v>6.5</v>
      </c>
      <c r="N22" s="548">
        <v>6</v>
      </c>
      <c r="O22" s="12">
        <f t="shared" si="0"/>
        <v>6.4</v>
      </c>
      <c r="P22" s="7" t="str">
        <f t="shared" si="1"/>
        <v>TB</v>
      </c>
      <c r="Q22" s="93" t="str">
        <f>IF(ISNUMBER(E22)=TRUE,"",IF(HKI!N22="","",HKI!N22))</f>
        <v/>
      </c>
      <c r="R22" s="93" t="str">
        <f t="shared" si="2"/>
        <v/>
      </c>
    </row>
    <row r="23" spans="1:18" ht="15">
      <c r="A23" s="2">
        <f>IF(OR($C$6="",$J$6=""),"",IF(B23="","",SUBTOTAL(3,$B$11:B23)))</f>
        <v>13</v>
      </c>
      <c r="B23" s="90" t="str">
        <f>IF(OR($C$6="",$J$6="",$L$6=""),"",IF(HKI!B23="","",HKI!B23))</f>
        <v>13D301Đ057</v>
      </c>
      <c r="C23" s="91" t="str">
        <f>IF($B23="","",VLOOKUP($B23,'DS LOP HKI'!$B$2:$F$2642,2,0))</f>
        <v>Trịnh Thanh</v>
      </c>
      <c r="D23" s="92" t="str">
        <f>IF($B23="","",VLOOKUP($B23,'DS LOP HKI'!$B$2:$F$2642,3,0))</f>
        <v>Hoàng</v>
      </c>
      <c r="E23" s="144"/>
      <c r="F23" s="201"/>
      <c r="G23" s="548">
        <v>5</v>
      </c>
      <c r="H23" s="548"/>
      <c r="I23" s="548"/>
      <c r="J23" s="548"/>
      <c r="K23" s="548"/>
      <c r="L23" s="548"/>
      <c r="M23" s="548">
        <v>7.5</v>
      </c>
      <c r="N23" s="548">
        <v>7.3</v>
      </c>
      <c r="O23" s="12">
        <f t="shared" si="0"/>
        <v>6.9</v>
      </c>
      <c r="P23" s="7" t="str">
        <f t="shared" si="1"/>
        <v>TB</v>
      </c>
      <c r="Q23" s="93" t="str">
        <f>IF(ISNUMBER(E23)=TRUE,"",IF(HKI!N23="","",HKI!N23))</f>
        <v/>
      </c>
      <c r="R23" s="93" t="str">
        <f t="shared" si="2"/>
        <v/>
      </c>
    </row>
    <row r="24" spans="1:18" ht="15">
      <c r="A24" s="2">
        <f>IF(OR($C$6="",$J$6=""),"",IF(B24="","",SUBTOTAL(3,$B$11:B24)))</f>
        <v>14</v>
      </c>
      <c r="B24" s="90" t="str">
        <f>IF(OR($C$6="",$J$6="",$L$6=""),"",IF(HKI!B24="","",HKI!B24))</f>
        <v>13D301Đ061</v>
      </c>
      <c r="C24" s="91" t="str">
        <f>IF($B24="","",VLOOKUP($B24,'DS LOP HKI'!$B$2:$F$2642,2,0))</f>
        <v>Huỳnh Thanh</v>
      </c>
      <c r="D24" s="92" t="str">
        <f>IF($B24="","",VLOOKUP($B24,'DS LOP HKI'!$B$2:$F$2642,3,0))</f>
        <v>Hùng</v>
      </c>
      <c r="E24" s="144"/>
      <c r="F24" s="201"/>
      <c r="G24" s="548"/>
      <c r="H24" s="548"/>
      <c r="I24" s="548"/>
      <c r="J24" s="548"/>
      <c r="K24" s="548"/>
      <c r="L24" s="548"/>
      <c r="M24" s="548"/>
      <c r="N24" s="548"/>
      <c r="O24" s="12" t="str">
        <f t="shared" si="0"/>
        <v/>
      </c>
      <c r="P24" s="7" t="str">
        <f t="shared" si="1"/>
        <v>KXL</v>
      </c>
      <c r="Q24" s="93" t="str">
        <f>IF(ISNUMBER(E24)=TRUE,"",IF(HKI!N24="","",HKI!N24))</f>
        <v/>
      </c>
      <c r="R24" s="93" t="str">
        <f t="shared" si="2"/>
        <v/>
      </c>
    </row>
    <row r="25" spans="1:18" ht="15">
      <c r="A25" s="2">
        <f>IF(OR($C$6="",$J$6=""),"",IF(B25="","",SUBTOTAL(3,$B$11:B25)))</f>
        <v>15</v>
      </c>
      <c r="B25" s="90" t="str">
        <f>IF(OR($C$6="",$J$6="",$L$6=""),"",IF(HKI!B25="","",HKI!B25))</f>
        <v>13D301Đ065</v>
      </c>
      <c r="C25" s="91" t="str">
        <f>IF($B25="","",VLOOKUP($B25,'DS LOP HKI'!$B$2:$F$2642,2,0))</f>
        <v>Đoàn Lê Xuân</v>
      </c>
      <c r="D25" s="92" t="str">
        <f>IF($B25="","",VLOOKUP($B25,'DS LOP HKI'!$B$2:$F$2642,3,0))</f>
        <v>Huy</v>
      </c>
      <c r="E25" s="144"/>
      <c r="F25" s="201"/>
      <c r="G25" s="548">
        <v>8</v>
      </c>
      <c r="H25" s="548"/>
      <c r="I25" s="548"/>
      <c r="J25" s="548"/>
      <c r="K25" s="548"/>
      <c r="L25" s="548"/>
      <c r="M25" s="548">
        <v>7</v>
      </c>
      <c r="N25" s="548">
        <v>7.3</v>
      </c>
      <c r="O25" s="12">
        <f t="shared" si="0"/>
        <v>7.4</v>
      </c>
      <c r="P25" s="7" t="str">
        <f t="shared" si="1"/>
        <v>Khá</v>
      </c>
      <c r="Q25" s="93" t="str">
        <f>IF(ISNUMBER(E25)=TRUE,"",IF(HKI!N25="","",HKI!N25))</f>
        <v/>
      </c>
      <c r="R25" s="93" t="str">
        <f t="shared" si="2"/>
        <v/>
      </c>
    </row>
    <row r="26" spans="1:18" ht="15">
      <c r="A26" s="2">
        <f>IF(OR($C$6="",$J$6=""),"",IF(B26="","",SUBTOTAL(3,$B$11:B26)))</f>
        <v>16</v>
      </c>
      <c r="B26" s="90" t="str">
        <f>IF(OR($C$6="",$J$6="",$L$6=""),"",IF(HKI!B26="","",HKI!B26))</f>
        <v>13D301Đ073</v>
      </c>
      <c r="C26" s="91" t="str">
        <f>IF($B26="","",VLOOKUP($B26,'DS LOP HKI'!$B$2:$F$2642,2,0))</f>
        <v>Trịnh Đại</v>
      </c>
      <c r="D26" s="92" t="str">
        <f>IF($B26="","",VLOOKUP($B26,'DS LOP HKI'!$B$2:$F$2642,3,0))</f>
        <v>Lăng</v>
      </c>
      <c r="E26" s="144"/>
      <c r="F26" s="201"/>
      <c r="G26" s="548">
        <v>6</v>
      </c>
      <c r="H26" s="548"/>
      <c r="I26" s="548"/>
      <c r="J26" s="548"/>
      <c r="K26" s="548"/>
      <c r="L26" s="548"/>
      <c r="M26" s="548">
        <v>4</v>
      </c>
      <c r="N26" s="548">
        <v>5.3</v>
      </c>
      <c r="O26" s="12">
        <f t="shared" si="0"/>
        <v>5.0999999999999996</v>
      </c>
      <c r="P26" s="7" t="str">
        <f t="shared" si="1"/>
        <v>TBY</v>
      </c>
      <c r="Q26" s="93" t="str">
        <f>IF(ISNUMBER(E26)=TRUE,"",IF(HKI!N26="","",HKI!N26))</f>
        <v/>
      </c>
      <c r="R26" s="93" t="str">
        <f t="shared" si="2"/>
        <v/>
      </c>
    </row>
    <row r="27" spans="1:18" ht="15">
      <c r="A27" s="2">
        <f>IF(OR($C$6="",$J$6=""),"",IF(B27="","",SUBTOTAL(3,$B$11:B27)))</f>
        <v>17</v>
      </c>
      <c r="B27" s="90" t="str">
        <f>IF(OR($C$6="",$J$6="",$L$6=""),"",IF(HKI!B27="","",HKI!B27))</f>
        <v>13D301Đ204</v>
      </c>
      <c r="C27" s="91" t="str">
        <f>IF($B27="","",VLOOKUP($B27,'DS LOP HKI'!$B$2:$F$2642,2,0))</f>
        <v>Nguyễn Khánh</v>
      </c>
      <c r="D27" s="92" t="str">
        <f>IF($B27="","",VLOOKUP($B27,'DS LOP HKI'!$B$2:$F$2642,3,0))</f>
        <v>Linh</v>
      </c>
      <c r="E27" s="144"/>
      <c r="F27" s="201"/>
      <c r="G27" s="548">
        <v>7</v>
      </c>
      <c r="H27" s="548"/>
      <c r="I27" s="548"/>
      <c r="J27" s="548"/>
      <c r="K27" s="548"/>
      <c r="L27" s="548"/>
      <c r="M27" s="548">
        <v>6.5</v>
      </c>
      <c r="N27" s="548">
        <v>5.8</v>
      </c>
      <c r="O27" s="12">
        <f t="shared" si="0"/>
        <v>6.3</v>
      </c>
      <c r="P27" s="7" t="str">
        <f t="shared" si="1"/>
        <v>TB</v>
      </c>
      <c r="Q27" s="93" t="str">
        <f>IF(ISNUMBER(E27)=TRUE,"",IF(HKI!N27="","",HKI!N27))</f>
        <v/>
      </c>
      <c r="R27" s="93" t="str">
        <f t="shared" si="2"/>
        <v/>
      </c>
    </row>
    <row r="28" spans="1:18" ht="15">
      <c r="A28" s="2">
        <f>IF(OR($C$6="",$J$6=""),"",IF(B28="","",SUBTOTAL(3,$B$11:B28)))</f>
        <v>18</v>
      </c>
      <c r="B28" s="90" t="str">
        <f>IF(OR($C$6="",$J$6="",$L$6=""),"",IF(HKI!B28="","",HKI!B28))</f>
        <v>13D301Đ162</v>
      </c>
      <c r="C28" s="91" t="str">
        <f>IF($B28="","",VLOOKUP($B28,'DS LOP HKI'!$B$2:$F$2642,2,0))</f>
        <v>Đỗ Văn</v>
      </c>
      <c r="D28" s="92" t="str">
        <f>IF($B28="","",VLOOKUP($B28,'DS LOP HKI'!$B$2:$F$2642,3,0))</f>
        <v>Lượng</v>
      </c>
      <c r="E28" s="144"/>
      <c r="F28" s="201"/>
      <c r="G28" s="548">
        <v>7</v>
      </c>
      <c r="H28" s="548"/>
      <c r="I28" s="548"/>
      <c r="J28" s="548"/>
      <c r="K28" s="548"/>
      <c r="L28" s="548"/>
      <c r="M28" s="548">
        <v>6</v>
      </c>
      <c r="N28" s="548">
        <v>5.8</v>
      </c>
      <c r="O28" s="12">
        <f t="shared" si="0"/>
        <v>6.1</v>
      </c>
      <c r="P28" s="7" t="str">
        <f t="shared" si="1"/>
        <v>TB</v>
      </c>
      <c r="Q28" s="93" t="str">
        <f>IF(ISNUMBER(E28)=TRUE,"",IF(HKI!N28="","",HKI!N28))</f>
        <v/>
      </c>
      <c r="R28" s="93" t="str">
        <f t="shared" si="2"/>
        <v/>
      </c>
    </row>
    <row r="29" spans="1:18" ht="15">
      <c r="A29" s="2">
        <f>IF(OR($C$6="",$J$6=""),"",IF(B29="","",SUBTOTAL(3,$B$11:B29)))</f>
        <v>19</v>
      </c>
      <c r="B29" s="90" t="str">
        <f>IF(OR($C$6="",$J$6="",$L$6=""),"",IF(HKI!B29="","",HKI!B29))</f>
        <v>13D301Đ081</v>
      </c>
      <c r="C29" s="91" t="str">
        <f>IF($B29="","",VLOOKUP($B29,'DS LOP HKI'!$B$2:$F$2642,2,0))</f>
        <v>Mai Đình</v>
      </c>
      <c r="D29" s="92" t="str">
        <f>IF($B29="","",VLOOKUP($B29,'DS LOP HKI'!$B$2:$F$2642,3,0))</f>
        <v>Luyện</v>
      </c>
      <c r="E29" s="144"/>
      <c r="F29" s="201"/>
      <c r="G29" s="548"/>
      <c r="H29" s="548"/>
      <c r="I29" s="548"/>
      <c r="J29" s="548"/>
      <c r="K29" s="548"/>
      <c r="L29" s="548"/>
      <c r="M29" s="548"/>
      <c r="N29" s="548"/>
      <c r="O29" s="12" t="str">
        <f t="shared" si="0"/>
        <v/>
      </c>
      <c r="P29" s="7" t="str">
        <f t="shared" si="1"/>
        <v>KXL</v>
      </c>
      <c r="Q29" s="93" t="str">
        <f>IF(ISNUMBER(E29)=TRUE,"",IF(HKI!N29="","",HKI!N29))</f>
        <v/>
      </c>
      <c r="R29" s="93" t="str">
        <f t="shared" si="2"/>
        <v/>
      </c>
    </row>
    <row r="30" spans="1:18" ht="15">
      <c r="A30" s="2">
        <f>IF(OR($C$6="",$J$6=""),"",IF(B30="","",SUBTOTAL(3,$B$11:B30)))</f>
        <v>20</v>
      </c>
      <c r="B30" s="90" t="str">
        <f>IF(OR($C$6="",$J$6="",$L$6=""),"",IF(HKI!B30="","",HKI!B30))</f>
        <v>13D301Đ085</v>
      </c>
      <c r="C30" s="91" t="str">
        <f>IF($B30="","",VLOOKUP($B30,'DS LOP HKI'!$B$2:$F$2642,2,0))</f>
        <v>Võ Hoài</v>
      </c>
      <c r="D30" s="92" t="str">
        <f>IF($B30="","",VLOOKUP($B30,'DS LOP HKI'!$B$2:$F$2642,3,0))</f>
        <v>Nam</v>
      </c>
      <c r="E30" s="144"/>
      <c r="F30" s="201"/>
      <c r="G30" s="548">
        <v>7</v>
      </c>
      <c r="H30" s="548"/>
      <c r="I30" s="548"/>
      <c r="J30" s="548"/>
      <c r="K30" s="548"/>
      <c r="L30" s="548"/>
      <c r="M30" s="548">
        <v>5.5</v>
      </c>
      <c r="N30" s="548">
        <v>6.5</v>
      </c>
      <c r="O30" s="12">
        <f t="shared" si="0"/>
        <v>6.3</v>
      </c>
      <c r="P30" s="7" t="str">
        <f t="shared" si="1"/>
        <v>TB</v>
      </c>
      <c r="Q30" s="93" t="str">
        <f>IF(ISNUMBER(E30)=TRUE,"",IF(HKI!N30="","",HKI!N30))</f>
        <v/>
      </c>
      <c r="R30" s="93" t="str">
        <f t="shared" si="2"/>
        <v/>
      </c>
    </row>
    <row r="31" spans="1:18" ht="15">
      <c r="A31" s="2">
        <f>IF(OR($C$6="",$J$6=""),"",IF(B31="","",SUBTOTAL(3,$B$11:B31)))</f>
        <v>21</v>
      </c>
      <c r="B31" s="90" t="str">
        <f>IF(OR($C$6="",$J$6="",$L$6=""),"",IF(HKI!B31="","",HKI!B31))</f>
        <v>13D301Đ089</v>
      </c>
      <c r="C31" s="91" t="str">
        <f>IF($B31="","",VLOOKUP($B31,'DS LOP HKI'!$B$2:$F$2642,2,0))</f>
        <v>Nguyễn Hữu</v>
      </c>
      <c r="D31" s="92" t="str">
        <f>IF($B31="","",VLOOKUP($B31,'DS LOP HKI'!$B$2:$F$2642,3,0))</f>
        <v>Nghĩa</v>
      </c>
      <c r="E31" s="144"/>
      <c r="F31" s="201"/>
      <c r="G31" s="548">
        <v>8</v>
      </c>
      <c r="H31" s="548"/>
      <c r="I31" s="548"/>
      <c r="J31" s="548"/>
      <c r="K31" s="548"/>
      <c r="L31" s="548"/>
      <c r="M31" s="548">
        <v>6.5</v>
      </c>
      <c r="N31" s="548">
        <v>5.8</v>
      </c>
      <c r="O31" s="12">
        <f t="shared" si="0"/>
        <v>6.5</v>
      </c>
      <c r="P31" s="7" t="str">
        <f t="shared" si="1"/>
        <v>TB</v>
      </c>
      <c r="Q31" s="93" t="str">
        <f>IF(ISNUMBER(E31)=TRUE,"",IF(HKI!N31="","",HKI!N31))</f>
        <v/>
      </c>
      <c r="R31" s="93" t="str">
        <f t="shared" si="2"/>
        <v/>
      </c>
    </row>
    <row r="32" spans="1:18" ht="15">
      <c r="A32" s="2">
        <f>IF(OR($C$6="",$J$6=""),"",IF(B32="","",SUBTOTAL(3,$B$11:B32)))</f>
        <v>22</v>
      </c>
      <c r="B32" s="90" t="str">
        <f>IF(OR($C$6="",$J$6="",$L$6=""),"",IF(HKI!B32="","",HKI!B32))</f>
        <v>13D301Đ097</v>
      </c>
      <c r="C32" s="91" t="str">
        <f>IF($B32="","",VLOOKUP($B32,'DS LOP HKI'!$B$2:$F$2642,2,0))</f>
        <v>Nguyễn Thành</v>
      </c>
      <c r="D32" s="92" t="str">
        <f>IF($B32="","",VLOOKUP($B32,'DS LOP HKI'!$B$2:$F$2642,3,0))</f>
        <v>Phát</v>
      </c>
      <c r="E32" s="144"/>
      <c r="F32" s="201"/>
      <c r="G32" s="548">
        <v>7</v>
      </c>
      <c r="H32" s="548"/>
      <c r="I32" s="548"/>
      <c r="J32" s="548"/>
      <c r="K32" s="548"/>
      <c r="L32" s="548"/>
      <c r="M32" s="548">
        <v>4.5</v>
      </c>
      <c r="N32" s="548">
        <v>5.8</v>
      </c>
      <c r="O32" s="12">
        <f t="shared" si="0"/>
        <v>5.7</v>
      </c>
      <c r="P32" s="7" t="str">
        <f t="shared" si="1"/>
        <v>TB</v>
      </c>
      <c r="Q32" s="93" t="str">
        <f>IF(ISNUMBER(E32)=TRUE,"",IF(HKI!N32="","",HKI!N32))</f>
        <v/>
      </c>
      <c r="R32" s="93" t="str">
        <f t="shared" si="2"/>
        <v/>
      </c>
    </row>
    <row r="33" spans="1:18" ht="15">
      <c r="A33" s="2">
        <f>IF(OR($C$6="",$J$6=""),"",IF(B33="","",SUBTOTAL(3,$B$11:B33)))</f>
        <v>23</v>
      </c>
      <c r="B33" s="90" t="str">
        <f>IF(OR($C$6="",$J$6="",$L$6=""),"",IF(HKI!B33="","",HKI!B33))</f>
        <v>13D301Đ101</v>
      </c>
      <c r="C33" s="91" t="str">
        <f>IF($B33="","",VLOOKUP($B33,'DS LOP HKI'!$B$2:$F$2642,2,0))</f>
        <v>Huỳnh Thanh</v>
      </c>
      <c r="D33" s="92" t="str">
        <f>IF($B33="","",VLOOKUP($B33,'DS LOP HKI'!$B$2:$F$2642,3,0))</f>
        <v>Phú</v>
      </c>
      <c r="E33" s="144"/>
      <c r="F33" s="201"/>
      <c r="G33" s="548">
        <v>0</v>
      </c>
      <c r="H33" s="548"/>
      <c r="I33" s="548"/>
      <c r="J33" s="548"/>
      <c r="K33" s="548"/>
      <c r="L33" s="548"/>
      <c r="M33" s="548">
        <v>0</v>
      </c>
      <c r="N33" s="548">
        <v>0</v>
      </c>
      <c r="O33" s="12">
        <f t="shared" si="0"/>
        <v>0</v>
      </c>
      <c r="P33" s="7" t="str">
        <f t="shared" si="1"/>
        <v>Kém</v>
      </c>
      <c r="Q33" s="93" t="str">
        <f>IF(ISNUMBER(E33)=TRUE,"",IF(HKI!N33="","",HKI!N33))</f>
        <v/>
      </c>
      <c r="R33" s="93" t="str">
        <f t="shared" si="2"/>
        <v/>
      </c>
    </row>
    <row r="34" spans="1:18" ht="15">
      <c r="A34" s="2">
        <f>IF(OR($C$6="",$J$6=""),"",IF(B34="","",SUBTOTAL(3,$B$11:B34)))</f>
        <v>24</v>
      </c>
      <c r="B34" s="90" t="str">
        <f>IF(OR($C$6="",$J$6="",$L$6=""),"",IF(HKI!B34="","",HKI!B34))</f>
        <v>13D301Đ117</v>
      </c>
      <c r="C34" s="91" t="str">
        <f>IF($B34="","",VLOOKUP($B34,'DS LOP HKI'!$B$2:$F$2642,2,0))</f>
        <v>Trịnh Ngọc</v>
      </c>
      <c r="D34" s="92" t="str">
        <f>IF($B34="","",VLOOKUP($B34,'DS LOP HKI'!$B$2:$F$2642,3,0))</f>
        <v>Sơn</v>
      </c>
      <c r="E34" s="144"/>
      <c r="F34" s="201"/>
      <c r="G34" s="548">
        <v>7</v>
      </c>
      <c r="H34" s="548"/>
      <c r="I34" s="548"/>
      <c r="J34" s="548"/>
      <c r="K34" s="548"/>
      <c r="L34" s="548"/>
      <c r="M34" s="548">
        <v>4</v>
      </c>
      <c r="N34" s="548">
        <v>6.8</v>
      </c>
      <c r="O34" s="12">
        <f t="shared" si="0"/>
        <v>6</v>
      </c>
      <c r="P34" s="7" t="str">
        <f t="shared" si="1"/>
        <v>TB</v>
      </c>
      <c r="Q34" s="93" t="str">
        <f>IF(ISNUMBER(E34)=TRUE,"",IF(HKI!N34="","",HKI!N34))</f>
        <v/>
      </c>
      <c r="R34" s="93" t="str">
        <f t="shared" si="2"/>
        <v/>
      </c>
    </row>
    <row r="35" spans="1:18" ht="15">
      <c r="A35" s="2">
        <f>IF(OR($C$6="",$J$6=""),"",IF(B35="","",SUBTOTAL(3,$B$11:B35)))</f>
        <v>25</v>
      </c>
      <c r="B35" s="90" t="str">
        <f>IF(OR($C$6="",$J$6="",$L$6=""),"",IF(HKI!B35="","",HKI!B35))</f>
        <v>13D301Đ121</v>
      </c>
      <c r="C35" s="91" t="str">
        <f>IF($B35="","",VLOOKUP($B35,'DS LOP HKI'!$B$2:$F$2642,2,0))</f>
        <v>Lê Minh</v>
      </c>
      <c r="D35" s="92" t="str">
        <f>IF($B35="","",VLOOKUP($B35,'DS LOP HKI'!$B$2:$F$2642,3,0))</f>
        <v>Tâm</v>
      </c>
      <c r="E35" s="144"/>
      <c r="F35" s="201"/>
      <c r="G35" s="548">
        <v>7</v>
      </c>
      <c r="H35" s="548"/>
      <c r="I35" s="548"/>
      <c r="J35" s="548"/>
      <c r="K35" s="548"/>
      <c r="L35" s="548"/>
      <c r="M35" s="548">
        <v>4.5</v>
      </c>
      <c r="N35" s="548">
        <v>6</v>
      </c>
      <c r="O35" s="12">
        <f t="shared" si="0"/>
        <v>5.8</v>
      </c>
      <c r="P35" s="7" t="str">
        <f t="shared" si="1"/>
        <v>TB</v>
      </c>
      <c r="Q35" s="93" t="str">
        <f>IF(ISNUMBER(E35)=TRUE,"",IF(HKI!N35="","",HKI!N35))</f>
        <v/>
      </c>
      <c r="R35" s="93" t="str">
        <f t="shared" si="2"/>
        <v/>
      </c>
    </row>
    <row r="36" spans="1:18" ht="15">
      <c r="A36" s="2">
        <f>IF(OR($C$6="",$J$6=""),"",IF(B36="","",SUBTOTAL(3,$B$11:B36)))</f>
        <v>26</v>
      </c>
      <c r="B36" s="90" t="str">
        <f>IF(OR($C$6="",$J$6="",$L$6=""),"",IF(HKI!B36="","",HKI!B36))</f>
        <v>13D301Đ124</v>
      </c>
      <c r="C36" s="91" t="str">
        <f>IF($B36="","",VLOOKUP($B36,'DS LOP HKI'!$B$2:$F$2642,2,0))</f>
        <v>Cao Nguyễn Nhật</v>
      </c>
      <c r="D36" s="92" t="str">
        <f>IF($B36="","",VLOOKUP($B36,'DS LOP HKI'!$B$2:$F$2642,3,0))</f>
        <v>Tân</v>
      </c>
      <c r="E36" s="144"/>
      <c r="F36" s="201"/>
      <c r="G36" s="548">
        <v>8</v>
      </c>
      <c r="H36" s="548"/>
      <c r="I36" s="548"/>
      <c r="J36" s="548"/>
      <c r="K36" s="548"/>
      <c r="L36" s="548"/>
      <c r="M36" s="548">
        <v>7</v>
      </c>
      <c r="N36" s="548">
        <v>6</v>
      </c>
      <c r="O36" s="12">
        <f t="shared" si="0"/>
        <v>6.7</v>
      </c>
      <c r="P36" s="7" t="str">
        <f t="shared" si="1"/>
        <v>TB</v>
      </c>
      <c r="Q36" s="93" t="str">
        <f>IF(ISNUMBER(E36)=TRUE,"",IF(HKI!N36="","",HKI!N36))</f>
        <v/>
      </c>
      <c r="R36" s="93" t="str">
        <f t="shared" si="2"/>
        <v/>
      </c>
    </row>
    <row r="37" spans="1:18" ht="15">
      <c r="A37" s="2">
        <f>IF(OR($C$6="",$J$6=""),"",IF(B37="","",SUBTOTAL(3,$B$11:B37)))</f>
        <v>27</v>
      </c>
      <c r="B37" s="90" t="str">
        <f>IF(OR($C$6="",$J$6="",$L$6=""),"",IF(HKI!B37="","",HKI!B37))</f>
        <v>13D301Đ130</v>
      </c>
      <c r="C37" s="91" t="str">
        <f>IF($B37="","",VLOOKUP($B37,'DS LOP HKI'!$B$2:$F$2642,2,0))</f>
        <v>Nguyễn Việt</v>
      </c>
      <c r="D37" s="92" t="str">
        <f>IF($B37="","",VLOOKUP($B37,'DS LOP HKI'!$B$2:$F$2642,3,0))</f>
        <v>Thắng</v>
      </c>
      <c r="E37" s="144"/>
      <c r="F37" s="201"/>
      <c r="G37" s="548">
        <v>7</v>
      </c>
      <c r="H37" s="548"/>
      <c r="I37" s="548"/>
      <c r="J37" s="548"/>
      <c r="K37" s="548"/>
      <c r="L37" s="548"/>
      <c r="M37" s="548">
        <v>4.5</v>
      </c>
      <c r="N37" s="548">
        <v>6.8</v>
      </c>
      <c r="O37" s="12">
        <f t="shared" si="0"/>
        <v>6.2</v>
      </c>
      <c r="P37" s="7" t="str">
        <f t="shared" si="1"/>
        <v>TB</v>
      </c>
      <c r="Q37" s="93" t="str">
        <f>IF(ISNUMBER(E37)=TRUE,"",IF(HKI!N37="","",HKI!N37))</f>
        <v/>
      </c>
      <c r="R37" s="93" t="str">
        <f t="shared" si="2"/>
        <v/>
      </c>
    </row>
    <row r="38" spans="1:18" ht="15">
      <c r="A38" s="2">
        <f>IF(OR($C$6="",$J$6=""),"",IF(B38="","",SUBTOTAL(3,$B$11:B38)))</f>
        <v>28</v>
      </c>
      <c r="B38" s="90" t="str">
        <f>IF(OR($C$6="",$J$6="",$L$6=""),"",IF(HKI!B38="","",HKI!B38))</f>
        <v>13D301Đ133</v>
      </c>
      <c r="C38" s="91" t="str">
        <f>IF($B38="","",VLOOKUP($B38,'DS LOP HKI'!$B$2:$F$2642,2,0))</f>
        <v>Nguyễn Khắc</v>
      </c>
      <c r="D38" s="92" t="str">
        <f>IF($B38="","",VLOOKUP($B38,'DS LOP HKI'!$B$2:$F$2642,3,0))</f>
        <v>Thành</v>
      </c>
      <c r="E38" s="144"/>
      <c r="F38" s="201"/>
      <c r="G38" s="548">
        <v>5</v>
      </c>
      <c r="H38" s="548"/>
      <c r="I38" s="548"/>
      <c r="J38" s="548"/>
      <c r="K38" s="548"/>
      <c r="L38" s="548"/>
      <c r="M38" s="548">
        <v>4</v>
      </c>
      <c r="N38" s="548">
        <v>6</v>
      </c>
      <c r="O38" s="12">
        <f t="shared" si="0"/>
        <v>5.2</v>
      </c>
      <c r="P38" s="7" t="str">
        <f t="shared" si="1"/>
        <v>TBY</v>
      </c>
      <c r="Q38" s="93" t="str">
        <f>IF(ISNUMBER(E38)=TRUE,"",IF(HKI!N38="","",HKI!N38))</f>
        <v/>
      </c>
      <c r="R38" s="93" t="str">
        <f t="shared" si="2"/>
        <v/>
      </c>
    </row>
    <row r="39" spans="1:18" ht="15">
      <c r="A39" s="2">
        <f>IF(OR($C$6="",$J$6=""),"",IF(B39="","",SUBTOTAL(3,$B$11:B39)))</f>
        <v>29</v>
      </c>
      <c r="B39" s="90" t="str">
        <f>IF(OR($C$6="",$J$6="",$L$6=""),"",IF(HKI!B39="","",HKI!B39))</f>
        <v>13D301Đ136</v>
      </c>
      <c r="C39" s="91" t="str">
        <f>IF($B39="","",VLOOKUP($B39,'DS LOP HKI'!$B$2:$F$2642,2,0))</f>
        <v>Trần Minh</v>
      </c>
      <c r="D39" s="92" t="str">
        <f>IF($B39="","",VLOOKUP($B39,'DS LOP HKI'!$B$2:$F$2642,3,0))</f>
        <v>Thanh</v>
      </c>
      <c r="E39" s="144"/>
      <c r="F39" s="201"/>
      <c r="G39" s="548">
        <v>8</v>
      </c>
      <c r="H39" s="548"/>
      <c r="I39" s="548"/>
      <c r="J39" s="548"/>
      <c r="K39" s="548"/>
      <c r="L39" s="548"/>
      <c r="M39" s="548">
        <v>8</v>
      </c>
      <c r="N39" s="548">
        <v>6.8</v>
      </c>
      <c r="O39" s="12">
        <f t="shared" si="0"/>
        <v>7.4</v>
      </c>
      <c r="P39" s="7" t="str">
        <f t="shared" si="1"/>
        <v>Khá</v>
      </c>
      <c r="Q39" s="93" t="str">
        <f>IF(ISNUMBER(E39)=TRUE,"",IF(HKI!N39="","",HKI!N39))</f>
        <v/>
      </c>
      <c r="R39" s="93" t="str">
        <f t="shared" si="2"/>
        <v/>
      </c>
    </row>
    <row r="40" spans="1:18" ht="15">
      <c r="A40" s="2">
        <f>IF(OR($C$6="",$J$6=""),"",IF(B40="","",SUBTOTAL(3,$B$11:B40)))</f>
        <v>30</v>
      </c>
      <c r="B40" s="90" t="str">
        <f>IF(OR($C$6="",$J$6="",$L$6=""),"",IF(HKI!B40="","",HKI!B40))</f>
        <v>13D301Đ169</v>
      </c>
      <c r="C40" s="91" t="str">
        <f>IF($B40="","",VLOOKUP($B40,'DS LOP HKI'!$B$2:$F$2642,2,0))</f>
        <v>Nguyễn Thanh</v>
      </c>
      <c r="D40" s="92" t="str">
        <f>IF($B40="","",VLOOKUP($B40,'DS LOP HKI'!$B$2:$F$2642,3,0))</f>
        <v>Thảo</v>
      </c>
      <c r="E40" s="144"/>
      <c r="F40" s="201"/>
      <c r="G40" s="548">
        <v>6</v>
      </c>
      <c r="H40" s="548"/>
      <c r="I40" s="548"/>
      <c r="J40" s="548"/>
      <c r="K40" s="548"/>
      <c r="L40" s="548"/>
      <c r="M40" s="548">
        <v>4.5</v>
      </c>
      <c r="N40" s="548">
        <v>7.3</v>
      </c>
      <c r="O40" s="12">
        <f t="shared" si="0"/>
        <v>6.2</v>
      </c>
      <c r="P40" s="7" t="str">
        <f t="shared" si="1"/>
        <v>TB</v>
      </c>
      <c r="Q40" s="93" t="str">
        <f>IF(ISNUMBER(E40)=TRUE,"",IF(HKI!N40="","",HKI!N40))</f>
        <v/>
      </c>
      <c r="R40" s="93" t="str">
        <f t="shared" si="2"/>
        <v/>
      </c>
    </row>
    <row r="41" spans="1:18" ht="15">
      <c r="A41" s="2">
        <f>IF(OR($C$6="",$J$6=""),"",IF(B41="","",SUBTOTAL(3,$B$11:B41)))</f>
        <v>31</v>
      </c>
      <c r="B41" s="90" t="str">
        <f>IF(OR($C$6="",$J$6="",$L$6=""),"",IF(HKI!B41="","",HKI!B41))</f>
        <v>13D301Đ154</v>
      </c>
      <c r="C41" s="91" t="str">
        <f>IF($B41="","",VLOOKUP($B41,'DS LOP HKI'!$B$2:$F$2642,2,0))</f>
        <v>Võ Đức</v>
      </c>
      <c r="D41" s="92" t="str">
        <f>IF($B41="","",VLOOKUP($B41,'DS LOP HKI'!$B$2:$F$2642,3,0))</f>
        <v>Trí</v>
      </c>
      <c r="E41" s="144"/>
      <c r="F41" s="201"/>
      <c r="G41" s="548">
        <v>8</v>
      </c>
      <c r="H41" s="548"/>
      <c r="I41" s="548"/>
      <c r="J41" s="548"/>
      <c r="K41" s="548"/>
      <c r="L41" s="548"/>
      <c r="M41" s="548">
        <v>4.5</v>
      </c>
      <c r="N41" s="548">
        <v>6.3</v>
      </c>
      <c r="O41" s="12">
        <f t="shared" si="0"/>
        <v>6.1</v>
      </c>
      <c r="P41" s="7" t="str">
        <f t="shared" si="1"/>
        <v>TB</v>
      </c>
      <c r="Q41" s="93" t="str">
        <f>IF(ISNUMBER(E41)=TRUE,"",IF(HKI!N41="","",HKI!N41))</f>
        <v/>
      </c>
      <c r="R41" s="93" t="str">
        <f t="shared" si="2"/>
        <v/>
      </c>
    </row>
    <row r="42" spans="1:18" ht="15">
      <c r="A42" s="2">
        <f>IF(OR($C$6="",$J$6=""),"",IF(B42="","",SUBTOTAL(3,$B$11:B42)))</f>
        <v>32</v>
      </c>
      <c r="B42" s="90" t="str">
        <f>IF(OR($C$6="",$J$6="",$L$6=""),"",IF(HKI!B42="","",HKI!B42))</f>
        <v>13D301Đ160</v>
      </c>
      <c r="C42" s="91" t="str">
        <f>IF($B42="","",VLOOKUP($B42,'DS LOP HKI'!$B$2:$F$2642,2,0))</f>
        <v>Nguyễn Bá</v>
      </c>
      <c r="D42" s="92" t="str">
        <f>IF($B42="","",VLOOKUP($B42,'DS LOP HKI'!$B$2:$F$2642,3,0))</f>
        <v>Trung</v>
      </c>
      <c r="E42" s="144"/>
      <c r="F42" s="201"/>
      <c r="G42" s="548">
        <v>7</v>
      </c>
      <c r="H42" s="548"/>
      <c r="I42" s="548"/>
      <c r="J42" s="548"/>
      <c r="K42" s="548"/>
      <c r="L42" s="548"/>
      <c r="M42" s="548">
        <v>3</v>
      </c>
      <c r="N42" s="548">
        <v>6.5</v>
      </c>
      <c r="O42" s="12">
        <f t="shared" si="0"/>
        <v>5.6</v>
      </c>
      <c r="P42" s="7" t="str">
        <f t="shared" si="1"/>
        <v>TB</v>
      </c>
      <c r="Q42" s="93" t="str">
        <f>IF(ISNUMBER(E42)=TRUE,"",IF(HKI!N42="","",HKI!N42))</f>
        <v/>
      </c>
      <c r="R42" s="93" t="str">
        <f t="shared" si="2"/>
        <v/>
      </c>
    </row>
    <row r="43" spans="1:18" ht="15">
      <c r="A43" s="2">
        <f>IF(OR($C$6="",$J$6=""),"",IF(B43="","",SUBTOTAL(3,$B$11:B43)))</f>
        <v>33</v>
      </c>
      <c r="B43" s="90" t="str">
        <f>IF(OR($C$6="",$J$6="",$L$6=""),"",IF(HKI!B43="","",HKI!B43))</f>
        <v>13D301Đ163</v>
      </c>
      <c r="C43" s="91" t="str">
        <f>IF($B43="","",VLOOKUP($B43,'DS LOP HKI'!$B$2:$F$2642,2,0))</f>
        <v>Mai Ngọc</v>
      </c>
      <c r="D43" s="92" t="str">
        <f>IF($B43="","",VLOOKUP($B43,'DS LOP HKI'!$B$2:$F$2642,3,0))</f>
        <v>Trước</v>
      </c>
      <c r="E43" s="144"/>
      <c r="F43" s="201"/>
      <c r="G43" s="548">
        <v>8</v>
      </c>
      <c r="H43" s="548"/>
      <c r="I43" s="548"/>
      <c r="J43" s="548"/>
      <c r="K43" s="548"/>
      <c r="L43" s="548"/>
      <c r="M43" s="548">
        <v>8</v>
      </c>
      <c r="N43" s="548">
        <v>6</v>
      </c>
      <c r="O43" s="12">
        <f t="shared" si="0"/>
        <v>7</v>
      </c>
      <c r="P43" s="7" t="str">
        <f t="shared" si="1"/>
        <v>Khá</v>
      </c>
      <c r="Q43" s="93" t="str">
        <f>IF(ISNUMBER(E43)=TRUE,"",IF(HKI!N43="","",HKI!N43))</f>
        <v/>
      </c>
      <c r="R43" s="93" t="str">
        <f t="shared" si="2"/>
        <v/>
      </c>
    </row>
    <row r="44" spans="1:18" ht="15">
      <c r="A44" s="2">
        <f>IF(OR($C$6="",$J$6=""),"",IF(B44="","",SUBTOTAL(3,$B$11:B44)))</f>
        <v>34</v>
      </c>
      <c r="B44" s="90" t="str">
        <f>IF(OR($C$6="",$J$6="",$L$6=""),"",IF(HKI!B44="","",HKI!B44))</f>
        <v>13D301Đ166</v>
      </c>
      <c r="C44" s="91" t="str">
        <f>IF($B44="","",VLOOKUP($B44,'DS LOP HKI'!$B$2:$F$2642,2,0))</f>
        <v>Nguyễn Văn</v>
      </c>
      <c r="D44" s="92" t="str">
        <f>IF($B44="","",VLOOKUP($B44,'DS LOP HKI'!$B$2:$F$2642,3,0))</f>
        <v>Tư</v>
      </c>
      <c r="E44" s="144"/>
      <c r="F44" s="201"/>
      <c r="G44" s="548">
        <v>8</v>
      </c>
      <c r="H44" s="548"/>
      <c r="I44" s="548"/>
      <c r="J44" s="548"/>
      <c r="K44" s="548"/>
      <c r="L44" s="548"/>
      <c r="M44" s="548">
        <v>4</v>
      </c>
      <c r="N44" s="548">
        <v>5.3</v>
      </c>
      <c r="O44" s="12">
        <f t="shared" si="0"/>
        <v>5.5</v>
      </c>
      <c r="P44" s="7" t="str">
        <f t="shared" si="1"/>
        <v>TB</v>
      </c>
      <c r="Q44" s="93" t="str">
        <f>IF(ISNUMBER(E44)=TRUE,"",IF(HKI!N44="","",HKI!N44))</f>
        <v/>
      </c>
      <c r="R44" s="93" t="str">
        <f t="shared" si="2"/>
        <v/>
      </c>
    </row>
    <row r="45" spans="1:18" ht="15">
      <c r="A45" s="2">
        <f>IF(OR($C$6="",$J$6=""),"",IF(B45="","",SUBTOTAL(3,$B$11:B45)))</f>
        <v>35</v>
      </c>
      <c r="B45" s="90" t="str">
        <f>IF(OR($C$6="",$J$6="",$L$6=""),"",IF(HKI!B45="","",HKI!B45))</f>
        <v>13D301Đ178</v>
      </c>
      <c r="C45" s="91" t="str">
        <f>IF($B45="","",VLOOKUP($B45,'DS LOP HKI'!$B$2:$F$2642,2,0))</f>
        <v>Lê Văn</v>
      </c>
      <c r="D45" s="92" t="str">
        <f>IF($B45="","",VLOOKUP($B45,'DS LOP HKI'!$B$2:$F$2642,3,0))</f>
        <v>Vũ</v>
      </c>
      <c r="E45" s="144"/>
      <c r="F45" s="201"/>
      <c r="G45" s="548">
        <v>8</v>
      </c>
      <c r="H45" s="548"/>
      <c r="I45" s="548"/>
      <c r="J45" s="548"/>
      <c r="K45" s="548"/>
      <c r="L45" s="548"/>
      <c r="M45" s="548">
        <v>8</v>
      </c>
      <c r="N45" s="548">
        <v>7.3</v>
      </c>
      <c r="O45" s="12">
        <f t="shared" si="0"/>
        <v>7.7</v>
      </c>
      <c r="P45" s="7" t="str">
        <f t="shared" si="1"/>
        <v>Khá</v>
      </c>
      <c r="Q45" s="93" t="str">
        <f>IF(ISNUMBER(E45)=TRUE,"",IF(HKI!N45="","",HKI!N45))</f>
        <v/>
      </c>
      <c r="R45" s="93" t="str">
        <f t="shared" si="2"/>
        <v/>
      </c>
    </row>
    <row r="46" spans="1:18" ht="15.75">
      <c r="A46" s="2" t="str">
        <f>IF(OR($C$6="",$J$6=""),"",IF(B46="","",SUBTOTAL(3,$B$11:B46)))</f>
        <v/>
      </c>
      <c r="B46" s="90" t="str">
        <f>IF(OR($C$6="",$J$6="",$L$6=""),"",IF(HKI!B46="","",HKI!B46))</f>
        <v/>
      </c>
      <c r="C46" s="91" t="str">
        <f>IF($B46="","",VLOOKUP($B46,'DS LOP HKI'!$B$2:$F$2642,2,0))</f>
        <v/>
      </c>
      <c r="D46" s="92" t="str">
        <f>IF($B46="","",VLOOKUP($B46,'DS LOP HKI'!$B$2:$F$2642,3,0))</f>
        <v/>
      </c>
      <c r="E46" s="144"/>
      <c r="F46" s="201"/>
      <c r="G46" s="198"/>
      <c r="H46" s="198"/>
      <c r="I46" s="535"/>
      <c r="J46" s="201"/>
      <c r="K46" s="201"/>
      <c r="L46" s="201"/>
      <c r="M46" s="198"/>
      <c r="N46" s="198"/>
      <c r="O46" s="12" t="str">
        <f t="shared" si="0"/>
        <v/>
      </c>
      <c r="P46" s="7" t="str">
        <f t="shared" si="1"/>
        <v/>
      </c>
      <c r="Q46" s="93" t="str">
        <f>IF(ISNUMBER(E46)=TRUE,"",IF(HKI!N46="","",HKI!N46))</f>
        <v/>
      </c>
      <c r="R46" s="93" t="str">
        <f t="shared" si="2"/>
        <v/>
      </c>
    </row>
    <row r="47" spans="1:18" ht="15.75">
      <c r="A47" s="2" t="str">
        <f>IF(OR($C$6="",$J$6=""),"",IF(B47="","",SUBTOTAL(3,$B$11:B47)))</f>
        <v/>
      </c>
      <c r="B47" s="90" t="str">
        <f>IF(OR($C$6="",$J$6="",$L$6=""),"",IF(HKI!B47="","",HKI!B47))</f>
        <v/>
      </c>
      <c r="C47" s="91" t="str">
        <f>IF($B47="","",VLOOKUP($B47,'DS LOP HKI'!$B$2:$F$2642,2,0))</f>
        <v/>
      </c>
      <c r="D47" s="92" t="str">
        <f>IF($B47="","",VLOOKUP($B47,'DS LOP HKI'!$B$2:$F$2642,3,0))</f>
        <v/>
      </c>
      <c r="E47" s="144"/>
      <c r="F47" s="201"/>
      <c r="G47" s="198"/>
      <c r="H47" s="198"/>
      <c r="I47" s="535"/>
      <c r="J47" s="201"/>
      <c r="K47" s="201"/>
      <c r="L47" s="201"/>
      <c r="M47" s="198"/>
      <c r="N47" s="198"/>
      <c r="O47" s="12" t="str">
        <f t="shared" si="0"/>
        <v/>
      </c>
      <c r="P47" s="7" t="str">
        <f t="shared" si="1"/>
        <v/>
      </c>
      <c r="Q47" s="93" t="str">
        <f>IF(ISNUMBER(E47)=TRUE,"",IF(HKI!N47="","",HKI!N47))</f>
        <v/>
      </c>
      <c r="R47" s="93" t="str">
        <f t="shared" si="2"/>
        <v/>
      </c>
    </row>
    <row r="48" spans="1:18" ht="15.75">
      <c r="A48" s="2" t="str">
        <f>IF(OR($C$6="",$J$6=""),"",IF(B48="","",SUBTOTAL(3,$B$11:B48)))</f>
        <v/>
      </c>
      <c r="B48" s="90" t="str">
        <f>IF(OR($C$6="",$J$6="",$L$6=""),"",IF(HKI!B48="","",HKI!B48))</f>
        <v/>
      </c>
      <c r="C48" s="91" t="str">
        <f>IF($B48="","",VLOOKUP($B48,'DS LOP HKI'!$B$2:$F$2642,2,0))</f>
        <v/>
      </c>
      <c r="D48" s="92" t="str">
        <f>IF($B48="","",VLOOKUP($B48,'DS LOP HKI'!$B$2:$F$2642,3,0))</f>
        <v/>
      </c>
      <c r="E48" s="144"/>
      <c r="F48" s="201"/>
      <c r="G48" s="198"/>
      <c r="H48" s="198"/>
      <c r="I48" s="535"/>
      <c r="J48" s="201"/>
      <c r="K48" s="201"/>
      <c r="L48" s="201"/>
      <c r="M48" s="198"/>
      <c r="N48" s="198"/>
      <c r="O48" s="12" t="str">
        <f t="shared" si="0"/>
        <v/>
      </c>
      <c r="P48" s="7" t="str">
        <f t="shared" si="1"/>
        <v/>
      </c>
      <c r="Q48" s="93" t="str">
        <f>IF(ISNUMBER(E48)=TRUE,"",IF(HKI!N48="","",HKI!N48))</f>
        <v/>
      </c>
      <c r="R48" s="93" t="str">
        <f t="shared" si="2"/>
        <v/>
      </c>
    </row>
    <row r="49" spans="1:18" ht="15.75">
      <c r="A49" s="2" t="str">
        <f>IF(OR($C$6="",$J$6=""),"",IF(B49="","",SUBTOTAL(3,$B$11:B49)))</f>
        <v/>
      </c>
      <c r="B49" s="90" t="str">
        <f>IF(OR($C$6="",$J$6="",$L$6=""),"",IF(HKI!B49="","",HKI!B49))</f>
        <v/>
      </c>
      <c r="C49" s="91" t="str">
        <f>IF($B49="","",VLOOKUP($B49,'DS LOP HKI'!$B$2:$F$2642,2,0))</f>
        <v/>
      </c>
      <c r="D49" s="92" t="str">
        <f>IF($B49="","",VLOOKUP($B49,'DS LOP HKI'!$B$2:$F$2642,3,0))</f>
        <v/>
      </c>
      <c r="E49" s="144"/>
      <c r="F49" s="201"/>
      <c r="G49" s="198"/>
      <c r="H49" s="198"/>
      <c r="I49" s="535"/>
      <c r="J49" s="201"/>
      <c r="K49" s="201"/>
      <c r="L49" s="201"/>
      <c r="M49" s="198"/>
      <c r="N49" s="198"/>
      <c r="O49" s="12" t="str">
        <f t="shared" si="0"/>
        <v/>
      </c>
      <c r="P49" s="7" t="str">
        <f t="shared" si="1"/>
        <v/>
      </c>
      <c r="Q49" s="93" t="str">
        <f>IF(ISNUMBER(E49)=TRUE,"",IF(HKI!N49="","",HKI!N49))</f>
        <v/>
      </c>
      <c r="R49" s="93" t="str">
        <f t="shared" si="2"/>
        <v/>
      </c>
    </row>
    <row r="50" spans="1:18" ht="15.75">
      <c r="A50" s="2" t="str">
        <f>IF(OR($C$6="",$J$6=""),"",IF(B50="","",SUBTOTAL(3,$B$11:B50)))</f>
        <v/>
      </c>
      <c r="B50" s="90" t="str">
        <f>IF(OR($C$6="",$J$6="",$L$6=""),"",IF(HKI!B50="","",HKI!B50))</f>
        <v/>
      </c>
      <c r="C50" s="91" t="str">
        <f>IF($B50="","",VLOOKUP($B50,'DS LOP HKI'!$B$2:$F$2642,2,0))</f>
        <v/>
      </c>
      <c r="D50" s="92" t="str">
        <f>IF($B50="","",VLOOKUP($B50,'DS LOP HKI'!$B$2:$F$2642,3,0))</f>
        <v/>
      </c>
      <c r="E50" s="144"/>
      <c r="F50" s="201"/>
      <c r="G50" s="198"/>
      <c r="H50" s="198"/>
      <c r="I50" s="535"/>
      <c r="J50" s="201"/>
      <c r="K50" s="201"/>
      <c r="L50" s="201"/>
      <c r="M50" s="198"/>
      <c r="N50" s="198"/>
      <c r="O50" s="12" t="str">
        <f t="shared" si="0"/>
        <v/>
      </c>
      <c r="P50" s="7" t="str">
        <f t="shared" si="1"/>
        <v/>
      </c>
      <c r="Q50" s="93" t="str">
        <f>IF(ISNUMBER(E50)=TRUE,"",IF(HKI!N50="","",HKI!N50))</f>
        <v/>
      </c>
      <c r="R50" s="93" t="str">
        <f t="shared" si="2"/>
        <v/>
      </c>
    </row>
    <row r="51" spans="1:18" ht="15.75">
      <c r="A51" s="2" t="str">
        <f>IF(OR($C$6="",$J$6=""),"",IF(B51="","",SUBTOTAL(3,$B$11:B51)))</f>
        <v/>
      </c>
      <c r="B51" s="90" t="str">
        <f>IF(OR($C$6="",$J$6="",$L$6=""),"",IF(HKI!B51="","",HKI!B51))</f>
        <v/>
      </c>
      <c r="C51" s="91" t="str">
        <f>IF($B51="","",VLOOKUP($B51,'DS LOP HKI'!$B$2:$F$2642,2,0))</f>
        <v/>
      </c>
      <c r="D51" s="92" t="str">
        <f>IF($B51="","",VLOOKUP($B51,'DS LOP HKI'!$B$2:$F$2642,3,0))</f>
        <v/>
      </c>
      <c r="E51" s="144"/>
      <c r="F51" s="201"/>
      <c r="G51" s="198"/>
      <c r="H51" s="198"/>
      <c r="I51" s="535"/>
      <c r="J51" s="201"/>
      <c r="K51" s="201"/>
      <c r="L51" s="201"/>
      <c r="M51" s="198"/>
      <c r="N51" s="198"/>
      <c r="O51" s="12" t="str">
        <f t="shared" si="0"/>
        <v/>
      </c>
      <c r="P51" s="7" t="str">
        <f t="shared" si="1"/>
        <v/>
      </c>
      <c r="Q51" s="93" t="str">
        <f>IF(ISNUMBER(E51)=TRUE,"",IF(HKI!N51="","",HKI!N51))</f>
        <v/>
      </c>
      <c r="R51" s="93" t="str">
        <f t="shared" si="2"/>
        <v/>
      </c>
    </row>
    <row r="52" spans="1:18" ht="15.75">
      <c r="A52" s="2" t="str">
        <f>IF(OR($C$6="",$J$6=""),"",IF(B52="","",SUBTOTAL(3,$B$11:B52)))</f>
        <v/>
      </c>
      <c r="B52" s="90" t="str">
        <f>IF(OR($C$6="",$J$6="",$L$6=""),"",IF(HKI!B52="","",HKI!B52))</f>
        <v/>
      </c>
      <c r="C52" s="91" t="str">
        <f>IF($B52="","",VLOOKUP($B52,'DS LOP HKI'!$B$2:$F$2642,2,0))</f>
        <v/>
      </c>
      <c r="D52" s="92" t="str">
        <f>IF($B52="","",VLOOKUP($B52,'DS LOP HKI'!$B$2:$F$2642,3,0))</f>
        <v/>
      </c>
      <c r="E52" s="144"/>
      <c r="F52" s="201"/>
      <c r="G52" s="198"/>
      <c r="H52" s="198"/>
      <c r="I52" s="535"/>
      <c r="J52" s="201"/>
      <c r="K52" s="201"/>
      <c r="L52" s="201"/>
      <c r="M52" s="198"/>
      <c r="N52" s="198"/>
      <c r="O52" s="12" t="str">
        <f t="shared" si="0"/>
        <v/>
      </c>
      <c r="P52" s="7" t="str">
        <f t="shared" si="1"/>
        <v/>
      </c>
      <c r="Q52" s="93" t="str">
        <f>IF(ISNUMBER(E52)=TRUE,"",IF(HKI!N52="","",HKI!N52))</f>
        <v/>
      </c>
      <c r="R52" s="93" t="str">
        <f t="shared" si="2"/>
        <v/>
      </c>
    </row>
    <row r="53" spans="1:18" ht="15.75">
      <c r="A53" s="2" t="str">
        <f>IF(OR($C$6="",$J$6=""),"",IF(B53="","",SUBTOTAL(3,$B$11:B53)))</f>
        <v/>
      </c>
      <c r="B53" s="90" t="str">
        <f>IF(OR($C$6="",$J$6="",$L$6=""),"",IF(HKI!B53="","",HKI!B53))</f>
        <v/>
      </c>
      <c r="C53" s="91" t="str">
        <f>IF($B53="","",VLOOKUP($B53,'DS LOP HKI'!$B$2:$F$2642,2,0))</f>
        <v/>
      </c>
      <c r="D53" s="92" t="str">
        <f>IF($B53="","",VLOOKUP($B53,'DS LOP HKI'!$B$2:$F$2642,3,0))</f>
        <v/>
      </c>
      <c r="E53" s="144"/>
      <c r="F53" s="201"/>
      <c r="G53" s="198"/>
      <c r="H53" s="198"/>
      <c r="I53" s="535"/>
      <c r="J53" s="201"/>
      <c r="K53" s="201"/>
      <c r="L53" s="201"/>
      <c r="M53" s="198"/>
      <c r="N53" s="198"/>
      <c r="O53" s="12" t="str">
        <f t="shared" si="0"/>
        <v/>
      </c>
      <c r="P53" s="7" t="str">
        <f t="shared" si="1"/>
        <v/>
      </c>
      <c r="Q53" s="93" t="str">
        <f>IF(ISNUMBER(E53)=TRUE,"",IF(HKI!N53="","",HKI!N53))</f>
        <v/>
      </c>
      <c r="R53" s="93" t="str">
        <f t="shared" si="2"/>
        <v/>
      </c>
    </row>
    <row r="54" spans="1:18" ht="15.75">
      <c r="A54" s="2" t="str">
        <f>IF(OR($C$6="",$J$6=""),"",IF(B54="","",SUBTOTAL(3,$B$11:B54)))</f>
        <v/>
      </c>
      <c r="B54" s="90" t="str">
        <f>IF(OR($C$6="",$J$6="",$L$6=""),"",IF(HKI!B54="","",HKI!B54))</f>
        <v/>
      </c>
      <c r="C54" s="91" t="str">
        <f>IF($B54="","",VLOOKUP($B54,'DS LOP HKI'!$B$2:$F$2642,2,0))</f>
        <v/>
      </c>
      <c r="D54" s="92" t="str">
        <f>IF($B54="","",VLOOKUP($B54,'DS LOP HKI'!$B$2:$F$2642,3,0))</f>
        <v/>
      </c>
      <c r="E54" s="144"/>
      <c r="F54" s="201"/>
      <c r="G54" s="198"/>
      <c r="H54" s="198"/>
      <c r="I54" s="535"/>
      <c r="J54" s="201"/>
      <c r="K54" s="201"/>
      <c r="L54" s="201"/>
      <c r="M54" s="198"/>
      <c r="N54" s="198"/>
      <c r="O54" s="12" t="str">
        <f t="shared" si="0"/>
        <v/>
      </c>
      <c r="P54" s="7" t="str">
        <f t="shared" si="1"/>
        <v/>
      </c>
      <c r="Q54" s="93" t="str">
        <f>IF(ISNUMBER(E54)=TRUE,"",IF(HKI!N54="","",HKI!N54))</f>
        <v/>
      </c>
      <c r="R54" s="93" t="str">
        <f t="shared" si="2"/>
        <v/>
      </c>
    </row>
    <row r="55" spans="1:18" ht="15.75">
      <c r="A55" s="2" t="str">
        <f>IF(OR($C$6="",$J$6=""),"",IF(B55="","",SUBTOTAL(3,$B$11:B55)))</f>
        <v/>
      </c>
      <c r="B55" s="90" t="str">
        <f>IF(OR($C$6="",$J$6="",$L$6=""),"",IF(HKI!B55="","",HKI!B55))</f>
        <v/>
      </c>
      <c r="C55" s="91" t="str">
        <f>IF($B55="","",VLOOKUP($B55,'DS LOP HKI'!$B$2:$F$2642,2,0))</f>
        <v/>
      </c>
      <c r="D55" s="92" t="str">
        <f>IF($B55="","",VLOOKUP($B55,'DS LOP HKI'!$B$2:$F$2642,3,0))</f>
        <v/>
      </c>
      <c r="E55" s="144"/>
      <c r="F55" s="201"/>
      <c r="G55" s="198"/>
      <c r="H55" s="198"/>
      <c r="I55" s="535"/>
      <c r="J55" s="201"/>
      <c r="K55" s="201"/>
      <c r="L55" s="201"/>
      <c r="M55" s="198"/>
      <c r="N55" s="198"/>
      <c r="O55" s="12" t="str">
        <f t="shared" si="0"/>
        <v/>
      </c>
      <c r="P55" s="7" t="str">
        <f t="shared" si="1"/>
        <v/>
      </c>
      <c r="Q55" s="93" t="str">
        <f>IF(ISNUMBER(E55)=TRUE,"",IF(HKI!N55="","",HKI!N55))</f>
        <v/>
      </c>
      <c r="R55" s="93" t="str">
        <f t="shared" si="2"/>
        <v/>
      </c>
    </row>
    <row r="56" spans="1:18" ht="15.75">
      <c r="A56" s="2" t="str">
        <f>IF(OR($C$6="",$J$6=""),"",IF(B56="","",SUBTOTAL(3,$B$11:B56)))</f>
        <v/>
      </c>
      <c r="B56" s="90" t="str">
        <f>IF(OR($C$6="",$J$6="",$L$6=""),"",IF(HKI!B56="","",HKI!B56))</f>
        <v/>
      </c>
      <c r="C56" s="91" t="str">
        <f>IF($B56="","",VLOOKUP($B56,'DS LOP HKI'!$B$2:$F$2642,2,0))</f>
        <v/>
      </c>
      <c r="D56" s="92" t="str">
        <f>IF($B56="","",VLOOKUP($B56,'DS LOP HKI'!$B$2:$F$2642,3,0))</f>
        <v/>
      </c>
      <c r="E56" s="144"/>
      <c r="F56" s="201"/>
      <c r="G56" s="198"/>
      <c r="H56" s="198"/>
      <c r="I56" s="535"/>
      <c r="J56" s="201"/>
      <c r="K56" s="201"/>
      <c r="L56" s="201"/>
      <c r="M56" s="198"/>
      <c r="N56" s="198"/>
      <c r="O56" s="12" t="str">
        <f t="shared" si="0"/>
        <v/>
      </c>
      <c r="P56" s="7" t="str">
        <f t="shared" si="1"/>
        <v/>
      </c>
      <c r="Q56" s="93" t="str">
        <f>IF(ISNUMBER(E56)=TRUE,"",IF(HKI!N56="","",HKI!N56))</f>
        <v/>
      </c>
      <c r="R56" s="93" t="str">
        <f t="shared" si="2"/>
        <v/>
      </c>
    </row>
    <row r="57" spans="1:18" ht="15.75">
      <c r="A57" s="2" t="str">
        <f>IF(OR($C$6="",$J$6=""),"",IF(B57="","",SUBTOTAL(3,$B$11:B57)))</f>
        <v/>
      </c>
      <c r="B57" s="90" t="str">
        <f>IF(OR($C$6="",$J$6="",$L$6=""),"",IF(HKI!B57="","",HKI!B57))</f>
        <v/>
      </c>
      <c r="C57" s="91" t="str">
        <f>IF($B57="","",VLOOKUP($B57,'DS LOP HKI'!$B$2:$F$2642,2,0))</f>
        <v/>
      </c>
      <c r="D57" s="92" t="str">
        <f>IF($B57="","",VLOOKUP($B57,'DS LOP HKI'!$B$2:$F$2642,3,0))</f>
        <v/>
      </c>
      <c r="E57" s="144"/>
      <c r="F57" s="111"/>
      <c r="G57" s="198"/>
      <c r="H57" s="198"/>
      <c r="I57" s="535"/>
      <c r="J57" s="111"/>
      <c r="K57" s="111"/>
      <c r="L57" s="111"/>
      <c r="M57" s="198"/>
      <c r="N57" s="198"/>
      <c r="O57" s="12" t="str">
        <f t="shared" si="0"/>
        <v/>
      </c>
      <c r="P57" s="7" t="str">
        <f t="shared" si="1"/>
        <v/>
      </c>
      <c r="Q57" s="93" t="str">
        <f>IF(ISNUMBER(E57)=TRUE,"",IF(HKI!N57="","",HKI!N57))</f>
        <v/>
      </c>
      <c r="R57" s="93" t="str">
        <f t="shared" si="2"/>
        <v/>
      </c>
    </row>
    <row r="58" spans="1:18" ht="15.75">
      <c r="A58" s="2" t="str">
        <f>IF(OR($C$6="",$J$6=""),"",IF(B58="","",SUBTOTAL(3,$B$11:B58)))</f>
        <v/>
      </c>
      <c r="B58" s="90" t="str">
        <f>IF(OR($C$6="",$J$6="",$L$6=""),"",IF(HKI!B58="","",HKI!B58))</f>
        <v/>
      </c>
      <c r="C58" s="91" t="str">
        <f>IF($B58="","",VLOOKUP($B58,'DS LOP HKI'!$B$2:$F$2642,2,0))</f>
        <v/>
      </c>
      <c r="D58" s="92" t="str">
        <f>IF($B58="","",VLOOKUP($B58,'DS LOP HKI'!$B$2:$F$2642,3,0))</f>
        <v/>
      </c>
      <c r="E58" s="144"/>
      <c r="F58" s="111"/>
      <c r="G58" s="198"/>
      <c r="H58" s="198"/>
      <c r="I58" s="535"/>
      <c r="J58" s="111"/>
      <c r="K58" s="111"/>
      <c r="L58" s="111"/>
      <c r="M58" s="198"/>
      <c r="N58" s="198"/>
      <c r="O58" s="12" t="str">
        <f t="shared" si="0"/>
        <v/>
      </c>
      <c r="P58" s="7" t="str">
        <f t="shared" si="1"/>
        <v/>
      </c>
      <c r="Q58" s="93" t="str">
        <f>IF(ISNUMBER(E58)=TRUE,"",IF(HKI!N58="","",HKI!N58))</f>
        <v/>
      </c>
      <c r="R58" s="93" t="str">
        <f t="shared" si="2"/>
        <v/>
      </c>
    </row>
    <row r="59" spans="1:18" ht="15.75">
      <c r="A59" s="2" t="str">
        <f>IF(OR($C$6="",$J$6=""),"",IF(B59="","",SUBTOTAL(3,$B$11:B59)))</f>
        <v/>
      </c>
      <c r="B59" s="90" t="str">
        <f>IF(OR($C$6="",$J$6="",$L$6=""),"",IF(HKI!B59="","",HKI!B59))</f>
        <v/>
      </c>
      <c r="C59" s="91" t="str">
        <f>IF($B59="","",VLOOKUP($B59,'DS LOP HKI'!$B$2:$F$2642,2,0))</f>
        <v/>
      </c>
      <c r="D59" s="92" t="str">
        <f>IF($B59="","",VLOOKUP($B59,'DS LOP HKI'!$B$2:$F$2642,3,0))</f>
        <v/>
      </c>
      <c r="E59" s="144"/>
      <c r="F59" s="111"/>
      <c r="G59" s="198"/>
      <c r="H59" s="198"/>
      <c r="I59" s="535"/>
      <c r="J59" s="111"/>
      <c r="K59" s="111"/>
      <c r="L59" s="111"/>
      <c r="M59" s="198"/>
      <c r="N59" s="198"/>
      <c r="O59" s="12" t="str">
        <f t="shared" si="0"/>
        <v/>
      </c>
      <c r="P59" s="7" t="str">
        <f t="shared" si="1"/>
        <v/>
      </c>
      <c r="Q59" s="93" t="str">
        <f>IF(ISNUMBER(E59)=TRUE,"",IF(HKI!N59="","",HKI!N59))</f>
        <v/>
      </c>
      <c r="R59" s="93" t="str">
        <f t="shared" si="2"/>
        <v/>
      </c>
    </row>
    <row r="60" spans="1:18" ht="15.75">
      <c r="A60" s="2" t="str">
        <f>IF(OR($C$6="",$J$6=""),"",IF(B60="","",SUBTOTAL(3,$B$11:B60)))</f>
        <v/>
      </c>
      <c r="B60" s="90" t="str">
        <f>IF(OR($C$6="",$J$6="",$L$6=""),"",IF(HKI!B60="","",HKI!B60))</f>
        <v/>
      </c>
      <c r="C60" s="91" t="str">
        <f>IF($B60="","",VLOOKUP($B60,'DS LOP HKI'!$B$2:$F$2642,2,0))</f>
        <v/>
      </c>
      <c r="D60" s="92" t="str">
        <f>IF($B60="","",VLOOKUP($B60,'DS LOP HKI'!$B$2:$F$2642,3,0))</f>
        <v/>
      </c>
      <c r="E60" s="144"/>
      <c r="F60" s="111"/>
      <c r="G60" s="198"/>
      <c r="H60" s="198"/>
      <c r="I60" s="535"/>
      <c r="J60" s="111"/>
      <c r="K60" s="111"/>
      <c r="L60" s="111"/>
      <c r="M60" s="198"/>
      <c r="N60" s="198"/>
      <c r="O60" s="12" t="str">
        <f t="shared" si="0"/>
        <v/>
      </c>
      <c r="P60" s="7" t="str">
        <f t="shared" si="1"/>
        <v/>
      </c>
      <c r="Q60" s="93" t="str">
        <f>IF(ISNUMBER(E60)=TRUE,"",IF(HKI!N60="","",HKI!N60))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IF(ISNUMBER(E61)=TRUE,"",IF(HKI!N61="","",HKI!N61))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IF(ISNUMBER(E62)=TRUE,"",IF(HKI!N62="","",HKI!N62))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IF(ISNUMBER(E63)=TRUE,"",IF(HKI!N63="","",HKI!N63))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IF(ISNUMBER(E64)=TRUE,"",IF(HKI!N64="","",HKI!N64))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IF(ISNUMBER(E65)=TRUE,"",IF(HKI!N65="","",HKI!N65))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IF(ISNUMBER(E66)=TRUE,"",IF(HKI!N66="","",HKI!N66))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IF(ISNUMBER(E67)=TRUE,"",IF(HKI!N67="","",HKI!N67))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IF(ISNUMBER(E68)=TRUE,"",IF(HKI!N68="","",HKI!N68))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IF(ISNUMBER(E69)=TRUE,"",IF(HKI!N69="","",HKI!N69))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IF(ISNUMBER(E70)=TRUE,"",IF(HKI!N70="","",HKI!N70))</f>
        <v/>
      </c>
      <c r="R70" s="93" t="str">
        <f t="shared" si="2"/>
        <v/>
      </c>
    </row>
    <row r="71" spans="1:18" ht="15">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IF(ISNUMBER(E71)=TRUE,"",IF(HKI!N71="","",HKI!N71))</f>
        <v/>
      </c>
      <c r="R71" s="93" t="str">
        <f t="shared" si="2"/>
        <v/>
      </c>
    </row>
    <row r="72" spans="1:18"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IF(ISNUMBER(E72)=TRUE,"",IF(HKI!N72="","",HKI!N72))</f>
        <v/>
      </c>
      <c r="R72" s="93" t="str">
        <f t="shared" si="2"/>
        <v/>
      </c>
    </row>
    <row r="73" spans="1:18" ht="15">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IF(ISNUMBER(E73)=TRUE,"",IF(HKI!N73="","",HKI!N73))</f>
        <v/>
      </c>
      <c r="R73" s="93" t="str">
        <f t="shared" si="2"/>
        <v/>
      </c>
    </row>
    <row r="74" spans="1:18" ht="15">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IF(ISNUMBER(E74)=TRUE,"",IF(HKI!N74="","",HKI!N74))</f>
        <v/>
      </c>
      <c r="R74" s="93" t="str">
        <f t="shared" si="2"/>
        <v/>
      </c>
    </row>
    <row r="75" spans="1:18" ht="15">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IF(ISNUMBER(E75)=TRUE,"",IF(HKI!N75="","",HKI!N75))</f>
        <v/>
      </c>
      <c r="R75" s="93" t="str">
        <f t="shared" si="2"/>
        <v/>
      </c>
    </row>
    <row r="76" spans="1:18" s="38" customFormat="1">
      <c r="A76" s="806" t="s">
        <v>1519</v>
      </c>
      <c r="B76" s="806"/>
      <c r="C76" s="806"/>
      <c r="D76" s="806"/>
      <c r="E76" s="806"/>
      <c r="F76" s="806"/>
      <c r="G76" s="806"/>
      <c r="H76" s="806"/>
      <c r="I76" s="806"/>
      <c r="J76" s="806"/>
      <c r="K76" s="806"/>
      <c r="L76" s="806"/>
      <c r="M76" s="806"/>
      <c r="N76" s="806"/>
      <c r="O76" s="806"/>
      <c r="P76" s="806"/>
    </row>
    <row r="77" spans="1:18" s="38" customFormat="1">
      <c r="A77" s="5"/>
      <c r="B77" s="793" t="str">
        <f>"Tổng danh sách có"</f>
        <v>Tổng danh sách có</v>
      </c>
      <c r="C77" s="793"/>
      <c r="D77" s="793"/>
      <c r="E77" s="793"/>
      <c r="F77" s="804" t="str">
        <f>": "&amp;MAX($A$11:$A$75)&amp;" SV"</f>
        <v>: 35 SV</v>
      </c>
      <c r="G77" s="804"/>
      <c r="L77" s="6"/>
      <c r="M77" s="6"/>
      <c r="N77" s="6"/>
      <c r="O77" s="6"/>
      <c r="P77" s="5"/>
    </row>
    <row r="78" spans="1:18" s="38" customFormat="1" ht="12.75" customHeight="1">
      <c r="A78" s="4"/>
      <c r="B78" s="782" t="str">
        <f>"Tổng số SV có điểm Giỏi từ 8,5 đ đến 10 đ"</f>
        <v>Tổng số SV có điểm Giỏi từ 8,5 đ đến 10 đ</v>
      </c>
      <c r="C78" s="782"/>
      <c r="D78" s="782"/>
      <c r="E78" s="782"/>
      <c r="F78" s="782" t="str">
        <f>": "&amp;COUNTIF($P$11:$P$75,"Giỏi")&amp;" SV"</f>
        <v>: 0 SV</v>
      </c>
      <c r="G78" s="782"/>
      <c r="H78" s="782" t="str">
        <f>IF(B11="","","("&amp;ROUND(COUNTIF($P$11:$P$75,"Giỏi")*100/MAX($A$11:$A$75),2)&amp;"%" &amp;")")</f>
        <v>(0%)</v>
      </c>
      <c r="I78" s="782"/>
      <c r="J78" s="782"/>
      <c r="K78" s="782"/>
      <c r="L78" s="789" t="str">
        <f>IF(B11="","","Tổng số SV có điểm &gt;= 4 đ : "&amp;COUNTIF(O11:O75,"&gt;=4")&amp;" SV"&amp;" ("&amp;ROUND(COUNTIF(O11:O75,"&gt;=4")*100/MAX($A$11:$A$75),2)&amp;"%" &amp;")")</f>
        <v>Tổng số SV có điểm &gt;= 4 đ : 32 SV (91.43%)</v>
      </c>
      <c r="M78" s="789"/>
      <c r="N78" s="789"/>
      <c r="O78" s="789"/>
      <c r="P78" s="46"/>
    </row>
    <row r="79" spans="1:18" s="38" customFormat="1" ht="12.75" customHeight="1">
      <c r="A79" s="4"/>
      <c r="B79" s="782" t="str">
        <f>"Tổng số SV có điểm Khá từ 7 đ đến &lt;8,5 đ"</f>
        <v>Tổng số SV có điểm Khá từ 7 đ đến &lt;8,5 đ</v>
      </c>
      <c r="C79" s="782"/>
      <c r="D79" s="782"/>
      <c r="E79" s="782"/>
      <c r="F79" s="782" t="str">
        <f>": "&amp;COUNTIF($P$11:$P$75,"Khá")&amp;" SV"</f>
        <v>: 7 SV</v>
      </c>
      <c r="G79" s="782"/>
      <c r="H79" s="782" t="str">
        <f>IF(B11="","","("&amp;ROUND(COUNTIF($P$11:$P$75,"Khá")*100/MAX($A$11:$A$75),2)&amp;"%" &amp;")")</f>
        <v>(20%)</v>
      </c>
      <c r="I79" s="782"/>
      <c r="J79" s="782"/>
      <c r="K79" s="782"/>
      <c r="L79" s="789"/>
      <c r="M79" s="789"/>
      <c r="N79" s="789"/>
      <c r="O79" s="789"/>
      <c r="P79" s="46"/>
    </row>
    <row r="80" spans="1:18" s="38" customFormat="1" ht="12.75" customHeight="1">
      <c r="A80" s="4"/>
      <c r="B80" s="782" t="str">
        <f>"Tổng số SV có điểm Trung bình từ 5,5 đ đến &lt;7 đ"</f>
        <v>Tổng số SV có điểm Trung bình từ 5,5 đ đến &lt;7 đ</v>
      </c>
      <c r="C80" s="782"/>
      <c r="D80" s="782"/>
      <c r="E80" s="782"/>
      <c r="F80" s="782" t="str">
        <f>": "&amp;COUNTIF($P$11:$P$75,"TB")&amp;" SV"</f>
        <v>: 22 SV</v>
      </c>
      <c r="G80" s="782"/>
      <c r="H80" s="782" t="str">
        <f>IF(B11="","","("&amp;ROUND(COUNTIF($P$11:$P$75,"TB")*100/MAX($A$11:$A$75),2)&amp;"%" &amp;")")</f>
        <v>(62.86%)</v>
      </c>
      <c r="I80" s="782"/>
      <c r="J80" s="782"/>
      <c r="K80" s="782"/>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3 SV</v>
      </c>
      <c r="G81" s="782"/>
      <c r="H81" s="782" t="str">
        <f>IF(B11="","","("&amp;ROUND(COUNTIF($P$11:$P$75,"TBY")*100/MAX($A$11:$A$75),2)&amp;"%" &amp;")")</f>
        <v>(8.57%)</v>
      </c>
      <c r="I81" s="782"/>
      <c r="J81" s="782"/>
      <c r="K81" s="782"/>
      <c r="L81" s="794" t="str">
        <f>IF(B11="","","Tổng số SV có điểm &lt; 4 đ : "&amp;COUNTIF(O11:O75,"&lt;4")&amp;" SV"&amp;" ("&amp;ROUND(COUNTIF(O11:O75,"&lt;4")*100/MAX($A$11:$A$75),2)&amp;"%" &amp;")")</f>
        <v>Tổng số SV có điểm &lt; 4 đ : 1 SV (2.86%)</v>
      </c>
      <c r="M81" s="794"/>
      <c r="N81" s="794"/>
      <c r="O81" s="794"/>
      <c r="P81" s="94"/>
    </row>
    <row r="82" spans="1:16" s="38" customFormat="1" ht="12.75" customHeight="1">
      <c r="A82" s="4"/>
      <c r="B82" s="782" t="str">
        <f>"Tổng số SV có điểm kém &lt;4 đ"</f>
        <v>Tổng số SV có điểm kém &lt;4 đ</v>
      </c>
      <c r="C82" s="782"/>
      <c r="D82" s="782"/>
      <c r="E82" s="782"/>
      <c r="F82" s="782" t="str">
        <f>": "&amp;COUNTIF($P$11:$P$75,"Kém")&amp;" SV"</f>
        <v>: 1 SV</v>
      </c>
      <c r="G82" s="782"/>
      <c r="H82" s="782" t="str">
        <f>IF(B11="","","("&amp;ROUND(COUNTIF($P$11:$P$75,"Kém")*100/MAX($A$11:$A$75),2)&amp;"%"&amp;")")</f>
        <v>(2.86%)</v>
      </c>
      <c r="I82" s="782"/>
      <c r="J82" s="782"/>
      <c r="K82" s="782"/>
      <c r="L82" s="794"/>
      <c r="M82" s="794"/>
      <c r="N82" s="794"/>
      <c r="O82" s="794"/>
      <c r="P82" s="94"/>
    </row>
    <row r="83" spans="1:16" s="38" customFormat="1" ht="12.75" customHeight="1">
      <c r="A83" s="4"/>
      <c r="B83" s="782" t="str">
        <f>"Tổng số SV không xếp loại vì chưa đủ điều kiện"</f>
        <v>Tổng số SV không xếp loại vì chưa đủ điều kiện</v>
      </c>
      <c r="C83" s="782"/>
      <c r="D83" s="782"/>
      <c r="E83" s="782"/>
      <c r="F83" s="782" t="str">
        <f>": "&amp;COUNTIF($P$11:$P$75,"KXL")&amp;" SV"</f>
        <v>: 2 SV</v>
      </c>
      <c r="G83" s="782"/>
      <c r="H83" s="782" t="str">
        <f>IF(B11="","","("&amp;ROUND(COUNTIF($P$11:$P$75,"KXL")*100/MAX($A$11:$A$75),2)&amp;"%"&amp;")")</f>
        <v>(5.71%)</v>
      </c>
      <c r="I83" s="782"/>
      <c r="J83" s="782"/>
      <c r="K83" s="782"/>
      <c r="L83" s="794"/>
      <c r="M83" s="794"/>
      <c r="N83" s="794"/>
      <c r="O83" s="794"/>
      <c r="P83" s="94"/>
    </row>
    <row r="84" spans="1:16" ht="15.75">
      <c r="B84" s="47"/>
      <c r="C84" s="47"/>
      <c r="D84" s="47"/>
      <c r="E84" s="47"/>
      <c r="F84" s="47"/>
      <c r="G84" s="47"/>
      <c r="H84" s="47"/>
      <c r="I84" s="47"/>
      <c r="J84" s="47"/>
      <c r="K84" s="47"/>
      <c r="L84" s="47"/>
      <c r="M84" s="47"/>
      <c r="N84" s="47"/>
      <c r="O84" s="47"/>
    </row>
    <row r="85" spans="1:16" ht="15.75" customHeight="1">
      <c r="A85" s="781" t="s">
        <v>1427</v>
      </c>
      <c r="B85" s="781"/>
      <c r="C85" s="781"/>
      <c r="D85" s="781" t="s">
        <v>1515</v>
      </c>
      <c r="E85" s="781"/>
      <c r="F85" s="781"/>
      <c r="G85" s="781"/>
      <c r="H85" s="781"/>
      <c r="I85" s="84"/>
      <c r="J85" s="84"/>
      <c r="K85" s="781" t="s">
        <v>1516</v>
      </c>
      <c r="L85" s="781"/>
      <c r="M85" s="781"/>
      <c r="N85" s="781"/>
      <c r="O85" s="781"/>
      <c r="P85" s="781"/>
    </row>
    <row r="86" spans="1:16">
      <c r="A86" s="795"/>
      <c r="B86" s="795"/>
      <c r="C86" s="795"/>
      <c r="D86" s="95"/>
      <c r="E86" s="95"/>
      <c r="G86" s="95"/>
      <c r="H86" s="95"/>
      <c r="I86" s="95"/>
      <c r="J86" s="95"/>
      <c r="K86" s="95"/>
      <c r="L86" s="95"/>
      <c r="M86" s="796"/>
      <c r="N86" s="796"/>
      <c r="O86" s="796"/>
      <c r="P86" s="796"/>
    </row>
  </sheetData>
  <sheetProtection password="E4CC" sheet="1" objects="1" scenarios="1" formatCells="0" formatRows="0"/>
  <dataConsolidate/>
  <mergeCells count="60">
    <mergeCell ref="G7:I7"/>
    <mergeCell ref="J7:L7"/>
    <mergeCell ref="L8:L9"/>
    <mergeCell ref="M8:M9"/>
    <mergeCell ref="N8:N9"/>
    <mergeCell ref="H8:H9"/>
    <mergeCell ref="G8:G9"/>
    <mergeCell ref="E8:E10"/>
    <mergeCell ref="F8:F9"/>
    <mergeCell ref="K85:P85"/>
    <mergeCell ref="Q8:Q9"/>
    <mergeCell ref="R8:R10"/>
    <mergeCell ref="O8:O10"/>
    <mergeCell ref="P8:P10"/>
    <mergeCell ref="H81:K81"/>
    <mergeCell ref="H82:K82"/>
    <mergeCell ref="F79:G79"/>
    <mergeCell ref="B80:E80"/>
    <mergeCell ref="A1:E1"/>
    <mergeCell ref="A8:A10"/>
    <mergeCell ref="A3:E3"/>
    <mergeCell ref="G10:L10"/>
    <mergeCell ref="F1:P1"/>
    <mergeCell ref="F2:P2"/>
    <mergeCell ref="F3:P3"/>
    <mergeCell ref="A4:P4"/>
    <mergeCell ref="I8:I9"/>
    <mergeCell ref="J8:J9"/>
    <mergeCell ref="A5:P5"/>
    <mergeCell ref="A2:E2"/>
    <mergeCell ref="K8:K9"/>
    <mergeCell ref="C8:D10"/>
    <mergeCell ref="A86:C86"/>
    <mergeCell ref="M86:P86"/>
    <mergeCell ref="D85:H85"/>
    <mergeCell ref="F83:G83"/>
    <mergeCell ref="H83:K83"/>
    <mergeCell ref="L81:O83"/>
    <mergeCell ref="A85:C85"/>
    <mergeCell ref="B82:E82"/>
    <mergeCell ref="F81:G81"/>
    <mergeCell ref="F82:G82"/>
    <mergeCell ref="B83:E83"/>
    <mergeCell ref="B81:E81"/>
    <mergeCell ref="L6:N6"/>
    <mergeCell ref="A6:B6"/>
    <mergeCell ref="F77:G77"/>
    <mergeCell ref="F78:G78"/>
    <mergeCell ref="H78:K78"/>
    <mergeCell ref="L78:O80"/>
    <mergeCell ref="H6:I6"/>
    <mergeCell ref="A76:P76"/>
    <mergeCell ref="B77:E77"/>
    <mergeCell ref="H79:K79"/>
    <mergeCell ref="F80:G80"/>
    <mergeCell ref="C6:G6"/>
    <mergeCell ref="B8:B10"/>
    <mergeCell ref="B78:E78"/>
    <mergeCell ref="B79:E79"/>
    <mergeCell ref="H80:K80"/>
  </mergeCells>
  <phoneticPr fontId="12" type="noConversion"/>
  <conditionalFormatting sqref="O11:O75">
    <cfRule type="cellIs" dxfId="9" priority="1" stopIfTrue="1" operator="lessThan">
      <formula>4</formula>
    </cfRule>
  </conditionalFormatting>
  <printOptions horizontalCentered="1"/>
  <pageMargins left="0" right="0" top="0.25" bottom="0.32" header="0.25" footer="0.25"/>
  <pageSetup paperSize="9" scale="85" orientation="portrait" horizontalDpi="1200" verticalDpi="1200" r:id="rId1"/>
  <headerFooter alignWithMargins="0"/>
</worksheet>
</file>

<file path=xl/worksheets/sheet11.xml><?xml version="1.0" encoding="utf-8"?>
<worksheet xmlns="http://schemas.openxmlformats.org/spreadsheetml/2006/main" xmlns:r="http://schemas.openxmlformats.org/officeDocument/2006/relationships">
  <sheetPr codeName="Sheet9"/>
  <dimension ref="A1:R85"/>
  <sheetViews>
    <sheetView workbookViewId="0">
      <pane ySplit="10" topLeftCell="A41" activePane="bottomLeft" state="frozen"/>
      <selection activeCell="G25" sqref="G25"/>
      <selection pane="bottomLeft" activeCell="Y50" sqref="Y50"/>
    </sheetView>
  </sheetViews>
  <sheetFormatPr defaultRowHeight="12.75"/>
  <cols>
    <col min="1" max="1" width="3.85546875" style="5" bestFit="1" customWidth="1"/>
    <col min="2" max="2" width="13.5703125" style="5" bestFit="1" customWidth="1"/>
    <col min="3" max="3" width="18.85546875" style="5" bestFit="1" customWidth="1"/>
    <col min="4" max="4" width="7.5703125" style="5" bestFit="1" customWidth="1"/>
    <col min="5" max="5" width="6" style="5" bestFit="1" customWidth="1"/>
    <col min="6" max="6" width="5.42578125" style="5" hidden="1" customWidth="1"/>
    <col min="7" max="7" width="6.5703125" style="5" customWidth="1"/>
    <col min="8" max="8" width="6.7109375" style="5" customWidth="1"/>
    <col min="9" max="9" width="6.5703125" style="5" customWidth="1"/>
    <col min="10" max="10" width="6.7109375" style="5" customWidth="1"/>
    <col min="11" max="11" width="6.5703125" style="5" bestFit="1" customWidth="1"/>
    <col min="12" max="12" width="6.7109375" style="5" customWidth="1"/>
    <col min="13" max="13" width="5.5703125" style="5"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8" t="s">
        <v>1502</v>
      </c>
      <c r="B1" s="788"/>
      <c r="C1" s="788"/>
      <c r="D1" s="788"/>
      <c r="E1" s="788"/>
      <c r="F1" s="788"/>
      <c r="G1" s="79"/>
      <c r="H1" s="784" t="s">
        <v>1503</v>
      </c>
      <c r="I1" s="784"/>
      <c r="J1" s="784"/>
      <c r="K1" s="784"/>
      <c r="L1" s="784"/>
      <c r="M1" s="784"/>
      <c r="N1" s="784"/>
    </row>
    <row r="2" spans="1:18" ht="15.75">
      <c r="A2" s="787" t="s">
        <v>1504</v>
      </c>
      <c r="B2" s="787"/>
      <c r="C2" s="787"/>
      <c r="D2" s="787"/>
      <c r="E2" s="787"/>
      <c r="F2" s="787"/>
      <c r="G2" s="79"/>
      <c r="H2" s="784" t="s">
        <v>1505</v>
      </c>
      <c r="I2" s="784"/>
      <c r="J2" s="784"/>
      <c r="K2" s="784"/>
      <c r="L2" s="784"/>
      <c r="M2" s="784"/>
      <c r="N2" s="784"/>
    </row>
    <row r="3" spans="1:18" ht="15.75">
      <c r="A3" s="785" t="s">
        <v>1506</v>
      </c>
      <c r="B3" s="785"/>
      <c r="C3" s="785"/>
      <c r="D3" s="785"/>
      <c r="E3" s="785"/>
      <c r="F3" s="785"/>
      <c r="G3" s="80"/>
      <c r="H3" s="785" t="s">
        <v>1507</v>
      </c>
      <c r="I3" s="785"/>
      <c r="J3" s="785"/>
      <c r="K3" s="785"/>
      <c r="L3" s="785"/>
      <c r="M3" s="785"/>
      <c r="N3" s="785"/>
    </row>
    <row r="4" spans="1:18" ht="18.75">
      <c r="A4" s="786" t="s">
        <v>1508</v>
      </c>
      <c r="B4" s="786"/>
      <c r="C4" s="786"/>
      <c r="D4" s="786"/>
      <c r="E4" s="786"/>
      <c r="F4" s="786"/>
      <c r="G4" s="786"/>
      <c r="H4" s="786"/>
      <c r="I4" s="786"/>
      <c r="J4" s="786"/>
      <c r="K4" s="786"/>
      <c r="L4" s="786"/>
      <c r="M4" s="786"/>
    </row>
    <row r="5" spans="1:18" ht="18.75">
      <c r="A5" s="786"/>
      <c r="B5" s="786"/>
      <c r="C5" s="786"/>
      <c r="D5" s="786"/>
      <c r="E5" s="786"/>
      <c r="F5" s="786"/>
      <c r="G5" s="786"/>
      <c r="H5" s="786"/>
      <c r="I5" s="786"/>
      <c r="J5" s="786"/>
      <c r="K5" s="786"/>
      <c r="L5" s="786"/>
      <c r="M5" s="786"/>
    </row>
    <row r="6" spans="1:18" s="81" customFormat="1" ht="15">
      <c r="B6" s="82" t="s">
        <v>1509</v>
      </c>
      <c r="C6" s="780" t="str">
        <f>IF(L6="","",IF(VLOOKUP(L6,'LOP-MON'!$C$2:$N$55,4,FALSE)=0,"",VLOOKUP(L6,'LOP-MON'!$C$2:$N$55,4,FALSE)))</f>
        <v xml:space="preserve">Khí cụ điện và máy điện </v>
      </c>
      <c r="D6" s="780"/>
      <c r="E6" s="780"/>
      <c r="F6" s="780"/>
      <c r="G6" s="780"/>
      <c r="H6" s="781" t="s">
        <v>1532</v>
      </c>
      <c r="I6" s="781"/>
      <c r="J6" s="83">
        <f>IF(L6="","",IF(VLOOKUP(CONCATENATE("TC",MID(L6,1,4),MID(L6,6,3)),'LOP-MON'!$C$2:$N$55,4,FALSE)=0,"",VLOOKUP(CONCATENATE("TC",MID(L6,1,4),MID(L6,6,3)),'LOP-MON'!$C$2:$N$55,4,FALSE)))</f>
        <v>3</v>
      </c>
      <c r="K6" s="82" t="s">
        <v>1424</v>
      </c>
      <c r="L6" s="85" t="str">
        <f>HKI!$D$3</f>
        <v>13CĐ-Đ1</v>
      </c>
      <c r="M6" s="82"/>
      <c r="N6" s="82"/>
    </row>
    <row r="7" spans="1:18" s="86" customFormat="1" ht="15">
      <c r="C7" s="45" t="s">
        <v>1510</v>
      </c>
      <c r="D7" s="45" t="s">
        <v>1511</v>
      </c>
      <c r="E7" s="87"/>
      <c r="G7" s="790" t="s">
        <v>1512</v>
      </c>
      <c r="H7" s="790"/>
      <c r="I7" s="790"/>
      <c r="J7" s="790" t="s">
        <v>90</v>
      </c>
      <c r="K7" s="790"/>
      <c r="L7" s="790"/>
      <c r="O7" s="88"/>
      <c r="P7" s="88"/>
    </row>
    <row r="8" spans="1:18" s="81" customFormat="1" ht="15" customHeight="1">
      <c r="A8" s="783" t="s">
        <v>1514</v>
      </c>
      <c r="B8" s="783" t="s">
        <v>1425</v>
      </c>
      <c r="C8" s="783" t="s">
        <v>1426</v>
      </c>
      <c r="D8" s="783"/>
      <c r="E8" s="783" t="s">
        <v>1518</v>
      </c>
      <c r="F8" s="791" t="s">
        <v>1521</v>
      </c>
      <c r="G8" s="791" t="s">
        <v>1522</v>
      </c>
      <c r="H8" s="791" t="s">
        <v>1523</v>
      </c>
      <c r="I8" s="791" t="s">
        <v>1524</v>
      </c>
      <c r="J8" s="791" t="s">
        <v>1525</v>
      </c>
      <c r="K8" s="791" t="s">
        <v>1526</v>
      </c>
      <c r="L8" s="791" t="s">
        <v>1527</v>
      </c>
      <c r="M8" s="791" t="s">
        <v>1528</v>
      </c>
      <c r="N8" s="791" t="s">
        <v>1529</v>
      </c>
      <c r="O8" s="791" t="s">
        <v>1520</v>
      </c>
      <c r="P8" s="805" t="s">
        <v>1517</v>
      </c>
      <c r="Q8" s="791" t="s">
        <v>1530</v>
      </c>
      <c r="R8" s="791" t="s">
        <v>1531</v>
      </c>
    </row>
    <row r="9" spans="1:18" s="89" customFormat="1" ht="28.5" customHeight="1">
      <c r="A9" s="783"/>
      <c r="B9" s="783"/>
      <c r="C9" s="783"/>
      <c r="D9" s="783"/>
      <c r="E9" s="783"/>
      <c r="F9" s="791"/>
      <c r="G9" s="791"/>
      <c r="H9" s="791"/>
      <c r="I9" s="791"/>
      <c r="J9" s="791"/>
      <c r="K9" s="791"/>
      <c r="L9" s="791"/>
      <c r="M9" s="791"/>
      <c r="N9" s="791"/>
      <c r="O9" s="791"/>
      <c r="P9" s="805"/>
      <c r="Q9" s="791"/>
      <c r="R9" s="791"/>
    </row>
    <row r="10" spans="1:18" s="89" customFormat="1" ht="15">
      <c r="A10" s="783"/>
      <c r="B10" s="783"/>
      <c r="C10" s="783"/>
      <c r="D10" s="783"/>
      <c r="E10" s="783"/>
      <c r="F10" s="9"/>
      <c r="G10" s="803">
        <v>0.2</v>
      </c>
      <c r="H10" s="791"/>
      <c r="I10" s="791"/>
      <c r="J10" s="791"/>
      <c r="K10" s="791"/>
      <c r="L10" s="791"/>
      <c r="M10" s="9">
        <v>0.3</v>
      </c>
      <c r="N10" s="9">
        <v>0.5</v>
      </c>
      <c r="O10" s="791"/>
      <c r="P10" s="805"/>
      <c r="Q10" s="10">
        <v>0.5</v>
      </c>
      <c r="R10" s="791"/>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200"/>
      <c r="G11" s="200">
        <v>8</v>
      </c>
      <c r="H11" s="200"/>
      <c r="I11" s="200">
        <v>9</v>
      </c>
      <c r="J11" s="200"/>
      <c r="K11" s="200">
        <v>9</v>
      </c>
      <c r="L11" s="200">
        <v>9</v>
      </c>
      <c r="M11" s="200">
        <v>7</v>
      </c>
      <c r="N11" s="549">
        <v>6</v>
      </c>
      <c r="O11" s="12">
        <f>IF(B11="","",IF(ISNUMBER(E11)=TRUE,E11,IF(COUNT(G11:N11)=0,"",IF(COUNT(G11:L11)=0,ROUND(0.3*M11+0.5*N11,1),ROUND(0.2*(SUM(G11:L11)/COUNT(G11:L11))+0.3*M11+0.5*N11,1)))))</f>
        <v>6.9</v>
      </c>
      <c r="P11" s="7" t="str">
        <f>IF(B11="","",IF(O11="","KXL",IF(O11&lt;4,"Kém",IF(O11&lt;5.5,"TBY",IF(O11&lt;7,"TB",IF(O11&lt;8.5,"Khá","Giỏi"))))))</f>
        <v>TB</v>
      </c>
      <c r="Q11" s="93" t="str">
        <f>IF(ISNUMBER(E11)=TRUE,"",IF(HKI!R11="","",HKI!R11))</f>
        <v/>
      </c>
      <c r="R11" s="93" t="str">
        <f>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201"/>
      <c r="G12" s="201">
        <v>4</v>
      </c>
      <c r="H12" s="201"/>
      <c r="I12" s="201">
        <v>5</v>
      </c>
      <c r="J12" s="201"/>
      <c r="K12" s="201">
        <v>5</v>
      </c>
      <c r="L12" s="201">
        <v>7</v>
      </c>
      <c r="M12" s="201">
        <v>3</v>
      </c>
      <c r="N12" s="549">
        <v>2.1</v>
      </c>
      <c r="O12" s="12">
        <f t="shared" ref="O12:O75" si="0">IF(B12="","",IF(ISNUMBER(E12)=TRUE,E12,IF(COUNT(G12:N12)=0,"",IF(COUNT(G12:L12)=0,ROUND(0.3*M12+0.5*N12,1),ROUND(0.2*(SUM(G12:L12)/COUNT(G12:L12))+0.3*M12+0.5*N12,1)))))</f>
        <v>3</v>
      </c>
      <c r="P12" s="7" t="str">
        <f t="shared" ref="P12:P75" si="1">IF(B12="","",IF(O12="","KXL",IF(O12&lt;4,"Kém",IF(O12&lt;5.5,"TBY",IF(O12&lt;7,"TB",IF(O12&lt;8.5,"Khá","Giỏi"))))))</f>
        <v>Kém</v>
      </c>
      <c r="Q12" s="93" t="str">
        <f>IF(ISNUMBER(E12)=TRUE,"",IF(HKI!R12="","",HKI!R12))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201"/>
      <c r="G13" s="550">
        <v>3</v>
      </c>
      <c r="H13" s="550"/>
      <c r="I13" s="550">
        <v>4</v>
      </c>
      <c r="J13" s="550"/>
      <c r="K13" s="550">
        <v>6</v>
      </c>
      <c r="L13" s="550">
        <v>7</v>
      </c>
      <c r="M13" s="550">
        <v>5</v>
      </c>
      <c r="N13" s="549">
        <v>3.5</v>
      </c>
      <c r="O13" s="12">
        <f t="shared" si="0"/>
        <v>4.3</v>
      </c>
      <c r="P13" s="7" t="str">
        <f t="shared" si="1"/>
        <v>TBY</v>
      </c>
      <c r="Q13" s="93" t="str">
        <f>IF(ISNUMBER(E13)=TRUE,"",IF(HKI!R13="","",HKI!R13))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201"/>
      <c r="G14" s="550">
        <v>3</v>
      </c>
      <c r="H14" s="550"/>
      <c r="I14" s="550">
        <v>5</v>
      </c>
      <c r="J14" s="550"/>
      <c r="K14" s="550">
        <v>6</v>
      </c>
      <c r="L14" s="550">
        <v>7</v>
      </c>
      <c r="M14" s="550">
        <v>5</v>
      </c>
      <c r="N14" s="549">
        <v>4.4000000000000004</v>
      </c>
      <c r="O14" s="12">
        <f t="shared" si="0"/>
        <v>4.8</v>
      </c>
      <c r="P14" s="7" t="str">
        <f t="shared" si="1"/>
        <v>TBY</v>
      </c>
      <c r="Q14" s="93" t="str">
        <f>IF(ISNUMBER(E14)=TRUE,"",IF(HKI!R14="","",HKI!R14))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201"/>
      <c r="G15" s="550">
        <v>7</v>
      </c>
      <c r="H15" s="550"/>
      <c r="I15" s="550">
        <v>4</v>
      </c>
      <c r="J15" s="550"/>
      <c r="K15" s="550">
        <v>7</v>
      </c>
      <c r="L15" s="550">
        <v>8</v>
      </c>
      <c r="M15" s="550">
        <v>6</v>
      </c>
      <c r="N15" s="549">
        <v>3.1</v>
      </c>
      <c r="O15" s="12">
        <f t="shared" si="0"/>
        <v>4.7</v>
      </c>
      <c r="P15" s="7" t="str">
        <f t="shared" si="1"/>
        <v>TBY</v>
      </c>
      <c r="Q15" s="93" t="str">
        <f>IF(ISNUMBER(E15)=TRUE,"",IF(HKI!R15="","",HKI!R15))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201"/>
      <c r="G16" s="550">
        <v>6</v>
      </c>
      <c r="H16" s="550"/>
      <c r="I16" s="550">
        <v>6</v>
      </c>
      <c r="J16" s="550"/>
      <c r="K16" s="550">
        <v>7</v>
      </c>
      <c r="L16" s="550">
        <v>6</v>
      </c>
      <c r="M16" s="550">
        <v>4</v>
      </c>
      <c r="N16" s="549">
        <v>3</v>
      </c>
      <c r="O16" s="12">
        <f t="shared" si="0"/>
        <v>4</v>
      </c>
      <c r="P16" s="7" t="str">
        <f t="shared" si="1"/>
        <v>TBY</v>
      </c>
      <c r="Q16" s="93" t="str">
        <f>IF(ISNUMBER(E16)=TRUE,"",IF(HKI!R16="","",HKI!R16))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201"/>
      <c r="G17" s="550">
        <v>5</v>
      </c>
      <c r="H17" s="550"/>
      <c r="I17" s="550">
        <v>6</v>
      </c>
      <c r="J17" s="550"/>
      <c r="K17" s="550">
        <v>6</v>
      </c>
      <c r="L17" s="550">
        <v>5</v>
      </c>
      <c r="M17" s="550">
        <v>6</v>
      </c>
      <c r="N17" s="549">
        <v>5.0999999999999996</v>
      </c>
      <c r="O17" s="12">
        <f t="shared" si="0"/>
        <v>5.5</v>
      </c>
      <c r="P17" s="7" t="str">
        <f t="shared" si="1"/>
        <v>TB</v>
      </c>
      <c r="Q17" s="93" t="str">
        <f>IF(ISNUMBER(E17)=TRUE,"",IF(HKI!R17="","",HKI!R17))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201"/>
      <c r="G18" s="550">
        <v>4</v>
      </c>
      <c r="H18" s="550"/>
      <c r="I18" s="550">
        <v>5</v>
      </c>
      <c r="J18" s="550"/>
      <c r="K18" s="550">
        <v>7</v>
      </c>
      <c r="L18" s="550">
        <v>8</v>
      </c>
      <c r="M18" s="550">
        <v>6</v>
      </c>
      <c r="N18" s="549">
        <v>4.0999999999999996</v>
      </c>
      <c r="O18" s="12">
        <f t="shared" si="0"/>
        <v>5.0999999999999996</v>
      </c>
      <c r="P18" s="7" t="str">
        <f t="shared" si="1"/>
        <v>TBY</v>
      </c>
      <c r="Q18" s="93" t="str">
        <f>IF(ISNUMBER(E18)=TRUE,"",IF(HKI!R18="","",HKI!R18))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201"/>
      <c r="G19" s="550">
        <v>2.5</v>
      </c>
      <c r="H19" s="550"/>
      <c r="I19" s="550">
        <v>4</v>
      </c>
      <c r="J19" s="550"/>
      <c r="K19" s="550">
        <v>6</v>
      </c>
      <c r="L19" s="550">
        <v>7</v>
      </c>
      <c r="M19" s="550">
        <v>5</v>
      </c>
      <c r="N19" s="549">
        <v>3.5</v>
      </c>
      <c r="O19" s="12">
        <f t="shared" si="0"/>
        <v>4.2</v>
      </c>
      <c r="P19" s="7" t="str">
        <f t="shared" si="1"/>
        <v>TBY</v>
      </c>
      <c r="Q19" s="93" t="str">
        <f>IF(ISNUMBER(E19)=TRUE,"",IF(HKI!R19="","",HKI!R19))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201"/>
      <c r="G20" s="550">
        <v>3</v>
      </c>
      <c r="H20" s="550"/>
      <c r="I20" s="550">
        <v>0</v>
      </c>
      <c r="J20" s="550"/>
      <c r="K20" s="550">
        <v>7</v>
      </c>
      <c r="L20" s="550">
        <v>7</v>
      </c>
      <c r="M20" s="550">
        <v>4</v>
      </c>
      <c r="N20" s="549">
        <v>2.1</v>
      </c>
      <c r="O20" s="12">
        <f t="shared" si="0"/>
        <v>3.1</v>
      </c>
      <c r="P20" s="7" t="str">
        <f t="shared" si="1"/>
        <v>Kém</v>
      </c>
      <c r="Q20" s="93" t="str">
        <f>IF(ISNUMBER(E20)=TRUE,"",IF(HKI!R20="","",HKI!R20))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201"/>
      <c r="G21" s="550">
        <v>3</v>
      </c>
      <c r="H21" s="550"/>
      <c r="I21" s="550">
        <v>6</v>
      </c>
      <c r="J21" s="550"/>
      <c r="K21" s="550">
        <v>6</v>
      </c>
      <c r="L21" s="550">
        <v>8</v>
      </c>
      <c r="M21" s="550">
        <v>6</v>
      </c>
      <c r="N21" s="549">
        <v>4.3</v>
      </c>
      <c r="O21" s="12">
        <f t="shared" si="0"/>
        <v>5.0999999999999996</v>
      </c>
      <c r="P21" s="7" t="str">
        <f t="shared" si="1"/>
        <v>TBY</v>
      </c>
      <c r="Q21" s="93" t="str">
        <f>IF(ISNUMBER(E21)=TRUE,"",IF(HKI!R21="","",HKI!R21))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201"/>
      <c r="G22" s="550">
        <v>5</v>
      </c>
      <c r="H22" s="550"/>
      <c r="I22" s="550">
        <v>7</v>
      </c>
      <c r="J22" s="550"/>
      <c r="K22" s="550">
        <v>8</v>
      </c>
      <c r="L22" s="550">
        <v>8</v>
      </c>
      <c r="M22" s="550">
        <v>5</v>
      </c>
      <c r="N22" s="549">
        <v>5.0999999999999996</v>
      </c>
      <c r="O22" s="12">
        <f t="shared" si="0"/>
        <v>5.5</v>
      </c>
      <c r="P22" s="7" t="str">
        <f t="shared" si="1"/>
        <v>TB</v>
      </c>
      <c r="Q22" s="93" t="str">
        <f>IF(ISNUMBER(E22)=TRUE,"",IF(HKI!R22="","",HKI!R22))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201"/>
      <c r="G23" s="550">
        <v>5</v>
      </c>
      <c r="H23" s="550"/>
      <c r="I23" s="550">
        <v>7</v>
      </c>
      <c r="J23" s="550"/>
      <c r="K23" s="550">
        <v>8</v>
      </c>
      <c r="L23" s="550">
        <v>9</v>
      </c>
      <c r="M23" s="550">
        <v>7</v>
      </c>
      <c r="N23" s="549">
        <v>5.6</v>
      </c>
      <c r="O23" s="12">
        <f t="shared" si="0"/>
        <v>6.4</v>
      </c>
      <c r="P23" s="7" t="str">
        <f t="shared" si="1"/>
        <v>TB</v>
      </c>
      <c r="Q23" s="93" t="str">
        <f>IF(ISNUMBER(E23)=TRUE,"",IF(HKI!R23="","",HKI!R23))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201"/>
      <c r="G24" s="550">
        <v>6</v>
      </c>
      <c r="H24" s="550"/>
      <c r="I24" s="550">
        <v>6</v>
      </c>
      <c r="J24" s="550"/>
      <c r="K24" s="550">
        <v>6</v>
      </c>
      <c r="L24" s="550">
        <v>8</v>
      </c>
      <c r="M24" s="550">
        <v>4</v>
      </c>
      <c r="N24" s="549">
        <v>4.7</v>
      </c>
      <c r="O24" s="12">
        <f t="shared" si="0"/>
        <v>4.9000000000000004</v>
      </c>
      <c r="P24" s="7" t="str">
        <f t="shared" si="1"/>
        <v>TBY</v>
      </c>
      <c r="Q24" s="93" t="str">
        <f>IF(ISNUMBER(E24)=TRUE,"",IF(HKI!R24="","",HKI!R24))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201"/>
      <c r="G25" s="550">
        <v>5</v>
      </c>
      <c r="H25" s="550"/>
      <c r="I25" s="550">
        <v>7</v>
      </c>
      <c r="J25" s="550"/>
      <c r="K25" s="550">
        <v>7</v>
      </c>
      <c r="L25" s="550">
        <v>8</v>
      </c>
      <c r="M25" s="550">
        <v>6</v>
      </c>
      <c r="N25" s="549">
        <v>6.1</v>
      </c>
      <c r="O25" s="12">
        <f t="shared" si="0"/>
        <v>6.2</v>
      </c>
      <c r="P25" s="7" t="str">
        <f t="shared" si="1"/>
        <v>TB</v>
      </c>
      <c r="Q25" s="93" t="str">
        <f>IF(ISNUMBER(E25)=TRUE,"",IF(HKI!R25="","",HKI!R25))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201"/>
      <c r="G26" s="550">
        <v>5</v>
      </c>
      <c r="H26" s="550"/>
      <c r="I26" s="550">
        <v>4</v>
      </c>
      <c r="J26" s="550"/>
      <c r="K26" s="550">
        <v>6</v>
      </c>
      <c r="L26" s="550">
        <v>7</v>
      </c>
      <c r="M26" s="550">
        <v>6</v>
      </c>
      <c r="N26" s="549">
        <v>4.8</v>
      </c>
      <c r="O26" s="12">
        <f t="shared" si="0"/>
        <v>5.3</v>
      </c>
      <c r="P26" s="7" t="str">
        <f t="shared" si="1"/>
        <v>TBY</v>
      </c>
      <c r="Q26" s="93" t="str">
        <f>IF(ISNUMBER(E26)=TRUE,"",IF(HKI!R26="","",HKI!R26))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201"/>
      <c r="G27" s="550">
        <v>6</v>
      </c>
      <c r="H27" s="550"/>
      <c r="I27" s="550">
        <v>6</v>
      </c>
      <c r="J27" s="550"/>
      <c r="K27" s="550">
        <v>7</v>
      </c>
      <c r="L27" s="550">
        <v>7</v>
      </c>
      <c r="M27" s="550">
        <v>8</v>
      </c>
      <c r="N27" s="549">
        <v>6</v>
      </c>
      <c r="O27" s="12">
        <f t="shared" si="0"/>
        <v>6.7</v>
      </c>
      <c r="P27" s="7" t="str">
        <f t="shared" si="1"/>
        <v>TB</v>
      </c>
      <c r="Q27" s="93" t="str">
        <f>IF(ISNUMBER(E27)=TRUE,"",IF(HKI!R27="","",HKI!R27))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201"/>
      <c r="G28" s="550">
        <v>7</v>
      </c>
      <c r="H28" s="550"/>
      <c r="I28" s="550">
        <v>5</v>
      </c>
      <c r="J28" s="550"/>
      <c r="K28" s="550">
        <v>6</v>
      </c>
      <c r="L28" s="550">
        <v>7</v>
      </c>
      <c r="M28" s="550">
        <v>4</v>
      </c>
      <c r="N28" s="549">
        <v>4.9000000000000004</v>
      </c>
      <c r="O28" s="12">
        <f t="shared" si="0"/>
        <v>4.9000000000000004</v>
      </c>
      <c r="P28" s="7" t="str">
        <f t="shared" si="1"/>
        <v>TBY</v>
      </c>
      <c r="Q28" s="93" t="str">
        <f>IF(ISNUMBER(E28)=TRUE,"",IF(HKI!R28="","",HKI!R28))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201"/>
      <c r="G29" s="550">
        <v>3</v>
      </c>
      <c r="H29" s="550"/>
      <c r="I29" s="550">
        <v>5</v>
      </c>
      <c r="J29" s="550"/>
      <c r="K29" s="550">
        <v>6</v>
      </c>
      <c r="L29" s="550">
        <v>7</v>
      </c>
      <c r="M29" s="550">
        <v>5</v>
      </c>
      <c r="N29" s="549">
        <v>3.4</v>
      </c>
      <c r="O29" s="12">
        <f t="shared" si="0"/>
        <v>4.3</v>
      </c>
      <c r="P29" s="7" t="str">
        <f t="shared" si="1"/>
        <v>TBY</v>
      </c>
      <c r="Q29" s="93" t="str">
        <f>IF(ISNUMBER(E29)=TRUE,"",IF(HKI!R29="","",HKI!R29))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201"/>
      <c r="G30" s="550">
        <v>5</v>
      </c>
      <c r="H30" s="550"/>
      <c r="I30" s="550">
        <v>6</v>
      </c>
      <c r="J30" s="550"/>
      <c r="K30" s="550">
        <v>7</v>
      </c>
      <c r="L30" s="550">
        <v>7</v>
      </c>
      <c r="M30" s="550">
        <v>6</v>
      </c>
      <c r="N30" s="549">
        <v>3.6</v>
      </c>
      <c r="O30" s="12">
        <f t="shared" si="0"/>
        <v>4.9000000000000004</v>
      </c>
      <c r="P30" s="7" t="str">
        <f t="shared" si="1"/>
        <v>TBY</v>
      </c>
      <c r="Q30" s="93" t="str">
        <f>IF(ISNUMBER(E30)=TRUE,"",IF(HKI!R30="","",HKI!R30))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201"/>
      <c r="G31" s="550">
        <v>5</v>
      </c>
      <c r="H31" s="550"/>
      <c r="I31" s="550">
        <v>5</v>
      </c>
      <c r="J31" s="550"/>
      <c r="K31" s="550">
        <v>8</v>
      </c>
      <c r="L31" s="550">
        <v>9</v>
      </c>
      <c r="M31" s="550">
        <v>6</v>
      </c>
      <c r="N31" s="549">
        <v>5.0999999999999996</v>
      </c>
      <c r="O31" s="12">
        <f t="shared" si="0"/>
        <v>5.7</v>
      </c>
      <c r="P31" s="7" t="str">
        <f t="shared" si="1"/>
        <v>TB</v>
      </c>
      <c r="Q31" s="93" t="str">
        <f>IF(ISNUMBER(E31)=TRUE,"",IF(HKI!R31="","",HKI!R31))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201"/>
      <c r="G32" s="550">
        <v>7</v>
      </c>
      <c r="H32" s="550"/>
      <c r="I32" s="550">
        <v>9</v>
      </c>
      <c r="J32" s="550"/>
      <c r="K32" s="550">
        <v>9</v>
      </c>
      <c r="L32" s="550">
        <v>9</v>
      </c>
      <c r="M32" s="550">
        <v>5</v>
      </c>
      <c r="N32" s="549">
        <v>3.9</v>
      </c>
      <c r="O32" s="12">
        <f t="shared" si="0"/>
        <v>5.2</v>
      </c>
      <c r="P32" s="7" t="str">
        <f t="shared" si="1"/>
        <v>TBY</v>
      </c>
      <c r="Q32" s="93" t="str">
        <f>IF(ISNUMBER(E32)=TRUE,"",IF(HKI!R32="","",HKI!R32))</f>
        <v/>
      </c>
      <c r="R32" s="93" t="str">
        <f t="shared" si="2"/>
        <v/>
      </c>
    </row>
    <row r="33" spans="1:18" ht="15.75">
      <c r="A33" s="2">
        <f>IF(OR($C$6="",$J$6=""),"",IF(B33="","",SUBTOTAL(3,$B$11:B33)))</f>
        <v>23</v>
      </c>
      <c r="B33" s="90" t="str">
        <f>IF(OR($C$6="",$J$6="",$L$6=""),"",IF(HKI!B33="","",HKI!B33))</f>
        <v>13D301Đ101</v>
      </c>
      <c r="C33" s="91" t="str">
        <f>IF($B33="","",VLOOKUP($B33,'DS LOP HKI'!$B$2:$F$2642,2,0))</f>
        <v>Huỳnh Thanh</v>
      </c>
      <c r="D33" s="92" t="str">
        <f>IF($B33="","",VLOOKUP($B33,'DS LOP HKI'!$B$2:$F$2642,3,0))</f>
        <v>Phú</v>
      </c>
      <c r="E33" s="144"/>
      <c r="F33" s="201"/>
      <c r="G33" s="550">
        <v>5</v>
      </c>
      <c r="H33" s="550"/>
      <c r="I33" s="550">
        <v>3</v>
      </c>
      <c r="J33" s="550"/>
      <c r="K33" s="550">
        <v>6</v>
      </c>
      <c r="L33" s="550">
        <v>7</v>
      </c>
      <c r="M33" s="550">
        <v>4</v>
      </c>
      <c r="N33" s="549">
        <v>2.8</v>
      </c>
      <c r="O33" s="12">
        <f t="shared" si="0"/>
        <v>3.7</v>
      </c>
      <c r="P33" s="7" t="str">
        <f t="shared" si="1"/>
        <v>Kém</v>
      </c>
      <c r="Q33" s="93" t="str">
        <f>IF(ISNUMBER(E33)=TRUE,"",IF(HKI!R33="","",HKI!R33))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201"/>
      <c r="G34" s="550">
        <v>4</v>
      </c>
      <c r="H34" s="550"/>
      <c r="I34" s="550">
        <v>4</v>
      </c>
      <c r="J34" s="550"/>
      <c r="K34" s="550">
        <v>8</v>
      </c>
      <c r="L34" s="550">
        <v>7</v>
      </c>
      <c r="M34" s="550">
        <v>5</v>
      </c>
      <c r="N34" s="549">
        <v>3.7</v>
      </c>
      <c r="O34" s="12">
        <f t="shared" si="0"/>
        <v>4.5</v>
      </c>
      <c r="P34" s="7" t="str">
        <f t="shared" si="1"/>
        <v>TBY</v>
      </c>
      <c r="Q34" s="93" t="str">
        <f>IF(ISNUMBER(E34)=TRUE,"",IF(HKI!R34="","",HKI!R34))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201"/>
      <c r="G35" s="550">
        <v>4</v>
      </c>
      <c r="H35" s="550"/>
      <c r="I35" s="550">
        <v>5</v>
      </c>
      <c r="J35" s="550"/>
      <c r="K35" s="550">
        <v>7</v>
      </c>
      <c r="L35" s="550">
        <v>7</v>
      </c>
      <c r="M35" s="550">
        <v>3</v>
      </c>
      <c r="N35" s="549">
        <v>1.8</v>
      </c>
      <c r="O35" s="12">
        <f t="shared" si="0"/>
        <v>3</v>
      </c>
      <c r="P35" s="7" t="str">
        <f t="shared" si="1"/>
        <v>Kém</v>
      </c>
      <c r="Q35" s="93" t="str">
        <f>IF(ISNUMBER(E35)=TRUE,"",IF(HKI!R35="","",HKI!R35))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201"/>
      <c r="G36" s="550">
        <v>5</v>
      </c>
      <c r="H36" s="550"/>
      <c r="I36" s="550">
        <v>6</v>
      </c>
      <c r="J36" s="550"/>
      <c r="K36" s="550">
        <v>7</v>
      </c>
      <c r="L36" s="550">
        <v>9</v>
      </c>
      <c r="M36" s="550">
        <v>6</v>
      </c>
      <c r="N36" s="549">
        <v>6.1</v>
      </c>
      <c r="O36" s="12">
        <f t="shared" si="0"/>
        <v>6.2</v>
      </c>
      <c r="P36" s="7" t="str">
        <f t="shared" si="1"/>
        <v>TB</v>
      </c>
      <c r="Q36" s="93" t="str">
        <f>IF(ISNUMBER(E36)=TRUE,"",IF(HKI!R36="","",HKI!R36))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201"/>
      <c r="G37" s="550">
        <v>4</v>
      </c>
      <c r="H37" s="550"/>
      <c r="I37" s="550">
        <v>4</v>
      </c>
      <c r="J37" s="550"/>
      <c r="K37" s="550">
        <v>7</v>
      </c>
      <c r="L37" s="550">
        <v>8</v>
      </c>
      <c r="M37" s="550">
        <v>5</v>
      </c>
      <c r="N37" s="549">
        <v>3.7</v>
      </c>
      <c r="O37" s="12">
        <f t="shared" si="0"/>
        <v>4.5</v>
      </c>
      <c r="P37" s="7" t="str">
        <f t="shared" si="1"/>
        <v>TBY</v>
      </c>
      <c r="Q37" s="93" t="str">
        <f>IF(ISNUMBER(E37)=TRUE,"",IF(HKI!R37="","",HKI!R37))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201"/>
      <c r="G38" s="550">
        <v>4</v>
      </c>
      <c r="H38" s="550"/>
      <c r="I38" s="550">
        <v>5</v>
      </c>
      <c r="J38" s="550"/>
      <c r="K38" s="550">
        <v>6</v>
      </c>
      <c r="L38" s="550">
        <v>7</v>
      </c>
      <c r="M38" s="550">
        <v>7</v>
      </c>
      <c r="N38" s="549">
        <v>4.0999999999999996</v>
      </c>
      <c r="O38" s="12">
        <f t="shared" si="0"/>
        <v>5.3</v>
      </c>
      <c r="P38" s="7" t="str">
        <f t="shared" si="1"/>
        <v>TBY</v>
      </c>
      <c r="Q38" s="93" t="str">
        <f>IF(ISNUMBER(E38)=TRUE,"",IF(HKI!R38="","",HKI!R38))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201"/>
      <c r="G39" s="550">
        <v>6</v>
      </c>
      <c r="H39" s="550"/>
      <c r="I39" s="550">
        <v>6</v>
      </c>
      <c r="J39" s="550"/>
      <c r="K39" s="550">
        <v>8</v>
      </c>
      <c r="L39" s="550">
        <v>9</v>
      </c>
      <c r="M39" s="550">
        <v>5</v>
      </c>
      <c r="N39" s="549">
        <v>7.1</v>
      </c>
      <c r="O39" s="12">
        <f t="shared" si="0"/>
        <v>6.5</v>
      </c>
      <c r="P39" s="7" t="str">
        <f t="shared" si="1"/>
        <v>TB</v>
      </c>
      <c r="Q39" s="93" t="str">
        <f>IF(ISNUMBER(E39)=TRUE,"",IF(HKI!R39="","",HKI!R39))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201"/>
      <c r="G40" s="550">
        <v>3</v>
      </c>
      <c r="H40" s="550"/>
      <c r="I40" s="550">
        <v>4</v>
      </c>
      <c r="J40" s="550"/>
      <c r="K40" s="550">
        <v>5</v>
      </c>
      <c r="L40" s="550">
        <v>7</v>
      </c>
      <c r="M40" s="550">
        <v>4.5</v>
      </c>
      <c r="N40" s="549">
        <v>3.4</v>
      </c>
      <c r="O40" s="12">
        <f t="shared" si="0"/>
        <v>4</v>
      </c>
      <c r="P40" s="7" t="str">
        <f t="shared" si="1"/>
        <v>TBY</v>
      </c>
      <c r="Q40" s="93" t="str">
        <f>IF(ISNUMBER(E40)=TRUE,"",IF(HKI!R40="","",HKI!R40))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201"/>
      <c r="G41" s="550">
        <v>5</v>
      </c>
      <c r="H41" s="550"/>
      <c r="I41" s="550">
        <v>4</v>
      </c>
      <c r="J41" s="550"/>
      <c r="K41" s="550">
        <v>6</v>
      </c>
      <c r="L41" s="550">
        <v>7</v>
      </c>
      <c r="M41" s="550">
        <v>6</v>
      </c>
      <c r="N41" s="549">
        <v>3.4</v>
      </c>
      <c r="O41" s="12">
        <f t="shared" si="0"/>
        <v>4.5999999999999996</v>
      </c>
      <c r="P41" s="7" t="str">
        <f t="shared" si="1"/>
        <v>TBY</v>
      </c>
      <c r="Q41" s="93" t="str">
        <f>IF(ISNUMBER(E41)=TRUE,"",IF(HKI!R41="","",HKI!R41))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201"/>
      <c r="G42" s="550">
        <v>4</v>
      </c>
      <c r="H42" s="550"/>
      <c r="I42" s="550">
        <v>6</v>
      </c>
      <c r="J42" s="550"/>
      <c r="K42" s="550">
        <v>7</v>
      </c>
      <c r="L42" s="550">
        <v>7</v>
      </c>
      <c r="M42" s="550">
        <v>6</v>
      </c>
      <c r="N42" s="549">
        <v>5</v>
      </c>
      <c r="O42" s="12">
        <f t="shared" si="0"/>
        <v>5.5</v>
      </c>
      <c r="P42" s="7" t="str">
        <f t="shared" si="1"/>
        <v>TB</v>
      </c>
      <c r="Q42" s="93" t="str">
        <f>IF(ISNUMBER(E42)=TRUE,"",IF(HKI!R42="","",HKI!R42))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201"/>
      <c r="G43" s="550">
        <v>5</v>
      </c>
      <c r="H43" s="550"/>
      <c r="I43" s="550">
        <v>7</v>
      </c>
      <c r="J43" s="550"/>
      <c r="K43" s="550">
        <v>8</v>
      </c>
      <c r="L43" s="550">
        <v>8</v>
      </c>
      <c r="M43" s="550">
        <v>7</v>
      </c>
      <c r="N43" s="549">
        <v>5.6</v>
      </c>
      <c r="O43" s="12">
        <f t="shared" si="0"/>
        <v>6.3</v>
      </c>
      <c r="P43" s="7" t="str">
        <f t="shared" si="1"/>
        <v>TB</v>
      </c>
      <c r="Q43" s="93" t="str">
        <f>IF(ISNUMBER(E43)=TRUE,"",IF(HKI!R43="","",HKI!R43))</f>
        <v/>
      </c>
      <c r="R43" s="93" t="str">
        <f t="shared" si="2"/>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201"/>
      <c r="G44" s="550">
        <v>6</v>
      </c>
      <c r="H44" s="550"/>
      <c r="I44" s="550">
        <v>0</v>
      </c>
      <c r="J44" s="550"/>
      <c r="K44" s="550">
        <v>7</v>
      </c>
      <c r="L44" s="550">
        <v>7</v>
      </c>
      <c r="M44" s="550">
        <v>7</v>
      </c>
      <c r="N44" s="549">
        <v>6.1</v>
      </c>
      <c r="O44" s="12">
        <f t="shared" si="0"/>
        <v>6.2</v>
      </c>
      <c r="P44" s="7" t="str">
        <f t="shared" si="1"/>
        <v>TB</v>
      </c>
      <c r="Q44" s="93" t="str">
        <f>IF(ISNUMBER(E44)=TRUE,"",IF(HKI!R44="","",HKI!R44))</f>
        <v/>
      </c>
      <c r="R44" s="93" t="str">
        <f t="shared" si="2"/>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201"/>
      <c r="G45" s="550">
        <v>7</v>
      </c>
      <c r="H45" s="550"/>
      <c r="I45" s="550">
        <v>8</v>
      </c>
      <c r="J45" s="550"/>
      <c r="K45" s="550">
        <v>7</v>
      </c>
      <c r="L45" s="550">
        <v>8</v>
      </c>
      <c r="M45" s="550">
        <v>6</v>
      </c>
      <c r="N45" s="551">
        <v>5.6</v>
      </c>
      <c r="O45" s="12">
        <f t="shared" si="0"/>
        <v>6.1</v>
      </c>
      <c r="P45" s="7" t="str">
        <f t="shared" si="1"/>
        <v>TB</v>
      </c>
      <c r="Q45" s="93" t="str">
        <f>IF(ISNUMBER(E45)=TRUE,"",IF(HKI!R45="","",HKI!R45))</f>
        <v/>
      </c>
      <c r="R45" s="93" t="str">
        <f t="shared" si="2"/>
        <v/>
      </c>
    </row>
    <row r="46" spans="1:18" ht="15.75">
      <c r="A46" s="2" t="str">
        <f>IF(OR($C$6="",$J$6=""),"",IF(B46="","",SUBTOTAL(3,$B$11:B46)))</f>
        <v/>
      </c>
      <c r="B46" s="90" t="str">
        <f>IF(OR($C$6="",$J$6="",$L$6=""),"",IF(HKI!B46="","",HKI!B46))</f>
        <v/>
      </c>
      <c r="C46" s="91" t="str">
        <f>IF($B46="","",VLOOKUP($B46,'DS LOP HKI'!$B$2:$F$2642,2,0))</f>
        <v/>
      </c>
      <c r="D46" s="92" t="str">
        <f>IF($B46="","",VLOOKUP($B46,'DS LOP HKI'!$B$2:$F$2642,3,0))</f>
        <v/>
      </c>
      <c r="E46" s="144"/>
      <c r="F46" s="201"/>
      <c r="G46" s="532"/>
      <c r="H46" s="532"/>
      <c r="I46" s="532"/>
      <c r="J46" s="201"/>
      <c r="K46" s="201"/>
      <c r="L46" s="201"/>
      <c r="M46" s="532"/>
      <c r="N46" s="532"/>
      <c r="O46" s="12" t="str">
        <f t="shared" si="0"/>
        <v/>
      </c>
      <c r="P46" s="7" t="str">
        <f t="shared" si="1"/>
        <v/>
      </c>
      <c r="Q46" s="93" t="str">
        <f>IF(ISNUMBER(E46)=TRUE,"",IF(HKI!R46="","",HKI!R46))</f>
        <v/>
      </c>
      <c r="R46" s="93" t="str">
        <f t="shared" si="2"/>
        <v/>
      </c>
    </row>
    <row r="47" spans="1:18" ht="15.75">
      <c r="A47" s="2" t="str">
        <f>IF(OR($C$6="",$J$6=""),"",IF(B47="","",SUBTOTAL(3,$B$11:B47)))</f>
        <v/>
      </c>
      <c r="B47" s="90" t="str">
        <f>IF(OR($C$6="",$J$6="",$L$6=""),"",IF(HKI!B47="","",HKI!B47))</f>
        <v/>
      </c>
      <c r="C47" s="91" t="str">
        <f>IF($B47="","",VLOOKUP($B47,'DS LOP HKI'!$B$2:$F$2642,2,0))</f>
        <v/>
      </c>
      <c r="D47" s="92" t="str">
        <f>IF($B47="","",VLOOKUP($B47,'DS LOP HKI'!$B$2:$F$2642,3,0))</f>
        <v/>
      </c>
      <c r="E47" s="144"/>
      <c r="F47" s="201"/>
      <c r="G47" s="532"/>
      <c r="H47" s="532"/>
      <c r="I47" s="532"/>
      <c r="J47" s="201"/>
      <c r="K47" s="201"/>
      <c r="L47" s="201"/>
      <c r="M47" s="532"/>
      <c r="N47" s="532"/>
      <c r="O47" s="12" t="str">
        <f t="shared" si="0"/>
        <v/>
      </c>
      <c r="P47" s="7" t="str">
        <f t="shared" si="1"/>
        <v/>
      </c>
      <c r="Q47" s="93" t="str">
        <f>IF(ISNUMBER(E47)=TRUE,"",IF(HKI!R47="","",HKI!R47))</f>
        <v/>
      </c>
      <c r="R47" s="93" t="str">
        <f t="shared" si="2"/>
        <v/>
      </c>
    </row>
    <row r="48" spans="1:18" ht="15.75">
      <c r="A48" s="2" t="str">
        <f>IF(OR($C$6="",$J$6=""),"",IF(B48="","",SUBTOTAL(3,$B$11:B48)))</f>
        <v/>
      </c>
      <c r="B48" s="90" t="str">
        <f>IF(OR($C$6="",$J$6="",$L$6=""),"",IF(HKI!B48="","",HKI!B48))</f>
        <v/>
      </c>
      <c r="C48" s="91" t="str">
        <f>IF($B48="","",VLOOKUP($B48,'DS LOP HKI'!$B$2:$F$2642,2,0))</f>
        <v/>
      </c>
      <c r="D48" s="92" t="str">
        <f>IF($B48="","",VLOOKUP($B48,'DS LOP HKI'!$B$2:$F$2642,3,0))</f>
        <v/>
      </c>
      <c r="E48" s="144"/>
      <c r="F48" s="201"/>
      <c r="G48" s="532"/>
      <c r="H48" s="532"/>
      <c r="I48" s="532"/>
      <c r="J48" s="201"/>
      <c r="K48" s="201"/>
      <c r="L48" s="201"/>
      <c r="M48" s="532"/>
      <c r="N48" s="532"/>
      <c r="O48" s="12" t="str">
        <f t="shared" si="0"/>
        <v/>
      </c>
      <c r="P48" s="7" t="str">
        <f t="shared" si="1"/>
        <v/>
      </c>
      <c r="Q48" s="93" t="str">
        <f>IF(ISNUMBER(E48)=TRUE,"",IF(HKI!R48="","",HKI!R48))</f>
        <v/>
      </c>
      <c r="R48" s="93" t="str">
        <f t="shared" si="2"/>
        <v/>
      </c>
    </row>
    <row r="49" spans="1:18" ht="15.75">
      <c r="A49" s="2" t="str">
        <f>IF(OR($C$6="",$J$6=""),"",IF(B49="","",SUBTOTAL(3,$B$11:B49)))</f>
        <v/>
      </c>
      <c r="B49" s="90" t="str">
        <f>IF(OR($C$6="",$J$6="",$L$6=""),"",IF(HKI!B49="","",HKI!B49))</f>
        <v/>
      </c>
      <c r="C49" s="91" t="str">
        <f>IF($B49="","",VLOOKUP($B49,'DS LOP HKI'!$B$2:$F$2642,2,0))</f>
        <v/>
      </c>
      <c r="D49" s="92" t="str">
        <f>IF($B49="","",VLOOKUP($B49,'DS LOP HKI'!$B$2:$F$2642,3,0))</f>
        <v/>
      </c>
      <c r="E49" s="144"/>
      <c r="F49" s="201"/>
      <c r="G49" s="532"/>
      <c r="H49" s="532"/>
      <c r="I49" s="532"/>
      <c r="J49" s="201"/>
      <c r="K49" s="201"/>
      <c r="L49" s="201"/>
      <c r="M49" s="532"/>
      <c r="N49" s="532"/>
      <c r="O49" s="12" t="str">
        <f t="shared" si="0"/>
        <v/>
      </c>
      <c r="P49" s="7" t="str">
        <f t="shared" si="1"/>
        <v/>
      </c>
      <c r="Q49" s="93" t="str">
        <f>IF(ISNUMBER(E49)=TRUE,"",IF(HKI!R49="","",HKI!R49))</f>
        <v/>
      </c>
      <c r="R49" s="93" t="str">
        <f t="shared" si="2"/>
        <v/>
      </c>
    </row>
    <row r="50" spans="1:18" ht="15.75">
      <c r="A50" s="2" t="str">
        <f>IF(OR($C$6="",$J$6=""),"",IF(B50="","",SUBTOTAL(3,$B$11:B50)))</f>
        <v/>
      </c>
      <c r="B50" s="90" t="str">
        <f>IF(OR($C$6="",$J$6="",$L$6=""),"",IF(HKI!B50="","",HKI!B50))</f>
        <v/>
      </c>
      <c r="C50" s="91" t="str">
        <f>IF($B50="","",VLOOKUP($B50,'DS LOP HKI'!$B$2:$F$2642,2,0))</f>
        <v/>
      </c>
      <c r="D50" s="92" t="str">
        <f>IF($B50="","",VLOOKUP($B50,'DS LOP HKI'!$B$2:$F$2642,3,0))</f>
        <v/>
      </c>
      <c r="E50" s="144"/>
      <c r="F50" s="201"/>
      <c r="G50" s="532"/>
      <c r="H50" s="532"/>
      <c r="I50" s="532"/>
      <c r="J50" s="201"/>
      <c r="K50" s="201"/>
      <c r="L50" s="201"/>
      <c r="M50" s="532"/>
      <c r="N50" s="532"/>
      <c r="O50" s="12" t="str">
        <f t="shared" si="0"/>
        <v/>
      </c>
      <c r="P50" s="7" t="str">
        <f t="shared" si="1"/>
        <v/>
      </c>
      <c r="Q50" s="93" t="str">
        <f>IF(ISNUMBER(E50)=TRUE,"",IF(HKI!R50="","",HKI!R50))</f>
        <v/>
      </c>
      <c r="R50" s="93" t="str">
        <f t="shared" si="2"/>
        <v/>
      </c>
    </row>
    <row r="51" spans="1:18" ht="15.75">
      <c r="A51" s="2" t="str">
        <f>IF(OR($C$6="",$J$6=""),"",IF(B51="","",SUBTOTAL(3,$B$11:B51)))</f>
        <v/>
      </c>
      <c r="B51" s="90" t="str">
        <f>IF(OR($C$6="",$J$6="",$L$6=""),"",IF(HKI!B51="","",HKI!B51))</f>
        <v/>
      </c>
      <c r="C51" s="91" t="str">
        <f>IF($B51="","",VLOOKUP($B51,'DS LOP HKI'!$B$2:$F$2642,2,0))</f>
        <v/>
      </c>
      <c r="D51" s="92" t="str">
        <f>IF($B51="","",VLOOKUP($B51,'DS LOP HKI'!$B$2:$F$2642,3,0))</f>
        <v/>
      </c>
      <c r="E51" s="144"/>
      <c r="F51" s="201"/>
      <c r="G51" s="532"/>
      <c r="H51" s="532"/>
      <c r="I51" s="532"/>
      <c r="J51" s="201"/>
      <c r="K51" s="201"/>
      <c r="L51" s="201"/>
      <c r="M51" s="532"/>
      <c r="N51" s="532"/>
      <c r="O51" s="12" t="str">
        <f t="shared" si="0"/>
        <v/>
      </c>
      <c r="P51" s="7" t="str">
        <f t="shared" si="1"/>
        <v/>
      </c>
      <c r="Q51" s="93" t="str">
        <f>IF(ISNUMBER(E51)=TRUE,"",IF(HKI!R51="","",HKI!R51))</f>
        <v/>
      </c>
      <c r="R51" s="93" t="str">
        <f t="shared" si="2"/>
        <v/>
      </c>
    </row>
    <row r="52" spans="1:18" ht="15.75">
      <c r="A52" s="2" t="str">
        <f>IF(OR($C$6="",$J$6=""),"",IF(B52="","",SUBTOTAL(3,$B$11:B52)))</f>
        <v/>
      </c>
      <c r="B52" s="90" t="str">
        <f>IF(OR($C$6="",$J$6="",$L$6=""),"",IF(HKI!B52="","",HKI!B52))</f>
        <v/>
      </c>
      <c r="C52" s="91" t="str">
        <f>IF($B52="","",VLOOKUP($B52,'DS LOP HKI'!$B$2:$F$2642,2,0))</f>
        <v/>
      </c>
      <c r="D52" s="92" t="str">
        <f>IF($B52="","",VLOOKUP($B52,'DS LOP HKI'!$B$2:$F$2642,3,0))</f>
        <v/>
      </c>
      <c r="E52" s="144"/>
      <c r="F52" s="201"/>
      <c r="G52" s="532"/>
      <c r="H52" s="532"/>
      <c r="I52" s="532"/>
      <c r="J52" s="201"/>
      <c r="K52" s="201"/>
      <c r="L52" s="201"/>
      <c r="M52" s="532"/>
      <c r="N52" s="532"/>
      <c r="O52" s="12" t="str">
        <f t="shared" si="0"/>
        <v/>
      </c>
      <c r="P52" s="7" t="str">
        <f t="shared" si="1"/>
        <v/>
      </c>
      <c r="Q52" s="93" t="str">
        <f>IF(ISNUMBER(E52)=TRUE,"",IF(HKI!R52="","",HKI!R52))</f>
        <v/>
      </c>
      <c r="R52" s="93" t="str">
        <f t="shared" si="2"/>
        <v/>
      </c>
    </row>
    <row r="53" spans="1:18" ht="15.75">
      <c r="A53" s="2" t="str">
        <f>IF(OR($C$6="",$J$6=""),"",IF(B53="","",SUBTOTAL(3,$B$11:B53)))</f>
        <v/>
      </c>
      <c r="B53" s="90" t="str">
        <f>IF(OR($C$6="",$J$6="",$L$6=""),"",IF(HKI!B53="","",HKI!B53))</f>
        <v/>
      </c>
      <c r="C53" s="91" t="str">
        <f>IF($B53="","",VLOOKUP($B53,'DS LOP HKI'!$B$2:$F$2642,2,0))</f>
        <v/>
      </c>
      <c r="D53" s="92" t="str">
        <f>IF($B53="","",VLOOKUP($B53,'DS LOP HKI'!$B$2:$F$2642,3,0))</f>
        <v/>
      </c>
      <c r="E53" s="144"/>
      <c r="F53" s="201"/>
      <c r="G53" s="532"/>
      <c r="H53" s="532"/>
      <c r="I53" s="532"/>
      <c r="J53" s="201"/>
      <c r="K53" s="201"/>
      <c r="L53" s="201"/>
      <c r="M53" s="532"/>
      <c r="N53" s="532"/>
      <c r="O53" s="12" t="str">
        <f t="shared" si="0"/>
        <v/>
      </c>
      <c r="P53" s="7" t="str">
        <f t="shared" si="1"/>
        <v/>
      </c>
      <c r="Q53" s="93" t="str">
        <f>IF(ISNUMBER(E53)=TRUE,"",IF(HKI!R53="","",HKI!R53))</f>
        <v/>
      </c>
      <c r="R53" s="93" t="str">
        <f t="shared" si="2"/>
        <v/>
      </c>
    </row>
    <row r="54" spans="1:18" ht="15.75">
      <c r="A54" s="2" t="str">
        <f>IF(OR($C$6="",$J$6=""),"",IF(B54="","",SUBTOTAL(3,$B$11:B54)))</f>
        <v/>
      </c>
      <c r="B54" s="90" t="str">
        <f>IF(OR($C$6="",$J$6="",$L$6=""),"",IF(HKI!B54="","",HKI!B54))</f>
        <v/>
      </c>
      <c r="C54" s="91" t="str">
        <f>IF($B54="","",VLOOKUP($B54,'DS LOP HKI'!$B$2:$F$2642,2,0))</f>
        <v/>
      </c>
      <c r="D54" s="92" t="str">
        <f>IF($B54="","",VLOOKUP($B54,'DS LOP HKI'!$B$2:$F$2642,3,0))</f>
        <v/>
      </c>
      <c r="E54" s="144"/>
      <c r="F54" s="201"/>
      <c r="G54" s="532"/>
      <c r="H54" s="532"/>
      <c r="I54" s="532"/>
      <c r="J54" s="201"/>
      <c r="K54" s="201"/>
      <c r="L54" s="201"/>
      <c r="M54" s="532"/>
      <c r="N54" s="532"/>
      <c r="O54" s="12" t="str">
        <f t="shared" si="0"/>
        <v/>
      </c>
      <c r="P54" s="7" t="str">
        <f t="shared" si="1"/>
        <v/>
      </c>
      <c r="Q54" s="93" t="str">
        <f>IF(ISNUMBER(E54)=TRUE,"",IF(HKI!R54="","",HKI!R54))</f>
        <v/>
      </c>
      <c r="R54" s="93" t="str">
        <f t="shared" si="2"/>
        <v/>
      </c>
    </row>
    <row r="55" spans="1:18" ht="15.75">
      <c r="A55" s="2" t="str">
        <f>IF(OR($C$6="",$J$6=""),"",IF(B55="","",SUBTOTAL(3,$B$11:B55)))</f>
        <v/>
      </c>
      <c r="B55" s="90" t="str">
        <f>IF(OR($C$6="",$J$6="",$L$6=""),"",IF(HKI!B55="","",HKI!B55))</f>
        <v/>
      </c>
      <c r="C55" s="91" t="str">
        <f>IF($B55="","",VLOOKUP($B55,'DS LOP HKI'!$B$2:$F$2642,2,0))</f>
        <v/>
      </c>
      <c r="D55" s="92" t="str">
        <f>IF($B55="","",VLOOKUP($B55,'DS LOP HKI'!$B$2:$F$2642,3,0))</f>
        <v/>
      </c>
      <c r="E55" s="144"/>
      <c r="F55" s="201"/>
      <c r="G55" s="532"/>
      <c r="H55" s="532"/>
      <c r="I55" s="532"/>
      <c r="J55" s="201"/>
      <c r="K55" s="201"/>
      <c r="L55" s="201"/>
      <c r="M55" s="532"/>
      <c r="N55" s="532"/>
      <c r="O55" s="12" t="str">
        <f t="shared" si="0"/>
        <v/>
      </c>
      <c r="P55" s="7" t="str">
        <f t="shared" si="1"/>
        <v/>
      </c>
      <c r="Q55" s="93" t="str">
        <f>IF(ISNUMBER(E55)=TRUE,"",IF(HKI!R55="","",HKI!R55))</f>
        <v/>
      </c>
      <c r="R55" s="93" t="str">
        <f t="shared" si="2"/>
        <v/>
      </c>
    </row>
    <row r="56" spans="1:18" ht="15.75">
      <c r="A56" s="2" t="str">
        <f>IF(OR($C$6="",$J$6=""),"",IF(B56="","",SUBTOTAL(3,$B$11:B56)))</f>
        <v/>
      </c>
      <c r="B56" s="90" t="str">
        <f>IF(OR($C$6="",$J$6="",$L$6=""),"",IF(HKI!B56="","",HKI!B56))</f>
        <v/>
      </c>
      <c r="C56" s="91" t="str">
        <f>IF($B56="","",VLOOKUP($B56,'DS LOP HKI'!$B$2:$F$2642,2,0))</f>
        <v/>
      </c>
      <c r="D56" s="92" t="str">
        <f>IF($B56="","",VLOOKUP($B56,'DS LOP HKI'!$B$2:$F$2642,3,0))</f>
        <v/>
      </c>
      <c r="E56" s="144"/>
      <c r="F56" s="201"/>
      <c r="G56" s="532"/>
      <c r="H56" s="532"/>
      <c r="I56" s="532"/>
      <c r="J56" s="201"/>
      <c r="K56" s="201"/>
      <c r="L56" s="201"/>
      <c r="M56" s="532"/>
      <c r="N56" s="532"/>
      <c r="O56" s="12" t="str">
        <f t="shared" si="0"/>
        <v/>
      </c>
      <c r="P56" s="7" t="str">
        <f t="shared" si="1"/>
        <v/>
      </c>
      <c r="Q56" s="93" t="str">
        <f>IF(ISNUMBER(E56)=TRUE,"",IF(HKI!R56="","",HKI!R56))</f>
        <v/>
      </c>
      <c r="R56" s="93" t="str">
        <f t="shared" si="2"/>
        <v/>
      </c>
    </row>
    <row r="57" spans="1:18" s="4" customFormat="1" ht="15.75">
      <c r="A57" s="2" t="str">
        <f>IF(OR($C$6="",$J$6=""),"",IF(B57="","",SUBTOTAL(3,$B$11:B57)))</f>
        <v/>
      </c>
      <c r="B57" s="90" t="str">
        <f>IF(OR($C$6="",$J$6="",$L$6=""),"",IF(HKI!B57="","",HKI!B57))</f>
        <v/>
      </c>
      <c r="C57" s="91" t="str">
        <f>IF($B57="","",VLOOKUP($B57,'DS LOP HKI'!$B$2:$F$2642,2,0))</f>
        <v/>
      </c>
      <c r="D57" s="92" t="str">
        <f>IF($B57="","",VLOOKUP($B57,'DS LOP HKI'!$B$2:$F$2642,3,0))</f>
        <v/>
      </c>
      <c r="E57" s="144"/>
      <c r="F57" s="111"/>
      <c r="G57" s="532"/>
      <c r="H57" s="532"/>
      <c r="I57" s="532"/>
      <c r="J57" s="111"/>
      <c r="K57" s="111"/>
      <c r="L57" s="111"/>
      <c r="M57" s="532"/>
      <c r="N57" s="532"/>
      <c r="O57" s="12" t="str">
        <f t="shared" si="0"/>
        <v/>
      </c>
      <c r="P57" s="7" t="str">
        <f t="shared" si="1"/>
        <v/>
      </c>
      <c r="Q57" s="93" t="str">
        <f>IF(ISNUMBER(E57)=TRUE,"",IF(HKI!R57="","",HKI!R57))</f>
        <v/>
      </c>
      <c r="R57" s="93" t="str">
        <f t="shared" si="2"/>
        <v/>
      </c>
    </row>
    <row r="58" spans="1:18" s="4" customFormat="1" ht="15.75">
      <c r="A58" s="2" t="str">
        <f>IF(OR($C$6="",$J$6=""),"",IF(B58="","",SUBTOTAL(3,$B$11:B58)))</f>
        <v/>
      </c>
      <c r="B58" s="90" t="str">
        <f>IF(OR($C$6="",$J$6="",$L$6=""),"",IF(HKI!B58="","",HKI!B58))</f>
        <v/>
      </c>
      <c r="C58" s="91" t="str">
        <f>IF($B58="","",VLOOKUP($B58,'DS LOP HKI'!$B$2:$F$2642,2,0))</f>
        <v/>
      </c>
      <c r="D58" s="92" t="str">
        <f>IF($B58="","",VLOOKUP($B58,'DS LOP HKI'!$B$2:$F$2642,3,0))</f>
        <v/>
      </c>
      <c r="E58" s="144"/>
      <c r="F58" s="111"/>
      <c r="G58" s="532"/>
      <c r="H58" s="532"/>
      <c r="I58" s="532"/>
      <c r="J58" s="111"/>
      <c r="K58" s="111"/>
      <c r="L58" s="111"/>
      <c r="M58" s="532"/>
      <c r="N58" s="532"/>
      <c r="O58" s="12" t="str">
        <f t="shared" si="0"/>
        <v/>
      </c>
      <c r="P58" s="7" t="str">
        <f t="shared" si="1"/>
        <v/>
      </c>
      <c r="Q58" s="93" t="str">
        <f>IF(ISNUMBER(E58)=TRUE,"",IF(HKI!R58="","",HKI!R58))</f>
        <v/>
      </c>
      <c r="R58" s="93" t="str">
        <f t="shared" si="2"/>
        <v/>
      </c>
    </row>
    <row r="59" spans="1:18" ht="15.75">
      <c r="A59" s="2" t="str">
        <f>IF(OR($C$6="",$J$6=""),"",IF(B59="","",SUBTOTAL(3,$B$11:B59)))</f>
        <v/>
      </c>
      <c r="B59" s="90" t="str">
        <f>IF(OR($C$6="",$J$6="",$L$6=""),"",IF(HKI!B59="","",HKI!B59))</f>
        <v/>
      </c>
      <c r="C59" s="91" t="str">
        <f>IF($B59="","",VLOOKUP($B59,'DS LOP HKI'!$B$2:$F$2642,2,0))</f>
        <v/>
      </c>
      <c r="D59" s="92" t="str">
        <f>IF($B59="","",VLOOKUP($B59,'DS LOP HKI'!$B$2:$F$2642,3,0))</f>
        <v/>
      </c>
      <c r="E59" s="144"/>
      <c r="F59" s="111"/>
      <c r="G59" s="532"/>
      <c r="H59" s="532"/>
      <c r="I59" s="532"/>
      <c r="J59" s="111"/>
      <c r="K59" s="111"/>
      <c r="L59" s="111"/>
      <c r="M59" s="532"/>
      <c r="N59" s="532"/>
      <c r="O59" s="12" t="str">
        <f t="shared" si="0"/>
        <v/>
      </c>
      <c r="P59" s="7" t="str">
        <f t="shared" si="1"/>
        <v/>
      </c>
      <c r="Q59" s="93" t="str">
        <f>IF(ISNUMBER(E59)=TRUE,"",IF(HKI!R59="","",HKI!R59))</f>
        <v/>
      </c>
      <c r="R59" s="93" t="str">
        <f t="shared" si="2"/>
        <v/>
      </c>
    </row>
    <row r="60" spans="1:18" ht="15.75">
      <c r="A60" s="2" t="str">
        <f>IF(OR($C$6="",$J$6=""),"",IF(B60="","",SUBTOTAL(3,$B$11:B60)))</f>
        <v/>
      </c>
      <c r="B60" s="90" t="str">
        <f>IF(OR($C$6="",$J$6="",$L$6=""),"",IF(HKI!B60="","",HKI!B60))</f>
        <v/>
      </c>
      <c r="C60" s="91" t="str">
        <f>IF($B60="","",VLOOKUP($B60,'DS LOP HKI'!$B$2:$F$2642,2,0))</f>
        <v/>
      </c>
      <c r="D60" s="92" t="str">
        <f>IF($B60="","",VLOOKUP($B60,'DS LOP HKI'!$B$2:$F$2642,3,0))</f>
        <v/>
      </c>
      <c r="E60" s="144"/>
      <c r="F60" s="111"/>
      <c r="G60" s="532"/>
      <c r="H60" s="532"/>
      <c r="I60" s="532"/>
      <c r="J60" s="111"/>
      <c r="K60" s="111"/>
      <c r="L60" s="111"/>
      <c r="M60" s="532"/>
      <c r="N60" s="532"/>
      <c r="O60" s="12" t="str">
        <f t="shared" si="0"/>
        <v/>
      </c>
      <c r="P60" s="7" t="str">
        <f t="shared" si="1"/>
        <v/>
      </c>
      <c r="Q60" s="93" t="str">
        <f>IF(ISNUMBER(E60)=TRUE,"",IF(HKI!R60="","",HKI!R60))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IF(ISNUMBER(E61)=TRUE,"",IF(HKI!R61="","",HKI!R61))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IF(ISNUMBER(E62)=TRUE,"",IF(HKI!R62="","",HKI!R62))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IF(ISNUMBER(E63)=TRUE,"",IF(HKI!R63="","",HKI!R63))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IF(ISNUMBER(E64)=TRUE,"",IF(HKI!R64="","",HKI!R64))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IF(ISNUMBER(E65)=TRUE,"",IF(HKI!R65="","",HKI!R65))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IF(ISNUMBER(E66)=TRUE,"",IF(HKI!R66="","",HKI!R66))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IF(ISNUMBER(E67)=TRUE,"",IF(HKI!R67="","",HKI!R67))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IF(ISNUMBER(E68)=TRUE,"",IF(HKI!R68="","",HKI!R68))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IF(ISNUMBER(E69)=TRUE,"",IF(HKI!R69="","",HKI!R69))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IF(ISNUMBER(E70)=TRUE,"",IF(HKI!R70="","",HKI!R70))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IF(ISNUMBER(E71)=TRUE,"",IF(HKI!R71="","",HKI!R71))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IF(ISNUMBER(E72)=TRUE,"",IF(HKI!R72="","",HKI!R72))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IF(ISNUMBER(E73)=TRUE,"",IF(HKI!R73="","",HKI!R73))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IF(ISNUMBER(E74)=TRUE,"",IF(HKI!R74="","",HKI!R74))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IF(ISNUMBER(E75)=TRUE,"",IF(HKI!R75="","",HKI!R75))</f>
        <v/>
      </c>
      <c r="R75" s="93" t="str">
        <f t="shared" si="2"/>
        <v/>
      </c>
    </row>
    <row r="76" spans="1:18" s="38" customFormat="1">
      <c r="A76" s="806" t="s">
        <v>1519</v>
      </c>
      <c r="B76" s="806"/>
      <c r="C76" s="806"/>
      <c r="D76" s="806"/>
      <c r="E76" s="806"/>
      <c r="F76" s="806"/>
      <c r="G76" s="806"/>
      <c r="H76" s="806"/>
      <c r="I76" s="806"/>
      <c r="J76" s="806"/>
      <c r="K76" s="806"/>
      <c r="L76" s="806"/>
      <c r="M76" s="806"/>
      <c r="N76" s="806"/>
      <c r="O76" s="806"/>
      <c r="P76" s="806"/>
    </row>
    <row r="77" spans="1:18" s="38" customFormat="1">
      <c r="A77" s="5"/>
      <c r="B77" s="793" t="str">
        <f>"Tổng danh sách có"</f>
        <v>Tổng danh sách có</v>
      </c>
      <c r="C77" s="793"/>
      <c r="D77" s="793"/>
      <c r="E77" s="793"/>
      <c r="F77" s="804" t="str">
        <f>": "&amp;MAX($A$11:$A$75)&amp;" SV"</f>
        <v>: 35 SV</v>
      </c>
      <c r="G77" s="804"/>
      <c r="L77" s="6"/>
      <c r="M77" s="6"/>
      <c r="N77" s="6"/>
      <c r="O77" s="6"/>
      <c r="P77" s="5"/>
    </row>
    <row r="78" spans="1:18" s="38" customFormat="1" ht="12.75" customHeight="1">
      <c r="A78" s="4"/>
      <c r="B78" s="782" t="str">
        <f>"Tổng số SV có điểm Giỏi từ 8,5 đ đến 10 đ"</f>
        <v>Tổng số SV có điểm Giỏi từ 8,5 đ đến 10 đ</v>
      </c>
      <c r="C78" s="782"/>
      <c r="D78" s="782"/>
      <c r="E78" s="782"/>
      <c r="F78" s="782" t="str">
        <f>": "&amp;COUNTIF($P$11:$P$75,"Giỏi")&amp;" SV"</f>
        <v>: 0 SV</v>
      </c>
      <c r="G78" s="782"/>
      <c r="H78" s="782" t="str">
        <f>IF(B11="","","("&amp;ROUND(COUNTIF($P$11:$P$75,"Giỏi")*100/MAX($A$11:$A$75),2)&amp;"%" &amp;")")</f>
        <v>(0%)</v>
      </c>
      <c r="I78" s="782"/>
      <c r="J78" s="782"/>
      <c r="K78" s="782"/>
      <c r="L78" s="789" t="str">
        <f>IF(B11="","","Tổng số SV có điểm &gt;= 4 đ : "&amp;COUNTIF(O11:O75,"&gt;=4")&amp;" SV"&amp;" ("&amp;ROUND(COUNTIF(O11:O75,"&gt;=4")*100/MAX($A$11:$A$75),2)&amp;"%" &amp;")")</f>
        <v>Tổng số SV có điểm &gt;= 4 đ : 31 SV (88.57%)</v>
      </c>
      <c r="M78" s="789"/>
      <c r="N78" s="789"/>
      <c r="O78" s="789"/>
      <c r="P78" s="46"/>
    </row>
    <row r="79" spans="1:18" s="38" customFormat="1" ht="12.75" customHeight="1">
      <c r="A79" s="4"/>
      <c r="B79" s="782" t="str">
        <f>"Tổng số SV có điểm Khá từ 7 đ đến &lt;8,5 đ"</f>
        <v>Tổng số SV có điểm Khá từ 7 đ đến &lt;8,5 đ</v>
      </c>
      <c r="C79" s="782"/>
      <c r="D79" s="782"/>
      <c r="E79" s="782"/>
      <c r="F79" s="782" t="str">
        <f>": "&amp;COUNTIF($P$11:$P$75,"Khá")&amp;" SV"</f>
        <v>: 0 SV</v>
      </c>
      <c r="G79" s="782"/>
      <c r="H79" s="782" t="str">
        <f>IF(B11="","","("&amp;ROUND(COUNTIF($P$11:$P$75,"Khá")*100/MAX($A$11:$A$75),2)&amp;"%" &amp;")")</f>
        <v>(0%)</v>
      </c>
      <c r="I79" s="782"/>
      <c r="J79" s="782"/>
      <c r="K79" s="782"/>
      <c r="L79" s="789"/>
      <c r="M79" s="789"/>
      <c r="N79" s="789"/>
      <c r="O79" s="789"/>
      <c r="P79" s="46"/>
    </row>
    <row r="80" spans="1:18" s="38" customFormat="1" ht="12.75" customHeight="1">
      <c r="A80" s="4"/>
      <c r="B80" s="782" t="str">
        <f>"Tổng số SV có điểm Trung bình từ 5,5 đ đến &lt;7 đ"</f>
        <v>Tổng số SV có điểm Trung bình từ 5,5 đ đến &lt;7 đ</v>
      </c>
      <c r="C80" s="782"/>
      <c r="D80" s="782"/>
      <c r="E80" s="782"/>
      <c r="F80" s="782" t="str">
        <f>": "&amp;COUNTIF($P$11:$P$75,"TB")&amp;" SV"</f>
        <v>: 13 SV</v>
      </c>
      <c r="G80" s="782"/>
      <c r="H80" s="782" t="str">
        <f>IF(B11="","","("&amp;ROUND(COUNTIF($P$11:$P$75,"TB")*100/MAX($A$11:$A$75),2)&amp;"%" &amp;")")</f>
        <v>(37.14%)</v>
      </c>
      <c r="I80" s="782"/>
      <c r="J80" s="782"/>
      <c r="K80" s="782"/>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18 SV</v>
      </c>
      <c r="G81" s="782"/>
      <c r="H81" s="782" t="str">
        <f>IF(B11="","","("&amp;ROUND(COUNTIF($P$11:$P$75,"TBY")*100/MAX($A$11:$A$75),2)&amp;"%" &amp;")")</f>
        <v>(51.43%)</v>
      </c>
      <c r="I81" s="782"/>
      <c r="J81" s="782"/>
      <c r="K81" s="782"/>
      <c r="L81" s="794" t="str">
        <f>IF(B11="","","Tổng số SV có điểm &lt; 4 đ : "&amp;COUNTIF(O11:O75,"&lt;4")&amp;" SV"&amp;" ("&amp;ROUND(COUNTIF(O11:O75,"&lt;4")*100/MAX($A$11:$A$75),2)&amp;"%" &amp;")")</f>
        <v>Tổng số SV có điểm &lt; 4 đ : 4 SV (11.43%)</v>
      </c>
      <c r="M81" s="794"/>
      <c r="N81" s="794"/>
      <c r="O81" s="794"/>
      <c r="P81" s="94"/>
    </row>
    <row r="82" spans="1:16" s="38" customFormat="1" ht="12.75" customHeight="1">
      <c r="A82" s="4"/>
      <c r="B82" s="782" t="str">
        <f>"Tổng số SV có điểm kém &lt;4 đ"</f>
        <v>Tổng số SV có điểm kém &lt;4 đ</v>
      </c>
      <c r="C82" s="782"/>
      <c r="D82" s="782"/>
      <c r="E82" s="782"/>
      <c r="F82" s="782" t="str">
        <f>": "&amp;COUNTIF($P$11:$P$75,"Kém")&amp;" SV"</f>
        <v>: 4 SV</v>
      </c>
      <c r="G82" s="782"/>
      <c r="H82" s="782" t="str">
        <f>IF(B11="","","("&amp;ROUND(COUNTIF($P$11:$P$75,"Kém")*100/MAX($A$11:$A$75),2)&amp;"%"&amp;")")</f>
        <v>(11.43%)</v>
      </c>
      <c r="I82" s="782"/>
      <c r="J82" s="782"/>
      <c r="K82" s="782"/>
      <c r="L82" s="794"/>
      <c r="M82" s="794"/>
      <c r="N82" s="794"/>
      <c r="O82" s="794"/>
      <c r="P82" s="94"/>
    </row>
    <row r="83" spans="1:16" s="38" customFormat="1" ht="12.75" customHeight="1">
      <c r="A83" s="4"/>
      <c r="B83" s="782" t="str">
        <f>"Tổng số SV không xếp loại vì chưa đủ điều kiện"</f>
        <v>Tổng số SV không xếp loại vì chưa đủ điều kiện</v>
      </c>
      <c r="C83" s="782"/>
      <c r="D83" s="782"/>
      <c r="E83" s="782"/>
      <c r="F83" s="782" t="str">
        <f>": "&amp;COUNTIF($P$11:$P$75,"KXL")&amp;" SV"</f>
        <v>: 0 SV</v>
      </c>
      <c r="G83" s="782"/>
      <c r="H83" s="782" t="str">
        <f>IF(B11="","","("&amp;ROUND(COUNTIF($P$11:$P$75,"KXL")*100/MAX($A$11:$A$75),2)&amp;"%"&amp;")")</f>
        <v>(0%)</v>
      </c>
      <c r="I83" s="782"/>
      <c r="J83" s="782"/>
      <c r="K83" s="782"/>
      <c r="L83" s="794"/>
      <c r="M83" s="794"/>
      <c r="N83" s="794"/>
      <c r="O83" s="794"/>
      <c r="P83" s="94"/>
    </row>
    <row r="84" spans="1:16" ht="15.75">
      <c r="B84" s="47"/>
      <c r="C84" s="47"/>
      <c r="D84" s="47"/>
      <c r="E84" s="47"/>
      <c r="F84" s="47"/>
      <c r="G84" s="47"/>
      <c r="H84" s="47"/>
      <c r="I84" s="47"/>
      <c r="J84" s="47"/>
      <c r="K84" s="47"/>
      <c r="L84" s="47"/>
      <c r="M84" s="47"/>
      <c r="N84" s="47"/>
      <c r="O84" s="47"/>
    </row>
    <row r="85" spans="1:16" ht="15.75" customHeight="1">
      <c r="A85" s="781" t="s">
        <v>1427</v>
      </c>
      <c r="B85" s="781"/>
      <c r="C85" s="781"/>
      <c r="D85" s="781" t="s">
        <v>1515</v>
      </c>
      <c r="E85" s="781"/>
      <c r="F85" s="781"/>
      <c r="G85" s="781"/>
      <c r="H85" s="781"/>
      <c r="I85" s="84"/>
      <c r="J85" s="84"/>
      <c r="K85" s="781" t="s">
        <v>1516</v>
      </c>
      <c r="L85" s="781"/>
      <c r="M85" s="781"/>
      <c r="N85" s="781"/>
      <c r="O85" s="781"/>
      <c r="P85" s="781"/>
    </row>
  </sheetData>
  <sheetProtection password="E4CC" sheet="1" objects="1" scenarios="1" formatCells="0" formatRows="0"/>
  <dataConsolidate/>
  <mergeCells count="56">
    <mergeCell ref="I8:I9"/>
    <mergeCell ref="A8:A10"/>
    <mergeCell ref="B8:B10"/>
    <mergeCell ref="C8:D10"/>
    <mergeCell ref="E8:E10"/>
    <mergeCell ref="F8:F9"/>
    <mergeCell ref="G8:G9"/>
    <mergeCell ref="G10:L10"/>
    <mergeCell ref="H8:H9"/>
    <mergeCell ref="A85:C85"/>
    <mergeCell ref="D85:H85"/>
    <mergeCell ref="K85:P85"/>
    <mergeCell ref="B79:E79"/>
    <mergeCell ref="F79:G79"/>
    <mergeCell ref="B83:E83"/>
    <mergeCell ref="F83:G83"/>
    <mergeCell ref="F77:G77"/>
    <mergeCell ref="B81:E81"/>
    <mergeCell ref="F81:G81"/>
    <mergeCell ref="H81:K81"/>
    <mergeCell ref="L81:O83"/>
    <mergeCell ref="H78:K78"/>
    <mergeCell ref="H83:K83"/>
    <mergeCell ref="B82:E82"/>
    <mergeCell ref="F82:G82"/>
    <mergeCell ref="H82:K82"/>
    <mergeCell ref="H79:K79"/>
    <mergeCell ref="H80:K80"/>
    <mergeCell ref="A1:F1"/>
    <mergeCell ref="H1:N1"/>
    <mergeCell ref="H2:N2"/>
    <mergeCell ref="H3:N3"/>
    <mergeCell ref="A2:F2"/>
    <mergeCell ref="A3:F3"/>
    <mergeCell ref="A4:M4"/>
    <mergeCell ref="A5:M5"/>
    <mergeCell ref="C6:G6"/>
    <mergeCell ref="H6:I6"/>
    <mergeCell ref="G7:I7"/>
    <mergeCell ref="J7:L7"/>
    <mergeCell ref="R8:R10"/>
    <mergeCell ref="A76:P76"/>
    <mergeCell ref="B78:E78"/>
    <mergeCell ref="F78:G78"/>
    <mergeCell ref="B77:E77"/>
    <mergeCell ref="N8:N9"/>
    <mergeCell ref="O8:O10"/>
    <mergeCell ref="P8:P10"/>
    <mergeCell ref="M8:M9"/>
    <mergeCell ref="L78:O80"/>
    <mergeCell ref="Q8:Q9"/>
    <mergeCell ref="L8:L9"/>
    <mergeCell ref="J8:J9"/>
    <mergeCell ref="K8:K9"/>
    <mergeCell ref="B80:E80"/>
    <mergeCell ref="F80:G80"/>
  </mergeCells>
  <phoneticPr fontId="12" type="noConversion"/>
  <conditionalFormatting sqref="O11:O75">
    <cfRule type="cellIs" dxfId="8"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2.xml><?xml version="1.0" encoding="utf-8"?>
<worksheet xmlns="http://schemas.openxmlformats.org/spreadsheetml/2006/main" xmlns:r="http://schemas.openxmlformats.org/officeDocument/2006/relationships">
  <sheetPr codeName="Sheet10"/>
  <dimension ref="A1:R85"/>
  <sheetViews>
    <sheetView workbookViewId="0">
      <pane ySplit="10" topLeftCell="A41" activePane="bottomLeft" state="frozen"/>
      <selection activeCell="G25" sqref="G25"/>
      <selection pane="bottomLeft" activeCell="G11" sqref="G11:N45"/>
    </sheetView>
  </sheetViews>
  <sheetFormatPr defaultRowHeight="12.75"/>
  <cols>
    <col min="1" max="1" width="3.85546875" style="5" bestFit="1" customWidth="1"/>
    <col min="2" max="2" width="13.5703125" style="5" bestFit="1" customWidth="1"/>
    <col min="3" max="3" width="20.2851562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8" t="s">
        <v>1502</v>
      </c>
      <c r="B1" s="788"/>
      <c r="C1" s="788"/>
      <c r="D1" s="788"/>
      <c r="E1" s="788"/>
      <c r="F1" s="788"/>
      <c r="G1" s="79"/>
      <c r="H1" s="784" t="s">
        <v>1503</v>
      </c>
      <c r="I1" s="784"/>
      <c r="J1" s="784"/>
      <c r="K1" s="784"/>
      <c r="L1" s="784"/>
      <c r="M1" s="784"/>
      <c r="N1" s="784"/>
    </row>
    <row r="2" spans="1:18" ht="15.75">
      <c r="A2" s="787" t="s">
        <v>1504</v>
      </c>
      <c r="B2" s="787"/>
      <c r="C2" s="787"/>
      <c r="D2" s="787"/>
      <c r="E2" s="787"/>
      <c r="F2" s="787"/>
      <c r="G2" s="79"/>
      <c r="H2" s="784" t="s">
        <v>1505</v>
      </c>
      <c r="I2" s="784"/>
      <c r="J2" s="784"/>
      <c r="K2" s="784"/>
      <c r="L2" s="784"/>
      <c r="M2" s="784"/>
      <c r="N2" s="784"/>
    </row>
    <row r="3" spans="1:18" ht="15.75">
      <c r="A3" s="785" t="s">
        <v>1506</v>
      </c>
      <c r="B3" s="785"/>
      <c r="C3" s="785"/>
      <c r="D3" s="785"/>
      <c r="E3" s="785"/>
      <c r="F3" s="785"/>
      <c r="G3" s="80"/>
      <c r="H3" s="785" t="s">
        <v>1507</v>
      </c>
      <c r="I3" s="785"/>
      <c r="J3" s="785"/>
      <c r="K3" s="785"/>
      <c r="L3" s="785"/>
      <c r="M3" s="785"/>
      <c r="N3" s="785"/>
    </row>
    <row r="4" spans="1:18" ht="18.75">
      <c r="A4" s="786" t="s">
        <v>1508</v>
      </c>
      <c r="B4" s="786"/>
      <c r="C4" s="786"/>
      <c r="D4" s="786"/>
      <c r="E4" s="786"/>
      <c r="F4" s="786"/>
      <c r="G4" s="786"/>
      <c r="H4" s="786"/>
      <c r="I4" s="786"/>
      <c r="J4" s="786"/>
      <c r="K4" s="786"/>
      <c r="L4" s="786"/>
      <c r="M4" s="786"/>
    </row>
    <row r="5" spans="1:18" ht="18.75">
      <c r="A5" s="786"/>
      <c r="B5" s="786"/>
      <c r="C5" s="786"/>
      <c r="D5" s="786"/>
      <c r="E5" s="786"/>
      <c r="F5" s="786"/>
      <c r="G5" s="786"/>
      <c r="H5" s="786"/>
      <c r="I5" s="786"/>
      <c r="J5" s="786"/>
      <c r="K5" s="786"/>
      <c r="L5" s="786"/>
      <c r="M5" s="786"/>
    </row>
    <row r="6" spans="1:18" s="81" customFormat="1" ht="15">
      <c r="B6" s="82" t="s">
        <v>1509</v>
      </c>
      <c r="C6" s="780" t="str">
        <f>IF(L6="","",IF(VLOOKUP(L6,'LOP-MON'!$C$2:$N$55,5,FALSE)=0,"",VLOOKUP(L6,'LOP-MON'!$C$2:$N$55,5,FALSE)))</f>
        <v xml:space="preserve">Kỹ thuật số </v>
      </c>
      <c r="D6" s="780"/>
      <c r="E6" s="780"/>
      <c r="F6" s="780"/>
      <c r="G6" s="780"/>
      <c r="H6" s="781" t="s">
        <v>1532</v>
      </c>
      <c r="I6" s="781"/>
      <c r="J6" s="83">
        <f>IF(L6="","",IF(VLOOKUP(CONCATENATE("TC",MID(L6,1,4),MID(L6,6,3)),'LOP-MON'!$C$2:$N$55,5,FALSE)=0,"",VLOOKUP(CONCATENATE("TC",MID(L6,1,4),MID(L6,6,3)),'LOP-MON'!$C$2:$N$55,5,FALSE)))</f>
        <v>2</v>
      </c>
      <c r="K6" s="82" t="s">
        <v>1424</v>
      </c>
      <c r="L6" s="780" t="str">
        <f>HKI!$D$3</f>
        <v>13CĐ-Đ1</v>
      </c>
      <c r="M6" s="780"/>
      <c r="N6" s="780"/>
    </row>
    <row r="7" spans="1:18" s="86" customFormat="1" ht="15">
      <c r="C7" s="45" t="s">
        <v>1510</v>
      </c>
      <c r="D7" s="45" t="s">
        <v>1511</v>
      </c>
      <c r="E7" s="87"/>
      <c r="G7" s="790" t="s">
        <v>1512</v>
      </c>
      <c r="H7" s="790"/>
      <c r="I7" s="790"/>
      <c r="J7" s="790" t="s">
        <v>90</v>
      </c>
      <c r="K7" s="790"/>
      <c r="L7" s="790"/>
      <c r="O7" s="88"/>
      <c r="P7" s="88"/>
    </row>
    <row r="8" spans="1:18" s="81" customFormat="1" ht="15" customHeight="1">
      <c r="A8" s="783" t="s">
        <v>1514</v>
      </c>
      <c r="B8" s="783" t="s">
        <v>1425</v>
      </c>
      <c r="C8" s="783" t="s">
        <v>1426</v>
      </c>
      <c r="D8" s="783"/>
      <c r="E8" s="783" t="s">
        <v>1518</v>
      </c>
      <c r="F8" s="791" t="s">
        <v>1521</v>
      </c>
      <c r="G8" s="791" t="s">
        <v>1522</v>
      </c>
      <c r="H8" s="791" t="s">
        <v>1523</v>
      </c>
      <c r="I8" s="791" t="s">
        <v>1524</v>
      </c>
      <c r="J8" s="791" t="s">
        <v>1525</v>
      </c>
      <c r="K8" s="791" t="s">
        <v>1526</v>
      </c>
      <c r="L8" s="791" t="s">
        <v>1527</v>
      </c>
      <c r="M8" s="791" t="s">
        <v>1528</v>
      </c>
      <c r="N8" s="791" t="s">
        <v>1529</v>
      </c>
      <c r="O8" s="791" t="s">
        <v>1520</v>
      </c>
      <c r="P8" s="805" t="s">
        <v>1517</v>
      </c>
      <c r="Q8" s="791" t="s">
        <v>1530</v>
      </c>
      <c r="R8" s="791" t="s">
        <v>1531</v>
      </c>
    </row>
    <row r="9" spans="1:18" s="89" customFormat="1" ht="28.5" customHeight="1">
      <c r="A9" s="783"/>
      <c r="B9" s="783"/>
      <c r="C9" s="783"/>
      <c r="D9" s="783"/>
      <c r="E9" s="783"/>
      <c r="F9" s="791"/>
      <c r="G9" s="791"/>
      <c r="H9" s="791"/>
      <c r="I9" s="791"/>
      <c r="J9" s="791"/>
      <c r="K9" s="791"/>
      <c r="L9" s="791"/>
      <c r="M9" s="791"/>
      <c r="N9" s="791"/>
      <c r="O9" s="791"/>
      <c r="P9" s="805"/>
      <c r="Q9" s="791"/>
      <c r="R9" s="791"/>
    </row>
    <row r="10" spans="1:18" s="89" customFormat="1" ht="15">
      <c r="A10" s="783"/>
      <c r="B10" s="783"/>
      <c r="C10" s="783"/>
      <c r="D10" s="783"/>
      <c r="E10" s="783"/>
      <c r="F10" s="9"/>
      <c r="G10" s="803">
        <v>0.2</v>
      </c>
      <c r="H10" s="791"/>
      <c r="I10" s="791"/>
      <c r="J10" s="791"/>
      <c r="K10" s="791"/>
      <c r="L10" s="791"/>
      <c r="M10" s="9">
        <v>0.3</v>
      </c>
      <c r="N10" s="9">
        <v>0.5</v>
      </c>
      <c r="O10" s="791"/>
      <c r="P10" s="805"/>
      <c r="Q10" s="10">
        <v>0.5</v>
      </c>
      <c r="R10" s="791"/>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141"/>
      <c r="G11" s="200">
        <v>10</v>
      </c>
      <c r="H11" s="200">
        <v>7</v>
      </c>
      <c r="I11" s="200"/>
      <c r="J11" s="200"/>
      <c r="K11" s="200"/>
      <c r="L11" s="200"/>
      <c r="M11" s="200">
        <v>7</v>
      </c>
      <c r="N11" s="537">
        <v>7</v>
      </c>
      <c r="O11" s="12">
        <f>IF(B11="","",IF(ISNUMBER(E11)=TRUE,E11,IF(COUNT(G11:N11)=0,"",IF(COUNT(G11:L11)=0,ROUND(0.3*M11+0.5*N11,1),ROUND(0.2*(SUM(G11:L11)/COUNT(G11:L11))+0.3*M11+0.5*N11,1)))))</f>
        <v>7.3</v>
      </c>
      <c r="P11" s="7" t="str">
        <f>IF(B11="","",IF(O11="","KXL",IF(O11&lt;4,"Kém",IF(O11&lt;5.5,"TBY",IF(O11&lt;7,"TB",IF(O11&lt;8.5,"Khá","Giỏi"))))))</f>
        <v>Khá</v>
      </c>
      <c r="Q11" s="93" t="str">
        <f>IF(ISNUMBER(E11)=TRUE,"",IF(HKI!V11="","",HKI!V11))</f>
        <v/>
      </c>
      <c r="R11" s="93" t="str">
        <f>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111"/>
      <c r="G12" s="201">
        <v>6</v>
      </c>
      <c r="H12" s="201">
        <v>5</v>
      </c>
      <c r="I12" s="201"/>
      <c r="J12" s="201"/>
      <c r="K12" s="201"/>
      <c r="L12" s="201"/>
      <c r="M12" s="201">
        <v>4</v>
      </c>
      <c r="N12" s="538">
        <v>3.8</v>
      </c>
      <c r="O12" s="12">
        <f t="shared" ref="O12:O75" si="0">IF(B12="","",IF(ISNUMBER(E12)=TRUE,E12,IF(COUNT(G12:N12)=0,"",IF(COUNT(G12:L12)=0,ROUND(0.3*M12+0.5*N12,1),ROUND(0.2*(SUM(G12:L12)/COUNT(G12:L12))+0.3*M12+0.5*N12,1)))))</f>
        <v>4.2</v>
      </c>
      <c r="P12" s="7" t="str">
        <f t="shared" ref="P12:P75" si="1">IF(B12="","",IF(O12="","KXL",IF(O12&lt;4,"Kém",IF(O12&lt;5.5,"TBY",IF(O12&lt;7,"TB",IF(O12&lt;8.5,"Khá","Giỏi"))))))</f>
        <v>TBY</v>
      </c>
      <c r="Q12" s="93" t="str">
        <f>IF(ISNUMBER(E12)=TRUE,"",IF(HKI!V12="","",HKI!V12))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111"/>
      <c r="G13" s="201">
        <v>3</v>
      </c>
      <c r="H13" s="201">
        <v>6</v>
      </c>
      <c r="I13" s="201"/>
      <c r="J13" s="201"/>
      <c r="K13" s="201"/>
      <c r="L13" s="201"/>
      <c r="M13" s="201">
        <v>6</v>
      </c>
      <c r="N13" s="539">
        <v>5</v>
      </c>
      <c r="O13" s="12">
        <f t="shared" si="0"/>
        <v>5.2</v>
      </c>
      <c r="P13" s="7" t="str">
        <f t="shared" si="1"/>
        <v>TBY</v>
      </c>
      <c r="Q13" s="93" t="str">
        <f>IF(ISNUMBER(E13)=TRUE,"",IF(HKI!V13="","",HKI!V13))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111"/>
      <c r="G14" s="201">
        <v>5</v>
      </c>
      <c r="H14" s="201">
        <v>7</v>
      </c>
      <c r="I14" s="201"/>
      <c r="J14" s="201"/>
      <c r="K14" s="201"/>
      <c r="L14" s="201"/>
      <c r="M14" s="201">
        <v>4</v>
      </c>
      <c r="N14" s="538">
        <v>5</v>
      </c>
      <c r="O14" s="12">
        <f t="shared" si="0"/>
        <v>4.9000000000000004</v>
      </c>
      <c r="P14" s="7" t="str">
        <f t="shared" si="1"/>
        <v>TBY</v>
      </c>
      <c r="Q14" s="93" t="str">
        <f>IF(ISNUMBER(E14)=TRUE,"",IF(HKI!V14="","",HKI!V14))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111"/>
      <c r="G15" s="201">
        <v>3</v>
      </c>
      <c r="H15" s="201">
        <v>7</v>
      </c>
      <c r="I15" s="201"/>
      <c r="J15" s="201"/>
      <c r="K15" s="201"/>
      <c r="L15" s="201"/>
      <c r="M15" s="201">
        <v>5</v>
      </c>
      <c r="N15" s="538">
        <v>2.5</v>
      </c>
      <c r="O15" s="12">
        <f t="shared" si="0"/>
        <v>3.8</v>
      </c>
      <c r="P15" s="7" t="str">
        <f t="shared" si="1"/>
        <v>Kém</v>
      </c>
      <c r="Q15" s="93" t="str">
        <f>IF(ISNUMBER(E15)=TRUE,"",IF(HKI!V15="","",HKI!V15))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111"/>
      <c r="G16" s="201">
        <v>3</v>
      </c>
      <c r="H16" s="201">
        <v>6</v>
      </c>
      <c r="I16" s="201"/>
      <c r="J16" s="201"/>
      <c r="K16" s="201"/>
      <c r="L16" s="201"/>
      <c r="M16" s="201">
        <v>1</v>
      </c>
      <c r="N16" s="538">
        <v>4.8</v>
      </c>
      <c r="O16" s="12">
        <f t="shared" si="0"/>
        <v>3.6</v>
      </c>
      <c r="P16" s="7" t="str">
        <f t="shared" si="1"/>
        <v>Kém</v>
      </c>
      <c r="Q16" s="93" t="str">
        <f>IF(ISNUMBER(E16)=TRUE,"",IF(HKI!V16="","",HKI!V16))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111"/>
      <c r="G17" s="201">
        <v>4</v>
      </c>
      <c r="H17" s="201">
        <v>8</v>
      </c>
      <c r="I17" s="201"/>
      <c r="J17" s="201"/>
      <c r="K17" s="201"/>
      <c r="L17" s="201"/>
      <c r="M17" s="201">
        <v>5</v>
      </c>
      <c r="N17" s="539">
        <v>5.8</v>
      </c>
      <c r="O17" s="12">
        <f t="shared" si="0"/>
        <v>5.6</v>
      </c>
      <c r="P17" s="7" t="str">
        <f t="shared" si="1"/>
        <v>TB</v>
      </c>
      <c r="Q17" s="93" t="str">
        <f>IF(ISNUMBER(E17)=TRUE,"",IF(HKI!V17="","",HKI!V17))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111"/>
      <c r="G18" s="201">
        <v>10</v>
      </c>
      <c r="H18" s="201">
        <v>6</v>
      </c>
      <c r="I18" s="201"/>
      <c r="J18" s="201"/>
      <c r="K18" s="201"/>
      <c r="L18" s="201"/>
      <c r="M18" s="201">
        <v>6</v>
      </c>
      <c r="N18" s="540">
        <v>5.8</v>
      </c>
      <c r="O18" s="12">
        <f t="shared" si="0"/>
        <v>6.3</v>
      </c>
      <c r="P18" s="7" t="str">
        <f t="shared" si="1"/>
        <v>TB</v>
      </c>
      <c r="Q18" s="93" t="str">
        <f>IF(ISNUMBER(E18)=TRUE,"",IF(HKI!V18="","",HKI!V18))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111"/>
      <c r="G19" s="201">
        <v>7</v>
      </c>
      <c r="H19" s="201">
        <v>5</v>
      </c>
      <c r="I19" s="201"/>
      <c r="J19" s="201"/>
      <c r="K19" s="201"/>
      <c r="L19" s="201"/>
      <c r="M19" s="201">
        <v>4</v>
      </c>
      <c r="N19" s="538">
        <v>3.3</v>
      </c>
      <c r="O19" s="12">
        <f t="shared" si="0"/>
        <v>4.0999999999999996</v>
      </c>
      <c r="P19" s="7" t="str">
        <f t="shared" si="1"/>
        <v>TBY</v>
      </c>
      <c r="Q19" s="93" t="str">
        <f>IF(ISNUMBER(E19)=TRUE,"",IF(HKI!V19="","",HKI!V19))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111"/>
      <c r="G20" s="201">
        <v>6</v>
      </c>
      <c r="H20" s="201">
        <v>6</v>
      </c>
      <c r="I20" s="201"/>
      <c r="J20" s="201"/>
      <c r="K20" s="201"/>
      <c r="L20" s="201"/>
      <c r="M20" s="201">
        <v>7</v>
      </c>
      <c r="N20" s="539">
        <v>2.2999999999999998</v>
      </c>
      <c r="O20" s="12">
        <f t="shared" si="0"/>
        <v>4.5</v>
      </c>
      <c r="P20" s="7" t="str">
        <f t="shared" si="1"/>
        <v>TBY</v>
      </c>
      <c r="Q20" s="93" t="str">
        <f>IF(ISNUMBER(E20)=TRUE,"",IF(HKI!V20="","",HKI!V20))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111"/>
      <c r="G21" s="201">
        <v>4</v>
      </c>
      <c r="H21" s="201">
        <v>6</v>
      </c>
      <c r="I21" s="201"/>
      <c r="J21" s="201"/>
      <c r="K21" s="201"/>
      <c r="L21" s="201"/>
      <c r="M21" s="201">
        <v>5</v>
      </c>
      <c r="N21" s="540">
        <v>3.5</v>
      </c>
      <c r="O21" s="12">
        <f t="shared" si="0"/>
        <v>4.3</v>
      </c>
      <c r="P21" s="7" t="str">
        <f t="shared" si="1"/>
        <v>TBY</v>
      </c>
      <c r="Q21" s="93" t="str">
        <f>IF(ISNUMBER(E21)=TRUE,"",IF(HKI!V21="","",HKI!V21))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111"/>
      <c r="G22" s="201">
        <v>4</v>
      </c>
      <c r="H22" s="201">
        <v>8</v>
      </c>
      <c r="I22" s="201"/>
      <c r="J22" s="201"/>
      <c r="K22" s="201"/>
      <c r="L22" s="201"/>
      <c r="M22" s="201">
        <v>5</v>
      </c>
      <c r="N22" s="538">
        <v>5.3</v>
      </c>
      <c r="O22" s="12">
        <f t="shared" si="0"/>
        <v>5.4</v>
      </c>
      <c r="P22" s="7" t="str">
        <f t="shared" si="1"/>
        <v>TBY</v>
      </c>
      <c r="Q22" s="93" t="str">
        <f>IF(ISNUMBER(E22)=TRUE,"",IF(HKI!V22="","",HKI!V22))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111"/>
      <c r="G23" s="201">
        <v>6</v>
      </c>
      <c r="H23" s="201">
        <v>7</v>
      </c>
      <c r="I23" s="201"/>
      <c r="J23" s="201"/>
      <c r="K23" s="201"/>
      <c r="L23" s="201"/>
      <c r="M23" s="201">
        <v>5</v>
      </c>
      <c r="N23" s="538">
        <v>6.3</v>
      </c>
      <c r="O23" s="12">
        <f t="shared" si="0"/>
        <v>6</v>
      </c>
      <c r="P23" s="7" t="str">
        <f t="shared" si="1"/>
        <v>TB</v>
      </c>
      <c r="Q23" s="93" t="str">
        <f>IF(ISNUMBER(E23)=TRUE,"",IF(HKI!V23="","",HKI!V23))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111"/>
      <c r="G24" s="201">
        <v>2</v>
      </c>
      <c r="H24" s="201">
        <v>6</v>
      </c>
      <c r="I24" s="201"/>
      <c r="J24" s="201"/>
      <c r="K24" s="201"/>
      <c r="L24" s="201"/>
      <c r="M24" s="201">
        <v>5</v>
      </c>
      <c r="N24" s="539">
        <v>5.5</v>
      </c>
      <c r="O24" s="12">
        <f t="shared" si="0"/>
        <v>5.0999999999999996</v>
      </c>
      <c r="P24" s="7" t="str">
        <f t="shared" si="1"/>
        <v>TBY</v>
      </c>
      <c r="Q24" s="93" t="str">
        <f>IF(ISNUMBER(E24)=TRUE,"",IF(HKI!V24="","",HKI!V24))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111"/>
      <c r="G25" s="201">
        <v>4</v>
      </c>
      <c r="H25" s="201">
        <v>6</v>
      </c>
      <c r="I25" s="201"/>
      <c r="J25" s="201"/>
      <c r="K25" s="201"/>
      <c r="L25" s="201"/>
      <c r="M25" s="201">
        <v>5</v>
      </c>
      <c r="N25" s="540">
        <v>4.5</v>
      </c>
      <c r="O25" s="12">
        <f t="shared" si="0"/>
        <v>4.8</v>
      </c>
      <c r="P25" s="7" t="str">
        <f t="shared" si="1"/>
        <v>TBY</v>
      </c>
      <c r="Q25" s="93" t="str">
        <f>IF(ISNUMBER(E25)=TRUE,"",IF(HKI!V25="","",HKI!V25))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111"/>
      <c r="G26" s="201">
        <v>2</v>
      </c>
      <c r="H26" s="201">
        <v>7</v>
      </c>
      <c r="I26" s="201"/>
      <c r="J26" s="201"/>
      <c r="K26" s="201"/>
      <c r="L26" s="201"/>
      <c r="M26" s="201">
        <v>5</v>
      </c>
      <c r="N26" s="540">
        <v>0.8</v>
      </c>
      <c r="O26" s="12">
        <f t="shared" si="0"/>
        <v>2.8</v>
      </c>
      <c r="P26" s="7" t="str">
        <f t="shared" si="1"/>
        <v>Kém</v>
      </c>
      <c r="Q26" s="93" t="str">
        <f>IF(ISNUMBER(E26)=TRUE,"",IF(HKI!V26="","",HKI!V26))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111"/>
      <c r="G27" s="201">
        <v>6</v>
      </c>
      <c r="H27" s="201">
        <v>9</v>
      </c>
      <c r="I27" s="201"/>
      <c r="J27" s="201"/>
      <c r="K27" s="201"/>
      <c r="L27" s="201"/>
      <c r="M27" s="201">
        <v>5</v>
      </c>
      <c r="N27" s="538">
        <v>5.5</v>
      </c>
      <c r="O27" s="12">
        <f t="shared" si="0"/>
        <v>5.8</v>
      </c>
      <c r="P27" s="7" t="str">
        <f t="shared" si="1"/>
        <v>TB</v>
      </c>
      <c r="Q27" s="93" t="str">
        <f>IF(ISNUMBER(E27)=TRUE,"",IF(HKI!V27="","",HKI!V27))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111"/>
      <c r="G28" s="201">
        <v>3</v>
      </c>
      <c r="H28" s="201">
        <v>6</v>
      </c>
      <c r="I28" s="201"/>
      <c r="J28" s="201"/>
      <c r="K28" s="201"/>
      <c r="L28" s="201"/>
      <c r="M28" s="201">
        <v>6</v>
      </c>
      <c r="N28" s="538">
        <v>1.5</v>
      </c>
      <c r="O28" s="12">
        <f t="shared" si="0"/>
        <v>3.5</v>
      </c>
      <c r="P28" s="7" t="str">
        <f t="shared" si="1"/>
        <v>Kém</v>
      </c>
      <c r="Q28" s="93" t="str">
        <f>IF(ISNUMBER(E28)=TRUE,"",IF(HKI!V28="","",HKI!V28))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111"/>
      <c r="G29" s="201">
        <v>0</v>
      </c>
      <c r="H29" s="201">
        <v>5</v>
      </c>
      <c r="I29" s="201"/>
      <c r="J29" s="201"/>
      <c r="K29" s="201"/>
      <c r="L29" s="201"/>
      <c r="M29" s="201">
        <v>4</v>
      </c>
      <c r="N29" s="538">
        <v>2.8</v>
      </c>
      <c r="O29" s="12">
        <f t="shared" si="0"/>
        <v>3.1</v>
      </c>
      <c r="P29" s="7" t="str">
        <f t="shared" si="1"/>
        <v>Kém</v>
      </c>
      <c r="Q29" s="93" t="str">
        <f>IF(ISNUMBER(E29)=TRUE,"",IF(HKI!V29="","",HKI!V29))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111"/>
      <c r="G30" s="201">
        <v>4</v>
      </c>
      <c r="H30" s="201">
        <v>6</v>
      </c>
      <c r="I30" s="201"/>
      <c r="J30" s="201"/>
      <c r="K30" s="201"/>
      <c r="L30" s="201"/>
      <c r="M30" s="201">
        <v>5</v>
      </c>
      <c r="N30" s="538">
        <v>3.3</v>
      </c>
      <c r="O30" s="12">
        <f t="shared" si="0"/>
        <v>4.2</v>
      </c>
      <c r="P30" s="7" t="str">
        <f t="shared" si="1"/>
        <v>TBY</v>
      </c>
      <c r="Q30" s="93" t="str">
        <f>IF(ISNUMBER(E30)=TRUE,"",IF(HKI!V30="","",HKI!V30))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111"/>
      <c r="G31" s="201">
        <v>3</v>
      </c>
      <c r="H31" s="201">
        <v>5</v>
      </c>
      <c r="I31" s="201"/>
      <c r="J31" s="201"/>
      <c r="K31" s="201"/>
      <c r="L31" s="201"/>
      <c r="M31" s="201">
        <v>6</v>
      </c>
      <c r="N31" s="539">
        <v>3.5</v>
      </c>
      <c r="O31" s="12">
        <f t="shared" si="0"/>
        <v>4.4000000000000004</v>
      </c>
      <c r="P31" s="7" t="str">
        <f t="shared" si="1"/>
        <v>TBY</v>
      </c>
      <c r="Q31" s="93" t="str">
        <f>IF(ISNUMBER(E31)=TRUE,"",IF(HKI!V31="","",HKI!V31))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111"/>
      <c r="G32" s="201">
        <v>3</v>
      </c>
      <c r="H32" s="201">
        <v>7</v>
      </c>
      <c r="I32" s="201"/>
      <c r="J32" s="201"/>
      <c r="K32" s="201"/>
      <c r="L32" s="201"/>
      <c r="M32" s="201">
        <v>3</v>
      </c>
      <c r="N32" s="540">
        <v>4.5</v>
      </c>
      <c r="O32" s="12">
        <f t="shared" si="0"/>
        <v>4.2</v>
      </c>
      <c r="P32" s="7" t="str">
        <f t="shared" si="1"/>
        <v>TBY</v>
      </c>
      <c r="Q32" s="93" t="str">
        <f>IF(ISNUMBER(E32)=TRUE,"",IF(HKI!V32="","",HKI!V32))</f>
        <v/>
      </c>
      <c r="R32" s="93" t="str">
        <f t="shared" si="2"/>
        <v/>
      </c>
    </row>
    <row r="33" spans="1:18" ht="15">
      <c r="A33" s="2">
        <f>IF(OR($C$6="",$J$6=""),"",IF(B33="","",SUBTOTAL(3,$B$11:B33)))</f>
        <v>23</v>
      </c>
      <c r="B33" s="90" t="str">
        <f>IF(OR($C$6="",$J$6="",$L$6=""),"",IF(HKI!B33="","",HKI!B33))</f>
        <v>13D301Đ101</v>
      </c>
      <c r="C33" s="91" t="str">
        <f>IF($B33="","",VLOOKUP($B33,'DS LOP HKI'!$B$2:$F$2642,2,0))</f>
        <v>Huỳnh Thanh</v>
      </c>
      <c r="D33" s="92" t="str">
        <f>IF($B33="","",VLOOKUP($B33,'DS LOP HKI'!$B$2:$F$2642,3,0))</f>
        <v>Phú</v>
      </c>
      <c r="E33" s="144"/>
      <c r="F33" s="111"/>
      <c r="G33" s="201">
        <v>0</v>
      </c>
      <c r="H33" s="201">
        <v>5</v>
      </c>
      <c r="I33" s="201"/>
      <c r="J33" s="201"/>
      <c r="K33" s="201"/>
      <c r="L33" s="201"/>
      <c r="M33" s="201">
        <v>0</v>
      </c>
      <c r="N33" s="541">
        <v>0</v>
      </c>
      <c r="O33" s="12">
        <f t="shared" si="0"/>
        <v>0.5</v>
      </c>
      <c r="P33" s="7" t="str">
        <f t="shared" si="1"/>
        <v>Kém</v>
      </c>
      <c r="Q33" s="93" t="str">
        <f>IF(ISNUMBER(E33)=TRUE,"",IF(HKI!V33="","",HKI!V33))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111"/>
      <c r="G34" s="201">
        <v>6</v>
      </c>
      <c r="H34" s="201">
        <v>7</v>
      </c>
      <c r="I34" s="201"/>
      <c r="J34" s="201"/>
      <c r="K34" s="201"/>
      <c r="L34" s="201"/>
      <c r="M34" s="201">
        <v>3</v>
      </c>
      <c r="N34" s="540">
        <v>2</v>
      </c>
      <c r="O34" s="12">
        <f t="shared" si="0"/>
        <v>3.2</v>
      </c>
      <c r="P34" s="7" t="str">
        <f t="shared" si="1"/>
        <v>Kém</v>
      </c>
      <c r="Q34" s="93" t="str">
        <f>IF(ISNUMBER(E34)=TRUE,"",IF(HKI!V34="","",HKI!V34))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111"/>
      <c r="G35" s="201">
        <v>1</v>
      </c>
      <c r="H35" s="201">
        <v>6</v>
      </c>
      <c r="I35" s="201"/>
      <c r="J35" s="201"/>
      <c r="K35" s="201"/>
      <c r="L35" s="201"/>
      <c r="M35" s="201">
        <v>2</v>
      </c>
      <c r="N35" s="540">
        <v>0.5</v>
      </c>
      <c r="O35" s="12">
        <f t="shared" si="0"/>
        <v>1.6</v>
      </c>
      <c r="P35" s="7" t="str">
        <f t="shared" si="1"/>
        <v>Kém</v>
      </c>
      <c r="Q35" s="93" t="str">
        <f>IF(ISNUMBER(E35)=TRUE,"",IF(HKI!V35="","",HKI!V35))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111"/>
      <c r="G36" s="201">
        <v>6</v>
      </c>
      <c r="H36" s="201">
        <v>8</v>
      </c>
      <c r="I36" s="201"/>
      <c r="J36" s="201"/>
      <c r="K36" s="201"/>
      <c r="L36" s="201"/>
      <c r="M36" s="201">
        <v>3</v>
      </c>
      <c r="N36" s="538">
        <v>4.5</v>
      </c>
      <c r="O36" s="12">
        <f t="shared" si="0"/>
        <v>4.5999999999999996</v>
      </c>
      <c r="P36" s="7" t="str">
        <f t="shared" si="1"/>
        <v>TBY</v>
      </c>
      <c r="Q36" s="93" t="str">
        <f>IF(ISNUMBER(E36)=TRUE,"",IF(HKI!V36="","",HKI!V36))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111"/>
      <c r="G37" s="201">
        <v>6</v>
      </c>
      <c r="H37" s="201">
        <v>8</v>
      </c>
      <c r="I37" s="201"/>
      <c r="J37" s="201"/>
      <c r="K37" s="201"/>
      <c r="L37" s="201"/>
      <c r="M37" s="201">
        <v>3</v>
      </c>
      <c r="N37" s="538">
        <v>1.3</v>
      </c>
      <c r="O37" s="12">
        <f t="shared" si="0"/>
        <v>3</v>
      </c>
      <c r="P37" s="7" t="str">
        <f t="shared" si="1"/>
        <v>Kém</v>
      </c>
      <c r="Q37" s="93" t="str">
        <f>IF(ISNUMBER(E37)=TRUE,"",IF(HKI!V37="","",HKI!V37))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111"/>
      <c r="G38" s="201">
        <v>2</v>
      </c>
      <c r="H38" s="201">
        <v>7</v>
      </c>
      <c r="I38" s="201"/>
      <c r="J38" s="201"/>
      <c r="K38" s="201"/>
      <c r="L38" s="201"/>
      <c r="M38" s="201">
        <v>3</v>
      </c>
      <c r="N38" s="539">
        <v>0.5</v>
      </c>
      <c r="O38" s="12">
        <f t="shared" si="0"/>
        <v>2.1</v>
      </c>
      <c r="P38" s="7" t="str">
        <f t="shared" si="1"/>
        <v>Kém</v>
      </c>
      <c r="Q38" s="93" t="str">
        <f>IF(ISNUMBER(E38)=TRUE,"",IF(HKI!V38="","",HKI!V38))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111"/>
      <c r="G39" s="201">
        <v>10</v>
      </c>
      <c r="H39" s="201">
        <v>10</v>
      </c>
      <c r="I39" s="201"/>
      <c r="J39" s="201"/>
      <c r="K39" s="201"/>
      <c r="L39" s="201"/>
      <c r="M39" s="201">
        <v>6</v>
      </c>
      <c r="N39" s="540">
        <v>7.8</v>
      </c>
      <c r="O39" s="12">
        <f t="shared" si="0"/>
        <v>7.7</v>
      </c>
      <c r="P39" s="7" t="str">
        <f t="shared" si="1"/>
        <v>Khá</v>
      </c>
      <c r="Q39" s="93" t="str">
        <f>IF(ISNUMBER(E39)=TRUE,"",IF(HKI!V39="","",HKI!V39))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111"/>
      <c r="G40" s="201">
        <v>1</v>
      </c>
      <c r="H40" s="201">
        <v>7</v>
      </c>
      <c r="I40" s="201"/>
      <c r="J40" s="201"/>
      <c r="K40" s="201"/>
      <c r="L40" s="201"/>
      <c r="M40" s="201">
        <v>2</v>
      </c>
      <c r="N40" s="540">
        <v>2</v>
      </c>
      <c r="O40" s="12">
        <f t="shared" si="0"/>
        <v>2.4</v>
      </c>
      <c r="P40" s="7" t="str">
        <f t="shared" si="1"/>
        <v>Kém</v>
      </c>
      <c r="Q40" s="93" t="str">
        <f>IF(ISNUMBER(E40)=TRUE,"",IF(HKI!V40="","",HKI!V40))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111"/>
      <c r="G41" s="201">
        <v>5</v>
      </c>
      <c r="H41" s="201">
        <v>7</v>
      </c>
      <c r="I41" s="201"/>
      <c r="J41" s="201"/>
      <c r="K41" s="201"/>
      <c r="L41" s="201"/>
      <c r="M41" s="201">
        <v>5</v>
      </c>
      <c r="N41" s="540">
        <v>0.5</v>
      </c>
      <c r="O41" s="12">
        <f t="shared" si="0"/>
        <v>3</v>
      </c>
      <c r="P41" s="7" t="str">
        <f t="shared" si="1"/>
        <v>Kém</v>
      </c>
      <c r="Q41" s="93" t="str">
        <f>IF(ISNUMBER(E41)=TRUE,"",IF(HKI!V41="","",HKI!V41))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111"/>
      <c r="G42" s="201">
        <v>8</v>
      </c>
      <c r="H42" s="201">
        <v>6</v>
      </c>
      <c r="I42" s="201"/>
      <c r="J42" s="201"/>
      <c r="K42" s="201"/>
      <c r="L42" s="201"/>
      <c r="M42" s="201">
        <v>5</v>
      </c>
      <c r="N42" s="538">
        <v>2.5</v>
      </c>
      <c r="O42" s="12">
        <f t="shared" si="0"/>
        <v>4.2</v>
      </c>
      <c r="P42" s="7" t="str">
        <f t="shared" si="1"/>
        <v>TBY</v>
      </c>
      <c r="Q42" s="93" t="str">
        <f>IF(ISNUMBER(E42)=TRUE,"",IF(HKI!V42="","",HKI!V42))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111"/>
      <c r="G43" s="201">
        <v>10</v>
      </c>
      <c r="H43" s="201">
        <v>8</v>
      </c>
      <c r="I43" s="201"/>
      <c r="J43" s="201"/>
      <c r="K43" s="201"/>
      <c r="L43" s="201"/>
      <c r="M43" s="201">
        <v>7</v>
      </c>
      <c r="N43" s="539">
        <v>5.5</v>
      </c>
      <c r="O43" s="12">
        <f t="shared" si="0"/>
        <v>6.7</v>
      </c>
      <c r="P43" s="7" t="str">
        <f t="shared" si="1"/>
        <v>TB</v>
      </c>
      <c r="Q43" s="93" t="str">
        <f>IF(ISNUMBER(E43)=TRUE,"",IF(HKI!V43="","",HKI!V43))</f>
        <v/>
      </c>
      <c r="R43" s="93" t="str">
        <f t="shared" si="2"/>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111"/>
      <c r="G44" s="201">
        <v>9</v>
      </c>
      <c r="H44" s="201">
        <v>5</v>
      </c>
      <c r="I44" s="201"/>
      <c r="J44" s="201"/>
      <c r="K44" s="201"/>
      <c r="L44" s="201"/>
      <c r="M44" s="201">
        <v>6</v>
      </c>
      <c r="N44" s="540">
        <v>3.5</v>
      </c>
      <c r="O44" s="12">
        <f t="shared" si="0"/>
        <v>5</v>
      </c>
      <c r="P44" s="7" t="str">
        <f t="shared" si="1"/>
        <v>TBY</v>
      </c>
      <c r="Q44" s="93" t="str">
        <f>IF(ISNUMBER(E44)=TRUE,"",IF(HKI!V44="","",HKI!V44))</f>
        <v/>
      </c>
      <c r="R44" s="93" t="str">
        <f t="shared" si="2"/>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111"/>
      <c r="G45" s="201">
        <v>9</v>
      </c>
      <c r="H45" s="201">
        <v>6</v>
      </c>
      <c r="I45" s="201"/>
      <c r="J45" s="201"/>
      <c r="K45" s="201"/>
      <c r="L45" s="201"/>
      <c r="M45" s="201">
        <v>4</v>
      </c>
      <c r="N45" s="538">
        <v>3.3</v>
      </c>
      <c r="O45" s="12">
        <f t="shared" si="0"/>
        <v>4.4000000000000004</v>
      </c>
      <c r="P45" s="7" t="str">
        <f t="shared" si="1"/>
        <v>TBY</v>
      </c>
      <c r="Q45" s="93" t="str">
        <f>IF(ISNUMBER(E45)=TRUE,"",IF(HKI!V45="","",HKI!V45))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111"/>
      <c r="G46" s="262"/>
      <c r="H46" s="262"/>
      <c r="I46" s="262"/>
      <c r="J46" s="201"/>
      <c r="K46" s="201"/>
      <c r="L46" s="201"/>
      <c r="M46" s="262"/>
      <c r="N46" s="262"/>
      <c r="O46" s="12" t="str">
        <f t="shared" si="0"/>
        <v/>
      </c>
      <c r="P46" s="7" t="str">
        <f t="shared" si="1"/>
        <v/>
      </c>
      <c r="Q46" s="93" t="str">
        <f>IF(ISNUMBER(E46)=TRUE,"",IF(HKI!V46="","",HKI!V46))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111"/>
      <c r="G47" s="262"/>
      <c r="H47" s="262"/>
      <c r="I47" s="262"/>
      <c r="J47" s="201"/>
      <c r="K47" s="201"/>
      <c r="L47" s="201"/>
      <c r="M47" s="262"/>
      <c r="N47" s="262"/>
      <c r="O47" s="12" t="str">
        <f t="shared" si="0"/>
        <v/>
      </c>
      <c r="P47" s="7" t="str">
        <f t="shared" si="1"/>
        <v/>
      </c>
      <c r="Q47" s="93" t="str">
        <f>IF(ISNUMBER(E47)=TRUE,"",IF(HKI!V47="","",HKI!V47))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111"/>
      <c r="G48" s="262"/>
      <c r="H48" s="262"/>
      <c r="I48" s="262"/>
      <c r="J48" s="201"/>
      <c r="K48" s="201"/>
      <c r="L48" s="201"/>
      <c r="M48" s="262"/>
      <c r="N48" s="262"/>
      <c r="O48" s="12" t="str">
        <f t="shared" si="0"/>
        <v/>
      </c>
      <c r="P48" s="7" t="str">
        <f t="shared" si="1"/>
        <v/>
      </c>
      <c r="Q48" s="93" t="str">
        <f>IF(ISNUMBER(E48)=TRUE,"",IF(HKI!V48="","",HKI!V48))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111"/>
      <c r="G49" s="262"/>
      <c r="H49" s="262"/>
      <c r="I49" s="262"/>
      <c r="J49" s="201"/>
      <c r="K49" s="201"/>
      <c r="L49" s="201"/>
      <c r="M49" s="262"/>
      <c r="N49" s="262"/>
      <c r="O49" s="12" t="str">
        <f t="shared" si="0"/>
        <v/>
      </c>
      <c r="P49" s="7" t="str">
        <f t="shared" si="1"/>
        <v/>
      </c>
      <c r="Q49" s="93" t="str">
        <f>IF(ISNUMBER(E49)=TRUE,"",IF(HKI!V49="","",HKI!V49))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111"/>
      <c r="G50" s="262"/>
      <c r="H50" s="262"/>
      <c r="I50" s="262"/>
      <c r="J50" s="201"/>
      <c r="K50" s="201"/>
      <c r="L50" s="201"/>
      <c r="M50" s="262"/>
      <c r="N50" s="262"/>
      <c r="O50" s="12" t="str">
        <f t="shared" si="0"/>
        <v/>
      </c>
      <c r="P50" s="7" t="str">
        <f t="shared" si="1"/>
        <v/>
      </c>
      <c r="Q50" s="93" t="str">
        <f>IF(ISNUMBER(E50)=TRUE,"",IF(HKI!V50="","",HKI!V50))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111"/>
      <c r="G51" s="262"/>
      <c r="H51" s="262"/>
      <c r="I51" s="262"/>
      <c r="J51" s="201"/>
      <c r="K51" s="201"/>
      <c r="L51" s="201"/>
      <c r="M51" s="262"/>
      <c r="N51" s="262"/>
      <c r="O51" s="12" t="str">
        <f t="shared" si="0"/>
        <v/>
      </c>
      <c r="P51" s="7" t="str">
        <f t="shared" si="1"/>
        <v/>
      </c>
      <c r="Q51" s="93" t="str">
        <f>IF(ISNUMBER(E51)=TRUE,"",IF(HKI!V51="","",HKI!V51))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111"/>
      <c r="G52" s="262"/>
      <c r="H52" s="262"/>
      <c r="I52" s="262"/>
      <c r="J52" s="201"/>
      <c r="K52" s="201"/>
      <c r="L52" s="201"/>
      <c r="M52" s="262"/>
      <c r="N52" s="262"/>
      <c r="O52" s="12" t="str">
        <f t="shared" si="0"/>
        <v/>
      </c>
      <c r="P52" s="7" t="str">
        <f t="shared" si="1"/>
        <v/>
      </c>
      <c r="Q52" s="93" t="str">
        <f>IF(ISNUMBER(E52)=TRUE,"",IF(HKI!V52="","",HKI!V52))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111"/>
      <c r="G53" s="262"/>
      <c r="H53" s="262"/>
      <c r="I53" s="262"/>
      <c r="J53" s="201"/>
      <c r="K53" s="201"/>
      <c r="L53" s="201"/>
      <c r="M53" s="262"/>
      <c r="N53" s="262"/>
      <c r="O53" s="12" t="str">
        <f t="shared" si="0"/>
        <v/>
      </c>
      <c r="P53" s="7" t="str">
        <f t="shared" si="1"/>
        <v/>
      </c>
      <c r="Q53" s="93" t="str">
        <f>IF(ISNUMBER(E53)=TRUE,"",IF(HKI!V53="","",HKI!V53))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111"/>
      <c r="G54" s="262"/>
      <c r="H54" s="262"/>
      <c r="I54" s="262"/>
      <c r="J54" s="201"/>
      <c r="K54" s="201"/>
      <c r="L54" s="201"/>
      <c r="M54" s="262"/>
      <c r="N54" s="262"/>
      <c r="O54" s="12" t="str">
        <f t="shared" si="0"/>
        <v/>
      </c>
      <c r="P54" s="7" t="str">
        <f t="shared" si="1"/>
        <v/>
      </c>
      <c r="Q54" s="93" t="str">
        <f>IF(ISNUMBER(E54)=TRUE,"",IF(HKI!V54="","",HKI!V54))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111"/>
      <c r="G55" s="262"/>
      <c r="H55" s="262"/>
      <c r="I55" s="262"/>
      <c r="J55" s="201"/>
      <c r="K55" s="201"/>
      <c r="L55" s="201"/>
      <c r="M55" s="262"/>
      <c r="N55" s="262"/>
      <c r="O55" s="12" t="str">
        <f t="shared" si="0"/>
        <v/>
      </c>
      <c r="P55" s="7" t="str">
        <f t="shared" si="1"/>
        <v/>
      </c>
      <c r="Q55" s="93" t="str">
        <f>IF(ISNUMBER(E55)=TRUE,"",IF(HKI!V55="","",HKI!V55))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111"/>
      <c r="G56" s="262"/>
      <c r="H56" s="262"/>
      <c r="I56" s="262"/>
      <c r="J56" s="201"/>
      <c r="K56" s="201"/>
      <c r="L56" s="201"/>
      <c r="M56" s="262"/>
      <c r="N56" s="262"/>
      <c r="O56" s="12" t="str">
        <f t="shared" si="0"/>
        <v/>
      </c>
      <c r="P56" s="7" t="str">
        <f t="shared" si="1"/>
        <v/>
      </c>
      <c r="Q56" s="93" t="str">
        <f>IF(ISNUMBER(E56)=TRUE,"",IF(HKI!V56="","",HKI!V56))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0"/>
        <v/>
      </c>
      <c r="P57" s="7" t="str">
        <f t="shared" si="1"/>
        <v/>
      </c>
      <c r="Q57" s="93" t="str">
        <f>IF(ISNUMBER(E57)=TRUE,"",IF(HKI!V57="","",HKI!V57))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262"/>
      <c r="I58" s="262"/>
      <c r="J58" s="111"/>
      <c r="K58" s="111"/>
      <c r="L58" s="111"/>
      <c r="M58" s="262"/>
      <c r="N58" s="262"/>
      <c r="O58" s="12" t="str">
        <f t="shared" si="0"/>
        <v/>
      </c>
      <c r="P58" s="7" t="str">
        <f t="shared" si="1"/>
        <v/>
      </c>
      <c r="Q58" s="93" t="str">
        <f>IF(ISNUMBER(E58)=TRUE,"",IF(HKI!V58="","",HKI!V58))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0"/>
        <v/>
      </c>
      <c r="P59" s="7" t="str">
        <f t="shared" si="1"/>
        <v/>
      </c>
      <c r="Q59" s="93" t="str">
        <f>IF(ISNUMBER(E59)=TRUE,"",IF(HKI!V59="","",HKI!V59))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0"/>
        <v/>
      </c>
      <c r="P60" s="7" t="str">
        <f t="shared" si="1"/>
        <v/>
      </c>
      <c r="Q60" s="93" t="str">
        <f>IF(ISNUMBER(E60)=TRUE,"",IF(HKI!V60="","",HKI!V60))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IF(ISNUMBER(E61)=TRUE,"",IF(HKI!V61="","",HKI!V61))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IF(ISNUMBER(E62)=TRUE,"",IF(HKI!V62="","",HKI!V62))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IF(ISNUMBER(E63)=TRUE,"",IF(HKI!V63="","",HKI!V63))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IF(ISNUMBER(E64)=TRUE,"",IF(HKI!V64="","",HKI!V64))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IF(ISNUMBER(E65)=TRUE,"",IF(HKI!V65="","",HKI!V65))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IF(ISNUMBER(E66)=TRUE,"",IF(HKI!V66="","",HKI!V66))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IF(ISNUMBER(E67)=TRUE,"",IF(HKI!V67="","",HKI!V67))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IF(ISNUMBER(E68)=TRUE,"",IF(HKI!V68="","",HKI!V68))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IF(ISNUMBER(E69)=TRUE,"",IF(HKI!V69="","",HKI!V69))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IF(ISNUMBER(E70)=TRUE,"",IF(HKI!V70="","",HKI!V70))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IF(ISNUMBER(E71)=TRUE,"",IF(HKI!V71="","",HKI!V71))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IF(ISNUMBER(E72)=TRUE,"",IF(HKI!V72="","",HKI!V72))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IF(ISNUMBER(E73)=TRUE,"",IF(HKI!V73="","",HKI!V73))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IF(ISNUMBER(E74)=TRUE,"",IF(HKI!V74="","",HKI!V74))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IF(ISNUMBER(E75)=TRUE,"",IF(HKI!V75="","",HKI!V75))</f>
        <v/>
      </c>
      <c r="R75" s="93" t="str">
        <f t="shared" si="2"/>
        <v/>
      </c>
    </row>
    <row r="76" spans="1:18" s="38" customFormat="1">
      <c r="A76" s="806" t="s">
        <v>1519</v>
      </c>
      <c r="B76" s="806"/>
      <c r="C76" s="806"/>
      <c r="D76" s="806"/>
      <c r="E76" s="806"/>
      <c r="F76" s="806"/>
      <c r="G76" s="806"/>
      <c r="H76" s="806"/>
      <c r="I76" s="806"/>
      <c r="J76" s="806"/>
      <c r="K76" s="806"/>
      <c r="L76" s="806"/>
      <c r="M76" s="806"/>
      <c r="N76" s="806"/>
      <c r="O76" s="806"/>
      <c r="P76" s="806"/>
    </row>
    <row r="77" spans="1:18" s="38" customFormat="1">
      <c r="A77" s="5"/>
      <c r="B77" s="793" t="str">
        <f>"Tổng danh sách có"</f>
        <v>Tổng danh sách có</v>
      </c>
      <c r="C77" s="793"/>
      <c r="D77" s="793"/>
      <c r="E77" s="793"/>
      <c r="F77" s="804" t="str">
        <f>": "&amp;MAX($A$11:$A$75)&amp;" SV"</f>
        <v>: 35 SV</v>
      </c>
      <c r="G77" s="804"/>
      <c r="L77" s="6"/>
      <c r="M77" s="6"/>
      <c r="N77" s="6"/>
      <c r="O77" s="6"/>
      <c r="P77" s="5"/>
    </row>
    <row r="78" spans="1:18" s="38" customFormat="1" ht="12.75" customHeight="1">
      <c r="A78" s="4"/>
      <c r="B78" s="782" t="str">
        <f>"Tổng số SV có điểm Giỏi từ 8,5 đ đến 10 đ"</f>
        <v>Tổng số SV có điểm Giỏi từ 8,5 đ đến 10 đ</v>
      </c>
      <c r="C78" s="782"/>
      <c r="D78" s="782"/>
      <c r="E78" s="782"/>
      <c r="F78" s="782" t="str">
        <f>": "&amp;COUNTIF($P$11:$P$75,"Giỏi")&amp;" SV"</f>
        <v>: 0 SV</v>
      </c>
      <c r="G78" s="782"/>
      <c r="H78" s="782" t="str">
        <f>IF(B11="","","("&amp;ROUND(COUNTIF($P$11:$P$75,"Giỏi")*100/MAX($A$11:$A$75),2)&amp;"%" &amp;")")</f>
        <v>(0%)</v>
      </c>
      <c r="I78" s="782"/>
      <c r="J78" s="782"/>
      <c r="K78" s="782"/>
      <c r="L78" s="789" t="str">
        <f>IF(B11="","","Tổng số SV có điểm &gt;= 4 đ : "&amp;COUNTIF(O11:O75,"&gt;=4")&amp;" SV"&amp;" ("&amp;ROUND(COUNTIF(O11:O75,"&gt;=4")*100/MAX($A$11:$A$75),2)&amp;"%" &amp;")")</f>
        <v>Tổng số SV có điểm &gt;= 4 đ : 23 SV (65.71%)</v>
      </c>
      <c r="M78" s="789"/>
      <c r="N78" s="789"/>
      <c r="O78" s="789"/>
      <c r="P78" s="46"/>
    </row>
    <row r="79" spans="1:18" s="38" customFormat="1" ht="12.75" customHeight="1">
      <c r="A79" s="4"/>
      <c r="B79" s="782" t="str">
        <f>"Tổng số SV có điểm Khá từ 7 đ đến &lt;8,5 đ"</f>
        <v>Tổng số SV có điểm Khá từ 7 đ đến &lt;8,5 đ</v>
      </c>
      <c r="C79" s="782"/>
      <c r="D79" s="782"/>
      <c r="E79" s="782"/>
      <c r="F79" s="782" t="str">
        <f>": "&amp;COUNTIF($P$11:$P$75,"Khá")&amp;" SV"</f>
        <v>: 2 SV</v>
      </c>
      <c r="G79" s="782"/>
      <c r="H79" s="782" t="str">
        <f>IF(B11="","","("&amp;ROUND(COUNTIF($P$11:$P$75,"Khá")*100/MAX($A$11:$A$75),2)&amp;"%" &amp;")")</f>
        <v>(5.71%)</v>
      </c>
      <c r="I79" s="782"/>
      <c r="J79" s="782"/>
      <c r="K79" s="782"/>
      <c r="L79" s="789"/>
      <c r="M79" s="789"/>
      <c r="N79" s="789"/>
      <c r="O79" s="789"/>
      <c r="P79" s="46"/>
    </row>
    <row r="80" spans="1:18" s="38" customFormat="1" ht="12.75" customHeight="1">
      <c r="A80" s="4"/>
      <c r="B80" s="782" t="str">
        <f>"Tổng số SV có điểm Trung bình từ 5,5 đ đến &lt;7 đ"</f>
        <v>Tổng số SV có điểm Trung bình từ 5,5 đ đến &lt;7 đ</v>
      </c>
      <c r="C80" s="782"/>
      <c r="D80" s="782"/>
      <c r="E80" s="782"/>
      <c r="F80" s="782" t="str">
        <f>": "&amp;COUNTIF($P$11:$P$75,"TB")&amp;" SV"</f>
        <v>: 5 SV</v>
      </c>
      <c r="G80" s="782"/>
      <c r="H80" s="782" t="str">
        <f>IF(B11="","","("&amp;ROUND(COUNTIF($P$11:$P$75,"TB")*100/MAX($A$11:$A$75),2)&amp;"%" &amp;")")</f>
        <v>(14.29%)</v>
      </c>
      <c r="I80" s="782"/>
      <c r="J80" s="782"/>
      <c r="K80" s="782"/>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16 SV</v>
      </c>
      <c r="G81" s="782"/>
      <c r="H81" s="782" t="str">
        <f>IF(B11="","","("&amp;ROUND(COUNTIF($P$11:$P$75,"TBY")*100/MAX($A$11:$A$75),2)&amp;"%" &amp;")")</f>
        <v>(45.71%)</v>
      </c>
      <c r="I81" s="782"/>
      <c r="J81" s="782"/>
      <c r="K81" s="782"/>
      <c r="L81" s="794" t="str">
        <f>IF(B11="","","Tổng số SV có điểm &lt; 4 đ : "&amp;COUNTIF(O11:O75,"&lt;4")&amp;" SV"&amp;" ("&amp;ROUND(COUNTIF(O11:O75,"&lt;4")*100/MAX($A$11:$A$75),2)&amp;"%" &amp;")")</f>
        <v>Tổng số SV có điểm &lt; 4 đ : 12 SV (34.29%)</v>
      </c>
      <c r="M81" s="794"/>
      <c r="N81" s="794"/>
      <c r="O81" s="794"/>
      <c r="P81" s="94"/>
    </row>
    <row r="82" spans="1:16" s="38" customFormat="1" ht="12.75" customHeight="1">
      <c r="A82" s="4"/>
      <c r="B82" s="782" t="str">
        <f>"Tổng số SV có điểm kém &lt;4 đ"</f>
        <v>Tổng số SV có điểm kém &lt;4 đ</v>
      </c>
      <c r="C82" s="782"/>
      <c r="D82" s="782"/>
      <c r="E82" s="782"/>
      <c r="F82" s="782" t="str">
        <f>": "&amp;COUNTIF($P$11:$P$75,"Kém")&amp;" SV"</f>
        <v>: 12 SV</v>
      </c>
      <c r="G82" s="782"/>
      <c r="H82" s="782" t="str">
        <f>IF(B11="","","("&amp;ROUND(COUNTIF($P$11:$P$75,"Kém")*100/MAX($A$11:$A$75),2)&amp;"%"&amp;")")</f>
        <v>(34.29%)</v>
      </c>
      <c r="I82" s="782"/>
      <c r="J82" s="782"/>
      <c r="K82" s="782"/>
      <c r="L82" s="794"/>
      <c r="M82" s="794"/>
      <c r="N82" s="794"/>
      <c r="O82" s="794"/>
      <c r="P82" s="94"/>
    </row>
    <row r="83" spans="1:16" s="38" customFormat="1" ht="12.75" customHeight="1">
      <c r="A83" s="4"/>
      <c r="B83" s="782" t="str">
        <f>"Tổng số SV không xếp loại vì chưa đủ điều kiện"</f>
        <v>Tổng số SV không xếp loại vì chưa đủ điều kiện</v>
      </c>
      <c r="C83" s="782"/>
      <c r="D83" s="782"/>
      <c r="E83" s="782"/>
      <c r="F83" s="782" t="str">
        <f>": "&amp;COUNTIF($P$11:$P$75,"KXL")&amp;" SV"</f>
        <v>: 0 SV</v>
      </c>
      <c r="G83" s="782"/>
      <c r="H83" s="782" t="str">
        <f>IF(B11="","","("&amp;ROUND(COUNTIF($P$11:$P$75,"KXL")*100/MAX($A$11:$A$75),2)&amp;"%"&amp;")")</f>
        <v>(0%)</v>
      </c>
      <c r="I83" s="782"/>
      <c r="J83" s="782"/>
      <c r="K83" s="782"/>
      <c r="L83" s="794"/>
      <c r="M83" s="794"/>
      <c r="N83" s="794"/>
      <c r="O83" s="794"/>
      <c r="P83" s="94"/>
    </row>
    <row r="84" spans="1:16" ht="15.75">
      <c r="B84" s="47"/>
      <c r="C84" s="47"/>
      <c r="D84" s="47"/>
      <c r="E84" s="47"/>
      <c r="F84" s="47"/>
      <c r="G84" s="47"/>
      <c r="H84" s="47"/>
      <c r="I84" s="47"/>
      <c r="J84" s="47"/>
      <c r="K84" s="47"/>
      <c r="L84" s="47"/>
      <c r="M84" s="47"/>
      <c r="N84" s="47"/>
      <c r="O84" s="47"/>
    </row>
    <row r="85" spans="1:16" ht="15.75" customHeight="1">
      <c r="A85" s="781" t="s">
        <v>1427</v>
      </c>
      <c r="B85" s="781"/>
      <c r="C85" s="781"/>
      <c r="D85" s="781" t="s">
        <v>1515</v>
      </c>
      <c r="E85" s="781"/>
      <c r="F85" s="781"/>
      <c r="G85" s="781"/>
      <c r="H85" s="781"/>
      <c r="I85" s="84"/>
      <c r="J85" s="84"/>
      <c r="K85" s="781" t="s">
        <v>1516</v>
      </c>
      <c r="L85" s="781"/>
      <c r="M85" s="781"/>
      <c r="N85" s="781"/>
      <c r="O85" s="781"/>
      <c r="P85" s="781"/>
    </row>
  </sheetData>
  <sheetProtection password="E4CC" sheet="1" objects="1" scenarios="1" formatCells="0" formatRows="0"/>
  <dataConsolidate/>
  <mergeCells count="57">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H6:I6"/>
    <mergeCell ref="G7:I7"/>
    <mergeCell ref="J7:L7"/>
    <mergeCell ref="G10:L10"/>
    <mergeCell ref="I8:I9"/>
    <mergeCell ref="J8:J9"/>
    <mergeCell ref="K8:K9"/>
    <mergeCell ref="L8:L9"/>
    <mergeCell ref="C6:G6"/>
    <mergeCell ref="L6:N6"/>
    <mergeCell ref="Q8:Q9"/>
    <mergeCell ref="A1:F1"/>
    <mergeCell ref="A2:F2"/>
    <mergeCell ref="A4:M4"/>
    <mergeCell ref="A5:M5"/>
    <mergeCell ref="A3:F3"/>
    <mergeCell ref="H1:N1"/>
    <mergeCell ref="H2:N2"/>
    <mergeCell ref="M8:M9"/>
    <mergeCell ref="N8:N9"/>
    <mergeCell ref="H3:N3"/>
    <mergeCell ref="R8:R10"/>
    <mergeCell ref="B78:E78"/>
    <mergeCell ref="F78:G78"/>
    <mergeCell ref="L78:O80"/>
    <mergeCell ref="B77:E77"/>
    <mergeCell ref="F77:G77"/>
    <mergeCell ref="A76:P76"/>
    <mergeCell ref="O8:O10"/>
    <mergeCell ref="P8:P10"/>
    <mergeCell ref="B79:E79"/>
    <mergeCell ref="F79:G79"/>
    <mergeCell ref="B80:E80"/>
    <mergeCell ref="H78:K78"/>
    <mergeCell ref="F80:G80"/>
    <mergeCell ref="H79:K79"/>
    <mergeCell ref="H80:K80"/>
  </mergeCells>
  <phoneticPr fontId="12" type="noConversion"/>
  <conditionalFormatting sqref="O11:O75">
    <cfRule type="cellIs" dxfId="7"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3.xml><?xml version="1.0" encoding="utf-8"?>
<worksheet xmlns="http://schemas.openxmlformats.org/spreadsheetml/2006/main" xmlns:r="http://schemas.openxmlformats.org/officeDocument/2006/relationships">
  <sheetPr codeName="Sheet11"/>
  <dimension ref="A1:R85"/>
  <sheetViews>
    <sheetView workbookViewId="0">
      <pane ySplit="10" topLeftCell="A44" activePane="bottomLeft" state="frozen"/>
      <selection activeCell="G25" sqref="G25"/>
      <selection pane="bottomLeft" activeCell="G11" sqref="G11:N45"/>
    </sheetView>
  </sheetViews>
  <sheetFormatPr defaultRowHeight="12.75"/>
  <cols>
    <col min="1" max="1" width="3.85546875" style="5" bestFit="1" customWidth="1"/>
    <col min="2" max="2" width="13.5703125" style="5" bestFit="1" customWidth="1"/>
    <col min="3" max="3" width="20"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8" t="s">
        <v>1502</v>
      </c>
      <c r="B1" s="788"/>
      <c r="C1" s="788"/>
      <c r="D1" s="788"/>
      <c r="E1" s="788"/>
      <c r="F1" s="788"/>
      <c r="G1" s="79"/>
      <c r="H1" s="784" t="s">
        <v>1503</v>
      </c>
      <c r="I1" s="784"/>
      <c r="J1" s="784"/>
      <c r="K1" s="784"/>
      <c r="L1" s="784"/>
      <c r="M1" s="784"/>
      <c r="N1" s="784"/>
    </row>
    <row r="2" spans="1:18" ht="15.75">
      <c r="A2" s="787" t="s">
        <v>1504</v>
      </c>
      <c r="B2" s="787"/>
      <c r="C2" s="787"/>
      <c r="D2" s="787"/>
      <c r="E2" s="787"/>
      <c r="F2" s="787"/>
      <c r="G2" s="79"/>
      <c r="H2" s="784" t="s">
        <v>1505</v>
      </c>
      <c r="I2" s="784"/>
      <c r="J2" s="784"/>
      <c r="K2" s="784"/>
      <c r="L2" s="784"/>
      <c r="M2" s="784"/>
      <c r="N2" s="784"/>
    </row>
    <row r="3" spans="1:18" ht="15.75">
      <c r="A3" s="785" t="s">
        <v>1506</v>
      </c>
      <c r="B3" s="785"/>
      <c r="C3" s="785"/>
      <c r="D3" s="785"/>
      <c r="E3" s="785"/>
      <c r="F3" s="785"/>
      <c r="G3" s="80"/>
      <c r="H3" s="785" t="s">
        <v>1507</v>
      </c>
      <c r="I3" s="785"/>
      <c r="J3" s="785"/>
      <c r="K3" s="785"/>
      <c r="L3" s="785"/>
      <c r="M3" s="785"/>
      <c r="N3" s="785"/>
    </row>
    <row r="4" spans="1:18" ht="18.75">
      <c r="A4" s="786" t="s">
        <v>1508</v>
      </c>
      <c r="B4" s="786"/>
      <c r="C4" s="786"/>
      <c r="D4" s="786"/>
      <c r="E4" s="786"/>
      <c r="F4" s="786"/>
      <c r="G4" s="786"/>
      <c r="H4" s="786"/>
      <c r="I4" s="786"/>
      <c r="J4" s="786"/>
      <c r="K4" s="786"/>
      <c r="L4" s="786"/>
      <c r="M4" s="786"/>
    </row>
    <row r="5" spans="1:18" ht="18.75">
      <c r="A5" s="786"/>
      <c r="B5" s="786"/>
      <c r="C5" s="786"/>
      <c r="D5" s="786"/>
      <c r="E5" s="786"/>
      <c r="F5" s="786"/>
      <c r="G5" s="786"/>
      <c r="H5" s="786"/>
      <c r="I5" s="786"/>
      <c r="J5" s="786"/>
      <c r="K5" s="786"/>
      <c r="L5" s="786"/>
      <c r="M5" s="786"/>
    </row>
    <row r="6" spans="1:18" s="81" customFormat="1" ht="15">
      <c r="B6" s="82" t="s">
        <v>1509</v>
      </c>
      <c r="C6" s="780" t="str">
        <f>IF(L6="","",IF(VLOOKUP(L6,'LOP-MON'!$C$2:$N$55,6,FALSE)=0,"",VLOOKUP(L6,'LOP-MON'!$C$2:$N$55,6,FALSE)))</f>
        <v xml:space="preserve">Điện tử công suất </v>
      </c>
      <c r="D6" s="780"/>
      <c r="E6" s="780"/>
      <c r="F6" s="780"/>
      <c r="G6" s="780"/>
      <c r="H6" s="781" t="s">
        <v>1532</v>
      </c>
      <c r="I6" s="781"/>
      <c r="J6" s="83">
        <f>IF(L6="","",IF(VLOOKUP(CONCATENATE("TC",MID(L6,1,4),MID(L6,6,3)),'LOP-MON'!$C$2:$N$55,6,FALSE)=0,"",VLOOKUP(CONCATENATE("TC",MID(L6,1,4),MID(L6,6,3)),'LOP-MON'!$C$2:$N$55,6,FALSE)))</f>
        <v>2</v>
      </c>
      <c r="K6" s="82" t="s">
        <v>1424</v>
      </c>
      <c r="L6" s="780" t="str">
        <f>HKI!$D$3</f>
        <v>13CĐ-Đ1</v>
      </c>
      <c r="M6" s="780"/>
      <c r="N6" s="780"/>
    </row>
    <row r="7" spans="1:18" s="86" customFormat="1" ht="15">
      <c r="C7" s="45" t="s">
        <v>1510</v>
      </c>
      <c r="D7" s="45" t="s">
        <v>1511</v>
      </c>
      <c r="E7" s="87"/>
      <c r="G7" s="790" t="s">
        <v>1512</v>
      </c>
      <c r="H7" s="790"/>
      <c r="I7" s="790"/>
      <c r="J7" s="790" t="s">
        <v>90</v>
      </c>
      <c r="K7" s="790"/>
      <c r="L7" s="790"/>
      <c r="O7" s="88"/>
      <c r="P7" s="88"/>
    </row>
    <row r="8" spans="1:18" s="81" customFormat="1" ht="15" customHeight="1">
      <c r="A8" s="783" t="s">
        <v>1514</v>
      </c>
      <c r="B8" s="783" t="s">
        <v>1425</v>
      </c>
      <c r="C8" s="783" t="s">
        <v>1426</v>
      </c>
      <c r="D8" s="783"/>
      <c r="E8" s="783" t="s">
        <v>1518</v>
      </c>
      <c r="F8" s="791" t="s">
        <v>1521</v>
      </c>
      <c r="G8" s="791" t="s">
        <v>1522</v>
      </c>
      <c r="H8" s="791" t="s">
        <v>1523</v>
      </c>
      <c r="I8" s="791" t="s">
        <v>1524</v>
      </c>
      <c r="J8" s="791" t="s">
        <v>1525</v>
      </c>
      <c r="K8" s="791" t="s">
        <v>1526</v>
      </c>
      <c r="L8" s="791" t="s">
        <v>1527</v>
      </c>
      <c r="M8" s="791" t="s">
        <v>1528</v>
      </c>
      <c r="N8" s="791" t="s">
        <v>1529</v>
      </c>
      <c r="O8" s="791" t="s">
        <v>1520</v>
      </c>
      <c r="P8" s="805" t="s">
        <v>1517</v>
      </c>
      <c r="Q8" s="791" t="s">
        <v>1530</v>
      </c>
      <c r="R8" s="791" t="s">
        <v>1531</v>
      </c>
    </row>
    <row r="9" spans="1:18" s="89" customFormat="1" ht="28.5" customHeight="1">
      <c r="A9" s="783"/>
      <c r="B9" s="783"/>
      <c r="C9" s="783"/>
      <c r="D9" s="783"/>
      <c r="E9" s="783"/>
      <c r="F9" s="791"/>
      <c r="G9" s="791"/>
      <c r="H9" s="791"/>
      <c r="I9" s="791"/>
      <c r="J9" s="791"/>
      <c r="K9" s="791"/>
      <c r="L9" s="791"/>
      <c r="M9" s="791"/>
      <c r="N9" s="791"/>
      <c r="O9" s="791"/>
      <c r="P9" s="805"/>
      <c r="Q9" s="791"/>
      <c r="R9" s="791"/>
    </row>
    <row r="10" spans="1:18" s="89" customFormat="1" ht="15">
      <c r="A10" s="783"/>
      <c r="B10" s="783"/>
      <c r="C10" s="783"/>
      <c r="D10" s="783"/>
      <c r="E10" s="783"/>
      <c r="F10" s="9"/>
      <c r="G10" s="803">
        <v>0.2</v>
      </c>
      <c r="H10" s="791"/>
      <c r="I10" s="791"/>
      <c r="J10" s="791"/>
      <c r="K10" s="791"/>
      <c r="L10" s="791"/>
      <c r="M10" s="9">
        <v>0.3</v>
      </c>
      <c r="N10" s="9">
        <v>0.5</v>
      </c>
      <c r="O10" s="791"/>
      <c r="P10" s="805"/>
      <c r="Q10" s="10">
        <v>0.5</v>
      </c>
      <c r="R10" s="791"/>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200"/>
      <c r="G11" s="200">
        <v>5</v>
      </c>
      <c r="H11" s="200">
        <v>7</v>
      </c>
      <c r="I11" s="200"/>
      <c r="J11" s="200"/>
      <c r="K11" s="200"/>
      <c r="L11" s="200"/>
      <c r="M11" s="200">
        <v>7</v>
      </c>
      <c r="N11" s="552">
        <v>7</v>
      </c>
      <c r="O11" s="12">
        <f>IF(B11="","",IF(ISNUMBER(E11)=TRUE,E11,IF(COUNT(G11:N11)=0,"",IF(COUNT(G11:L11)=0,ROUND(0.3*M11+0.5*N11,1),ROUND(0.2*(SUM(G11:L11)/COUNT(G11:L11))+0.3*M11+0.5*N11,1)))))</f>
        <v>6.8</v>
      </c>
      <c r="P11" s="7" t="str">
        <f>IF(B11="","",IF(O11="","KXL",IF(O11&lt;4,"Kém",IF(O11&lt;5.5,"TBY",IF(O11&lt;7,"TB",IF(O11&lt;8.5,"Khá","Giỏi"))))))</f>
        <v>TB</v>
      </c>
      <c r="Q11" s="93" t="str">
        <f>IF(ISNUMBER(E11)=TRUE,"",IF(HKI!Z11="","",HKI!Z11))</f>
        <v/>
      </c>
      <c r="R11" s="93" t="str">
        <f>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201"/>
      <c r="G12" s="201">
        <v>4</v>
      </c>
      <c r="H12" s="201">
        <v>5</v>
      </c>
      <c r="I12" s="201"/>
      <c r="J12" s="201"/>
      <c r="K12" s="201"/>
      <c r="L12" s="201"/>
      <c r="M12" s="201">
        <v>0</v>
      </c>
      <c r="N12" s="552">
        <v>6.5</v>
      </c>
      <c r="O12" s="12">
        <f t="shared" ref="O12:O75" si="0">IF(B12="","",IF(ISNUMBER(E12)=TRUE,E12,IF(COUNT(G12:N12)=0,"",IF(COUNT(G12:L12)=0,ROUND(0.3*M12+0.5*N12,1),ROUND(0.2*(SUM(G12:L12)/COUNT(G12:L12))+0.3*M12+0.5*N12,1)))))</f>
        <v>4.2</v>
      </c>
      <c r="P12" s="7" t="str">
        <f t="shared" ref="P12:P75" si="1">IF(B12="","",IF(O12="","KXL",IF(O12&lt;4,"Kém",IF(O12&lt;5.5,"TBY",IF(O12&lt;7,"TB",IF(O12&lt;8.5,"Khá","Giỏi"))))))</f>
        <v>TBY</v>
      </c>
      <c r="Q12" s="93" t="str">
        <f>IF(ISNUMBER(E12)=TRUE,"",IF(HKI!Z12="","",HKI!Z12))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201"/>
      <c r="G13" s="201">
        <v>5</v>
      </c>
      <c r="H13" s="201">
        <v>8</v>
      </c>
      <c r="I13" s="201"/>
      <c r="J13" s="201"/>
      <c r="K13" s="201"/>
      <c r="L13" s="201"/>
      <c r="M13" s="201">
        <v>3</v>
      </c>
      <c r="N13" s="552">
        <v>6.5</v>
      </c>
      <c r="O13" s="12">
        <f t="shared" si="0"/>
        <v>5.5</v>
      </c>
      <c r="P13" s="7" t="str">
        <f t="shared" si="1"/>
        <v>TB</v>
      </c>
      <c r="Q13" s="93" t="str">
        <f>IF(ISNUMBER(E13)=TRUE,"",IF(HKI!Z13="","",HKI!Z13))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201"/>
      <c r="G14" s="201">
        <v>4</v>
      </c>
      <c r="H14" s="201">
        <v>6</v>
      </c>
      <c r="I14" s="201"/>
      <c r="J14" s="201"/>
      <c r="K14" s="201"/>
      <c r="L14" s="201"/>
      <c r="M14" s="201">
        <v>5</v>
      </c>
      <c r="N14" s="552">
        <v>6</v>
      </c>
      <c r="O14" s="12">
        <f t="shared" si="0"/>
        <v>5.5</v>
      </c>
      <c r="P14" s="7" t="str">
        <f t="shared" si="1"/>
        <v>TB</v>
      </c>
      <c r="Q14" s="93" t="str">
        <f>IF(ISNUMBER(E14)=TRUE,"",IF(HKI!Z14="","",HKI!Z14))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201"/>
      <c r="G15" s="201">
        <v>5</v>
      </c>
      <c r="H15" s="201">
        <v>9</v>
      </c>
      <c r="I15" s="201"/>
      <c r="J15" s="201"/>
      <c r="K15" s="201"/>
      <c r="L15" s="201"/>
      <c r="M15" s="201">
        <v>1</v>
      </c>
      <c r="N15" s="552">
        <v>7.5</v>
      </c>
      <c r="O15" s="12">
        <f t="shared" si="0"/>
        <v>5.5</v>
      </c>
      <c r="P15" s="7" t="str">
        <f t="shared" si="1"/>
        <v>TB</v>
      </c>
      <c r="Q15" s="93" t="str">
        <f>IF(ISNUMBER(E15)=TRUE,"",IF(HKI!Z15="","",HKI!Z15))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201"/>
      <c r="G16" s="201">
        <v>6</v>
      </c>
      <c r="H16" s="201">
        <v>8</v>
      </c>
      <c r="I16" s="201"/>
      <c r="J16" s="201"/>
      <c r="K16" s="201"/>
      <c r="L16" s="201"/>
      <c r="M16" s="201">
        <v>4</v>
      </c>
      <c r="N16" s="552">
        <v>7.5</v>
      </c>
      <c r="O16" s="12">
        <f t="shared" si="0"/>
        <v>6.4</v>
      </c>
      <c r="P16" s="7" t="str">
        <f t="shared" si="1"/>
        <v>TB</v>
      </c>
      <c r="Q16" s="93" t="str">
        <f>IF(ISNUMBER(E16)=TRUE,"",IF(HKI!Z16="","",HKI!Z16))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201"/>
      <c r="G17" s="201">
        <v>4</v>
      </c>
      <c r="H17" s="201">
        <v>8</v>
      </c>
      <c r="I17" s="201"/>
      <c r="J17" s="201"/>
      <c r="K17" s="201"/>
      <c r="L17" s="201"/>
      <c r="M17" s="201">
        <v>8</v>
      </c>
      <c r="N17" s="552">
        <v>5</v>
      </c>
      <c r="O17" s="12">
        <f t="shared" si="0"/>
        <v>6.1</v>
      </c>
      <c r="P17" s="7" t="str">
        <f t="shared" si="1"/>
        <v>TB</v>
      </c>
      <c r="Q17" s="93" t="str">
        <f>IF(ISNUMBER(E17)=TRUE,"",IF(HKI!Z17="","",HKI!Z17))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201"/>
      <c r="G18" s="201">
        <v>4</v>
      </c>
      <c r="H18" s="201">
        <v>4</v>
      </c>
      <c r="I18" s="201"/>
      <c r="J18" s="201"/>
      <c r="K18" s="201"/>
      <c r="L18" s="201"/>
      <c r="M18" s="201">
        <v>5</v>
      </c>
      <c r="N18" s="552">
        <v>5.3</v>
      </c>
      <c r="O18" s="12">
        <f t="shared" si="0"/>
        <v>5</v>
      </c>
      <c r="P18" s="7" t="str">
        <f t="shared" si="1"/>
        <v>TBY</v>
      </c>
      <c r="Q18" s="93" t="str">
        <f>IF(ISNUMBER(E18)=TRUE,"",IF(HKI!Z18="","",HKI!Z18))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201"/>
      <c r="G19" s="201">
        <v>3</v>
      </c>
      <c r="H19" s="201">
        <v>5</v>
      </c>
      <c r="I19" s="201"/>
      <c r="J19" s="201"/>
      <c r="K19" s="201"/>
      <c r="L19" s="201"/>
      <c r="M19" s="201">
        <v>0</v>
      </c>
      <c r="N19" s="552">
        <v>6.5</v>
      </c>
      <c r="O19" s="12">
        <f t="shared" si="0"/>
        <v>4.0999999999999996</v>
      </c>
      <c r="P19" s="7" t="str">
        <f t="shared" si="1"/>
        <v>TBY</v>
      </c>
      <c r="Q19" s="93" t="str">
        <f>IF(ISNUMBER(E19)=TRUE,"",IF(HKI!Z19="","",HKI!Z19))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201"/>
      <c r="G20" s="201">
        <v>4</v>
      </c>
      <c r="H20" s="201">
        <v>5</v>
      </c>
      <c r="I20" s="201"/>
      <c r="J20" s="201"/>
      <c r="K20" s="201"/>
      <c r="L20" s="201"/>
      <c r="M20" s="201">
        <v>9</v>
      </c>
      <c r="N20" s="552">
        <v>6.8</v>
      </c>
      <c r="O20" s="12">
        <f t="shared" si="0"/>
        <v>7</v>
      </c>
      <c r="P20" s="7" t="str">
        <f t="shared" si="1"/>
        <v>Khá</v>
      </c>
      <c r="Q20" s="93" t="str">
        <f>IF(ISNUMBER(E20)=TRUE,"",IF(HKI!Z20="","",HKI!Z20))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201"/>
      <c r="G21" s="201">
        <v>4</v>
      </c>
      <c r="H21" s="201">
        <v>6</v>
      </c>
      <c r="I21" s="201"/>
      <c r="J21" s="201"/>
      <c r="K21" s="201"/>
      <c r="L21" s="201"/>
      <c r="M21" s="201">
        <v>3</v>
      </c>
      <c r="N21" s="552">
        <v>7.5</v>
      </c>
      <c r="O21" s="12">
        <f t="shared" si="0"/>
        <v>5.7</v>
      </c>
      <c r="P21" s="7" t="str">
        <f t="shared" si="1"/>
        <v>TB</v>
      </c>
      <c r="Q21" s="93" t="str">
        <f>IF(ISNUMBER(E21)=TRUE,"",IF(HKI!Z21="","",HKI!Z21))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201"/>
      <c r="G22" s="201">
        <v>5</v>
      </c>
      <c r="H22" s="201">
        <v>5</v>
      </c>
      <c r="I22" s="201"/>
      <c r="J22" s="201"/>
      <c r="K22" s="201"/>
      <c r="L22" s="201"/>
      <c r="M22" s="201">
        <v>5</v>
      </c>
      <c r="N22" s="552">
        <v>7.5</v>
      </c>
      <c r="O22" s="12">
        <f t="shared" si="0"/>
        <v>6.3</v>
      </c>
      <c r="P22" s="7" t="str">
        <f t="shared" si="1"/>
        <v>TB</v>
      </c>
      <c r="Q22" s="93" t="str">
        <f>IF(ISNUMBER(E22)=TRUE,"",IF(HKI!Z22="","",HKI!Z22))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201"/>
      <c r="G23" s="201">
        <v>6</v>
      </c>
      <c r="H23" s="201">
        <v>8</v>
      </c>
      <c r="I23" s="201"/>
      <c r="J23" s="201"/>
      <c r="K23" s="201"/>
      <c r="L23" s="201"/>
      <c r="M23" s="201">
        <v>4</v>
      </c>
      <c r="N23" s="552">
        <v>7.5</v>
      </c>
      <c r="O23" s="12">
        <f t="shared" si="0"/>
        <v>6.4</v>
      </c>
      <c r="P23" s="7" t="str">
        <f t="shared" si="1"/>
        <v>TB</v>
      </c>
      <c r="Q23" s="93" t="str">
        <f>IF(ISNUMBER(E23)=TRUE,"",IF(HKI!Z23="","",HKI!Z23))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201"/>
      <c r="G24" s="201">
        <v>3</v>
      </c>
      <c r="H24" s="201">
        <v>4</v>
      </c>
      <c r="I24" s="201"/>
      <c r="J24" s="201"/>
      <c r="K24" s="201"/>
      <c r="L24" s="201"/>
      <c r="M24" s="201">
        <v>7</v>
      </c>
      <c r="N24" s="552">
        <v>6</v>
      </c>
      <c r="O24" s="12">
        <f t="shared" si="0"/>
        <v>5.8</v>
      </c>
      <c r="P24" s="7" t="str">
        <f t="shared" si="1"/>
        <v>TB</v>
      </c>
      <c r="Q24" s="93" t="str">
        <f>IF(ISNUMBER(E24)=TRUE,"",IF(HKI!Z24="","",HKI!Z24))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201"/>
      <c r="G25" s="201">
        <v>4</v>
      </c>
      <c r="H25" s="201">
        <v>8</v>
      </c>
      <c r="I25" s="201"/>
      <c r="J25" s="201"/>
      <c r="K25" s="201"/>
      <c r="L25" s="201"/>
      <c r="M25" s="201">
        <v>5</v>
      </c>
      <c r="N25" s="552">
        <v>6</v>
      </c>
      <c r="O25" s="12">
        <f t="shared" si="0"/>
        <v>5.7</v>
      </c>
      <c r="P25" s="7" t="str">
        <f t="shared" si="1"/>
        <v>TB</v>
      </c>
      <c r="Q25" s="93" t="str">
        <f>IF(ISNUMBER(E25)=TRUE,"",IF(HKI!Z25="","",HKI!Z25))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201"/>
      <c r="G26" s="201">
        <v>4</v>
      </c>
      <c r="H26" s="201">
        <v>5</v>
      </c>
      <c r="I26" s="201"/>
      <c r="J26" s="201"/>
      <c r="K26" s="201"/>
      <c r="L26" s="201"/>
      <c r="M26" s="201">
        <v>3</v>
      </c>
      <c r="N26" s="552">
        <v>5</v>
      </c>
      <c r="O26" s="12">
        <f t="shared" si="0"/>
        <v>4.3</v>
      </c>
      <c r="P26" s="7" t="str">
        <f t="shared" si="1"/>
        <v>TBY</v>
      </c>
      <c r="Q26" s="93" t="str">
        <f>IF(ISNUMBER(E26)=TRUE,"",IF(HKI!Z26="","",HKI!Z26))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201"/>
      <c r="G27" s="201">
        <v>6</v>
      </c>
      <c r="H27" s="201">
        <v>8</v>
      </c>
      <c r="I27" s="201"/>
      <c r="J27" s="201"/>
      <c r="K27" s="201"/>
      <c r="L27" s="201"/>
      <c r="M27" s="201">
        <v>4</v>
      </c>
      <c r="N27" s="552">
        <v>6.5</v>
      </c>
      <c r="O27" s="12">
        <f t="shared" si="0"/>
        <v>5.9</v>
      </c>
      <c r="P27" s="7" t="str">
        <f t="shared" si="1"/>
        <v>TB</v>
      </c>
      <c r="Q27" s="93" t="str">
        <f>IF(ISNUMBER(E27)=TRUE,"",IF(HKI!Z27="","",HKI!Z27))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201"/>
      <c r="G28" s="201">
        <v>4</v>
      </c>
      <c r="H28" s="201">
        <v>8</v>
      </c>
      <c r="I28" s="201"/>
      <c r="J28" s="201"/>
      <c r="K28" s="201"/>
      <c r="L28" s="201"/>
      <c r="M28" s="201">
        <v>2</v>
      </c>
      <c r="N28" s="552">
        <v>6.5</v>
      </c>
      <c r="O28" s="12">
        <f t="shared" si="0"/>
        <v>5.0999999999999996</v>
      </c>
      <c r="P28" s="7" t="str">
        <f t="shared" si="1"/>
        <v>TBY</v>
      </c>
      <c r="Q28" s="93" t="str">
        <f>IF(ISNUMBER(E28)=TRUE,"",IF(HKI!Z28="","",HKI!Z28))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201"/>
      <c r="G29" s="201">
        <v>4</v>
      </c>
      <c r="H29" s="201">
        <v>8</v>
      </c>
      <c r="I29" s="201"/>
      <c r="J29" s="201"/>
      <c r="K29" s="201"/>
      <c r="L29" s="201"/>
      <c r="M29" s="201">
        <v>1</v>
      </c>
      <c r="N29" s="553">
        <v>5.8</v>
      </c>
      <c r="O29" s="12">
        <f t="shared" si="0"/>
        <v>4.4000000000000004</v>
      </c>
      <c r="P29" s="7" t="str">
        <f t="shared" si="1"/>
        <v>TBY</v>
      </c>
      <c r="Q29" s="93" t="str">
        <f>IF(ISNUMBER(E29)=TRUE,"",IF(HKI!Z29="","",HKI!Z29))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201"/>
      <c r="G30" s="201">
        <v>5</v>
      </c>
      <c r="H30" s="201">
        <v>10</v>
      </c>
      <c r="I30" s="201"/>
      <c r="J30" s="201"/>
      <c r="K30" s="201"/>
      <c r="L30" s="201"/>
      <c r="M30" s="201">
        <v>5</v>
      </c>
      <c r="N30" s="552">
        <v>4.5</v>
      </c>
      <c r="O30" s="12">
        <f t="shared" si="0"/>
        <v>5.3</v>
      </c>
      <c r="P30" s="7" t="str">
        <f t="shared" si="1"/>
        <v>TBY</v>
      </c>
      <c r="Q30" s="93" t="str">
        <f>IF(ISNUMBER(E30)=TRUE,"",IF(HKI!Z30="","",HKI!Z30))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201"/>
      <c r="G31" s="201">
        <v>2</v>
      </c>
      <c r="H31" s="201">
        <v>3</v>
      </c>
      <c r="I31" s="201"/>
      <c r="J31" s="201"/>
      <c r="K31" s="201"/>
      <c r="L31" s="201"/>
      <c r="M31" s="201">
        <v>1</v>
      </c>
      <c r="N31" s="552">
        <v>5.8</v>
      </c>
      <c r="O31" s="12">
        <f t="shared" si="0"/>
        <v>3.7</v>
      </c>
      <c r="P31" s="7" t="str">
        <f t="shared" si="1"/>
        <v>Kém</v>
      </c>
      <c r="Q31" s="93" t="str">
        <f>IF(ISNUMBER(E31)=TRUE,"",IF(HKI!Z31="","",HKI!Z31))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201"/>
      <c r="G32" s="201">
        <v>4</v>
      </c>
      <c r="H32" s="201">
        <v>9</v>
      </c>
      <c r="I32" s="201"/>
      <c r="J32" s="201"/>
      <c r="K32" s="201"/>
      <c r="L32" s="201"/>
      <c r="M32" s="201">
        <v>9</v>
      </c>
      <c r="N32" s="552">
        <v>7.5</v>
      </c>
      <c r="O32" s="12">
        <f t="shared" si="0"/>
        <v>7.8</v>
      </c>
      <c r="P32" s="7" t="str">
        <f t="shared" si="1"/>
        <v>Khá</v>
      </c>
      <c r="Q32" s="93" t="str">
        <f>IF(ISNUMBER(E32)=TRUE,"",IF(HKI!Z32="","",HKI!Z32))</f>
        <v/>
      </c>
      <c r="R32" s="93" t="str">
        <f t="shared" si="2"/>
        <v/>
      </c>
    </row>
    <row r="33" spans="1:18" ht="15.75">
      <c r="A33" s="2">
        <f>IF(OR($C$6="",$J$6=""),"",IF(B33="","",SUBTOTAL(3,$B$11:B33)))</f>
        <v>23</v>
      </c>
      <c r="B33" s="90" t="str">
        <f>IF(OR($C$6="",$J$6="",$L$6=""),"",IF(HKI!B33="","",HKI!B33))</f>
        <v>13D301Đ101</v>
      </c>
      <c r="C33" s="91" t="str">
        <f>IF($B33="","",VLOOKUP($B33,'DS LOP HKI'!$B$2:$F$2642,2,0))</f>
        <v>Huỳnh Thanh</v>
      </c>
      <c r="D33" s="92" t="str">
        <f>IF($B33="","",VLOOKUP($B33,'DS LOP HKI'!$B$2:$F$2642,3,0))</f>
        <v>Phú</v>
      </c>
      <c r="E33" s="144"/>
      <c r="F33" s="201"/>
      <c r="G33" s="201">
        <v>1</v>
      </c>
      <c r="H33" s="201">
        <v>0</v>
      </c>
      <c r="I33" s="201"/>
      <c r="J33" s="201"/>
      <c r="K33" s="201"/>
      <c r="L33" s="201"/>
      <c r="M33" s="201">
        <v>0</v>
      </c>
      <c r="N33" s="554">
        <v>0</v>
      </c>
      <c r="O33" s="12">
        <f t="shared" si="0"/>
        <v>0.1</v>
      </c>
      <c r="P33" s="7" t="str">
        <f t="shared" si="1"/>
        <v>Kém</v>
      </c>
      <c r="Q33" s="93" t="str">
        <f>IF(ISNUMBER(E33)=TRUE,"",IF(HKI!Z33="","",HKI!Z33))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201"/>
      <c r="G34" s="201">
        <v>5</v>
      </c>
      <c r="H34" s="201">
        <v>9</v>
      </c>
      <c r="I34" s="201"/>
      <c r="J34" s="201"/>
      <c r="K34" s="201"/>
      <c r="L34" s="201"/>
      <c r="M34" s="201">
        <v>9</v>
      </c>
      <c r="N34" s="552">
        <v>6</v>
      </c>
      <c r="O34" s="12">
        <f t="shared" si="0"/>
        <v>7.1</v>
      </c>
      <c r="P34" s="7" t="str">
        <f t="shared" si="1"/>
        <v>Khá</v>
      </c>
      <c r="Q34" s="93" t="str">
        <f>IF(ISNUMBER(E34)=TRUE,"",IF(HKI!Z34="","",HKI!Z34))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201"/>
      <c r="G35" s="201">
        <v>2</v>
      </c>
      <c r="H35" s="201">
        <v>5</v>
      </c>
      <c r="I35" s="201"/>
      <c r="J35" s="201"/>
      <c r="K35" s="201"/>
      <c r="L35" s="201"/>
      <c r="M35" s="201">
        <v>4</v>
      </c>
      <c r="N35" s="552">
        <v>4</v>
      </c>
      <c r="O35" s="12">
        <f t="shared" si="0"/>
        <v>3.9</v>
      </c>
      <c r="P35" s="7" t="str">
        <f t="shared" si="1"/>
        <v>Kém</v>
      </c>
      <c r="Q35" s="93" t="str">
        <f>IF(ISNUMBER(E35)=TRUE,"",IF(HKI!Z35="","",HKI!Z35))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201"/>
      <c r="G36" s="201">
        <v>4</v>
      </c>
      <c r="H36" s="201">
        <v>8</v>
      </c>
      <c r="I36" s="201"/>
      <c r="J36" s="201"/>
      <c r="K36" s="201"/>
      <c r="L36" s="201"/>
      <c r="M36" s="201">
        <v>4</v>
      </c>
      <c r="N36" s="552">
        <v>7</v>
      </c>
      <c r="O36" s="12">
        <f t="shared" si="0"/>
        <v>5.9</v>
      </c>
      <c r="P36" s="7" t="str">
        <f t="shared" si="1"/>
        <v>TB</v>
      </c>
      <c r="Q36" s="93" t="str">
        <f>IF(ISNUMBER(E36)=TRUE,"",IF(HKI!Z36="","",HKI!Z36))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201"/>
      <c r="G37" s="201">
        <v>4</v>
      </c>
      <c r="H37" s="201">
        <v>5</v>
      </c>
      <c r="I37" s="201"/>
      <c r="J37" s="201"/>
      <c r="K37" s="201"/>
      <c r="L37" s="201"/>
      <c r="M37" s="201">
        <v>2</v>
      </c>
      <c r="N37" s="552">
        <v>7.5</v>
      </c>
      <c r="O37" s="12">
        <f t="shared" si="0"/>
        <v>5.3</v>
      </c>
      <c r="P37" s="7" t="str">
        <f t="shared" si="1"/>
        <v>TBY</v>
      </c>
      <c r="Q37" s="93" t="str">
        <f>IF(ISNUMBER(E37)=TRUE,"",IF(HKI!Z37="","",HKI!Z37))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201"/>
      <c r="G38" s="201">
        <v>3</v>
      </c>
      <c r="H38" s="201">
        <v>3</v>
      </c>
      <c r="I38" s="201"/>
      <c r="J38" s="201"/>
      <c r="K38" s="201"/>
      <c r="L38" s="201"/>
      <c r="M38" s="201">
        <v>1</v>
      </c>
      <c r="N38" s="552">
        <v>4.3</v>
      </c>
      <c r="O38" s="12">
        <f t="shared" si="0"/>
        <v>3.1</v>
      </c>
      <c r="P38" s="7" t="str">
        <f t="shared" si="1"/>
        <v>Kém</v>
      </c>
      <c r="Q38" s="93" t="str">
        <f>IF(ISNUMBER(E38)=TRUE,"",IF(HKI!Z38="","",HKI!Z38))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201"/>
      <c r="G39" s="201">
        <v>6</v>
      </c>
      <c r="H39" s="201">
        <v>7</v>
      </c>
      <c r="I39" s="201"/>
      <c r="J39" s="201"/>
      <c r="K39" s="201"/>
      <c r="L39" s="201"/>
      <c r="M39" s="201">
        <v>4</v>
      </c>
      <c r="N39" s="552">
        <v>8</v>
      </c>
      <c r="O39" s="12">
        <f t="shared" si="0"/>
        <v>6.5</v>
      </c>
      <c r="P39" s="7" t="str">
        <f t="shared" si="1"/>
        <v>TB</v>
      </c>
      <c r="Q39" s="93" t="str">
        <f>IF(ISNUMBER(E39)=TRUE,"",IF(HKI!Z39="","",HKI!Z39))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201"/>
      <c r="G40" s="201">
        <v>4</v>
      </c>
      <c r="H40" s="201">
        <v>4</v>
      </c>
      <c r="I40" s="201"/>
      <c r="J40" s="201"/>
      <c r="K40" s="201"/>
      <c r="L40" s="201"/>
      <c r="M40" s="201">
        <v>5</v>
      </c>
      <c r="N40" s="552">
        <v>4</v>
      </c>
      <c r="O40" s="12">
        <f t="shared" si="0"/>
        <v>4.3</v>
      </c>
      <c r="P40" s="7" t="str">
        <f t="shared" si="1"/>
        <v>TBY</v>
      </c>
      <c r="Q40" s="93" t="str">
        <f>IF(ISNUMBER(E40)=TRUE,"",IF(HKI!Z40="","",HKI!Z40))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201"/>
      <c r="G41" s="201">
        <v>4</v>
      </c>
      <c r="H41" s="201">
        <v>4</v>
      </c>
      <c r="I41" s="201"/>
      <c r="J41" s="201"/>
      <c r="K41" s="201"/>
      <c r="L41" s="201"/>
      <c r="M41" s="201">
        <v>7</v>
      </c>
      <c r="N41" s="552">
        <v>6</v>
      </c>
      <c r="O41" s="12">
        <f t="shared" si="0"/>
        <v>5.9</v>
      </c>
      <c r="P41" s="7" t="str">
        <f t="shared" si="1"/>
        <v>TB</v>
      </c>
      <c r="Q41" s="93" t="str">
        <f>IF(ISNUMBER(E41)=TRUE,"",IF(HKI!Z41="","",HKI!Z41))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201"/>
      <c r="G42" s="201">
        <v>4</v>
      </c>
      <c r="H42" s="201">
        <v>4</v>
      </c>
      <c r="I42" s="201"/>
      <c r="J42" s="201"/>
      <c r="K42" s="201"/>
      <c r="L42" s="201"/>
      <c r="M42" s="201">
        <v>4</v>
      </c>
      <c r="N42" s="552">
        <v>6.5</v>
      </c>
      <c r="O42" s="12">
        <f t="shared" si="0"/>
        <v>5.3</v>
      </c>
      <c r="P42" s="7" t="str">
        <f t="shared" si="1"/>
        <v>TBY</v>
      </c>
      <c r="Q42" s="93" t="str">
        <f>IF(ISNUMBER(E42)=TRUE,"",IF(HKI!Z42="","",HKI!Z42))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201"/>
      <c r="G43" s="201">
        <v>4</v>
      </c>
      <c r="H43" s="201">
        <v>7</v>
      </c>
      <c r="I43" s="201"/>
      <c r="J43" s="201"/>
      <c r="K43" s="201"/>
      <c r="L43" s="201"/>
      <c r="M43" s="201">
        <v>5</v>
      </c>
      <c r="N43" s="552">
        <v>7</v>
      </c>
      <c r="O43" s="12">
        <f t="shared" si="0"/>
        <v>6.1</v>
      </c>
      <c r="P43" s="7" t="str">
        <f t="shared" si="1"/>
        <v>TB</v>
      </c>
      <c r="Q43" s="93" t="str">
        <f>IF(ISNUMBER(E43)=TRUE,"",IF(HKI!Z43="","",HKI!Z43))</f>
        <v/>
      </c>
      <c r="R43" s="93" t="str">
        <f t="shared" si="2"/>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201"/>
      <c r="G44" s="201">
        <v>5</v>
      </c>
      <c r="H44" s="201">
        <v>8</v>
      </c>
      <c r="I44" s="201"/>
      <c r="J44" s="201"/>
      <c r="K44" s="201"/>
      <c r="L44" s="201"/>
      <c r="M44" s="201">
        <v>5</v>
      </c>
      <c r="N44" s="552">
        <v>7.5</v>
      </c>
      <c r="O44" s="12">
        <f t="shared" si="0"/>
        <v>6.6</v>
      </c>
      <c r="P44" s="7" t="str">
        <f t="shared" si="1"/>
        <v>TB</v>
      </c>
      <c r="Q44" s="93" t="str">
        <f>IF(ISNUMBER(E44)=TRUE,"",IF(HKI!Z44="","",HKI!Z44))</f>
        <v/>
      </c>
      <c r="R44" s="93" t="str">
        <f t="shared" si="2"/>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201"/>
      <c r="G45" s="201">
        <v>6</v>
      </c>
      <c r="H45" s="201">
        <v>6</v>
      </c>
      <c r="I45" s="201"/>
      <c r="J45" s="201"/>
      <c r="K45" s="201"/>
      <c r="L45" s="201"/>
      <c r="M45" s="201">
        <v>4</v>
      </c>
      <c r="N45" s="552">
        <v>7.5</v>
      </c>
      <c r="O45" s="12">
        <f t="shared" si="0"/>
        <v>6.2</v>
      </c>
      <c r="P45" s="7" t="str">
        <f t="shared" si="1"/>
        <v>TB</v>
      </c>
      <c r="Q45" s="93" t="str">
        <f>IF(ISNUMBER(E45)=TRUE,"",IF(HKI!Z45="","",HKI!Z45))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1"/>
      <c r="G46" s="262"/>
      <c r="H46" s="262"/>
      <c r="I46" s="262"/>
      <c r="J46" s="201"/>
      <c r="K46" s="201"/>
      <c r="L46" s="201"/>
      <c r="M46" s="262"/>
      <c r="N46" s="262"/>
      <c r="O46" s="12" t="str">
        <f t="shared" si="0"/>
        <v/>
      </c>
      <c r="P46" s="7" t="str">
        <f t="shared" si="1"/>
        <v/>
      </c>
      <c r="Q46" s="93" t="str">
        <f>IF(ISNUMBER(E46)=TRUE,"",IF(HKI!Z46="","",HKI!Z46))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201"/>
      <c r="G47" s="262"/>
      <c r="H47" s="262"/>
      <c r="I47" s="262"/>
      <c r="J47" s="201"/>
      <c r="K47" s="201"/>
      <c r="L47" s="201"/>
      <c r="M47" s="262"/>
      <c r="N47" s="262"/>
      <c r="O47" s="12" t="str">
        <f t="shared" si="0"/>
        <v/>
      </c>
      <c r="P47" s="7" t="str">
        <f t="shared" si="1"/>
        <v/>
      </c>
      <c r="Q47" s="93" t="str">
        <f>IF(ISNUMBER(E47)=TRUE,"",IF(HKI!Z47="","",HKI!Z47))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201"/>
      <c r="G48" s="262"/>
      <c r="H48" s="262"/>
      <c r="I48" s="262"/>
      <c r="J48" s="201"/>
      <c r="K48" s="201"/>
      <c r="L48" s="201"/>
      <c r="M48" s="262"/>
      <c r="N48" s="262"/>
      <c r="O48" s="12" t="str">
        <f t="shared" si="0"/>
        <v/>
      </c>
      <c r="P48" s="7" t="str">
        <f t="shared" si="1"/>
        <v/>
      </c>
      <c r="Q48" s="93" t="str">
        <f>IF(ISNUMBER(E48)=TRUE,"",IF(HKI!Z48="","",HKI!Z48))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201"/>
      <c r="G49" s="262"/>
      <c r="H49" s="262"/>
      <c r="I49" s="262"/>
      <c r="J49" s="201"/>
      <c r="K49" s="201"/>
      <c r="L49" s="201"/>
      <c r="M49" s="262"/>
      <c r="N49" s="262"/>
      <c r="O49" s="12" t="str">
        <f t="shared" si="0"/>
        <v/>
      </c>
      <c r="P49" s="7" t="str">
        <f t="shared" si="1"/>
        <v/>
      </c>
      <c r="Q49" s="93" t="str">
        <f>IF(ISNUMBER(E49)=TRUE,"",IF(HKI!Z49="","",HKI!Z49))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201"/>
      <c r="G50" s="262"/>
      <c r="H50" s="262"/>
      <c r="I50" s="262"/>
      <c r="J50" s="201"/>
      <c r="K50" s="201"/>
      <c r="L50" s="201"/>
      <c r="M50" s="262"/>
      <c r="N50" s="262"/>
      <c r="O50" s="12" t="str">
        <f t="shared" si="0"/>
        <v/>
      </c>
      <c r="P50" s="7" t="str">
        <f t="shared" si="1"/>
        <v/>
      </c>
      <c r="Q50" s="93" t="str">
        <f>IF(ISNUMBER(E50)=TRUE,"",IF(HKI!Z50="","",HKI!Z50))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201"/>
      <c r="G51" s="262"/>
      <c r="H51" s="262"/>
      <c r="I51" s="262"/>
      <c r="J51" s="201"/>
      <c r="K51" s="201"/>
      <c r="L51" s="201"/>
      <c r="M51" s="262"/>
      <c r="N51" s="262"/>
      <c r="O51" s="12" t="str">
        <f t="shared" si="0"/>
        <v/>
      </c>
      <c r="P51" s="7" t="str">
        <f t="shared" si="1"/>
        <v/>
      </c>
      <c r="Q51" s="93" t="str">
        <f>IF(ISNUMBER(E51)=TRUE,"",IF(HKI!Z51="","",HKI!Z51))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201"/>
      <c r="G52" s="262"/>
      <c r="H52" s="262"/>
      <c r="I52" s="262"/>
      <c r="J52" s="201"/>
      <c r="K52" s="201"/>
      <c r="L52" s="201"/>
      <c r="M52" s="262"/>
      <c r="N52" s="262"/>
      <c r="O52" s="12" t="str">
        <f t="shared" si="0"/>
        <v/>
      </c>
      <c r="P52" s="7" t="str">
        <f t="shared" si="1"/>
        <v/>
      </c>
      <c r="Q52" s="93" t="str">
        <f>IF(ISNUMBER(E52)=TRUE,"",IF(HKI!Z52="","",HKI!Z52))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201"/>
      <c r="G53" s="262"/>
      <c r="H53" s="262"/>
      <c r="I53" s="262"/>
      <c r="J53" s="201"/>
      <c r="K53" s="201"/>
      <c r="L53" s="201"/>
      <c r="M53" s="262"/>
      <c r="N53" s="262"/>
      <c r="O53" s="12" t="str">
        <f t="shared" si="0"/>
        <v/>
      </c>
      <c r="P53" s="7" t="str">
        <f t="shared" si="1"/>
        <v/>
      </c>
      <c r="Q53" s="93" t="str">
        <f>IF(ISNUMBER(E53)=TRUE,"",IF(HKI!Z53="","",HKI!Z53))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201"/>
      <c r="G54" s="262"/>
      <c r="H54" s="262"/>
      <c r="I54" s="262"/>
      <c r="J54" s="201"/>
      <c r="K54" s="201"/>
      <c r="L54" s="201"/>
      <c r="M54" s="262"/>
      <c r="N54" s="262"/>
      <c r="O54" s="12" t="str">
        <f t="shared" si="0"/>
        <v/>
      </c>
      <c r="P54" s="7" t="str">
        <f t="shared" si="1"/>
        <v/>
      </c>
      <c r="Q54" s="93" t="str">
        <f>IF(ISNUMBER(E54)=TRUE,"",IF(HKI!Z54="","",HKI!Z54))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201"/>
      <c r="G55" s="262"/>
      <c r="H55" s="262"/>
      <c r="I55" s="262"/>
      <c r="J55" s="201"/>
      <c r="K55" s="201"/>
      <c r="L55" s="201"/>
      <c r="M55" s="262"/>
      <c r="N55" s="262"/>
      <c r="O55" s="12" t="str">
        <f t="shared" si="0"/>
        <v/>
      </c>
      <c r="P55" s="7" t="str">
        <f t="shared" si="1"/>
        <v/>
      </c>
      <c r="Q55" s="93" t="str">
        <f>IF(ISNUMBER(E55)=TRUE,"",IF(HKI!Z55="","",HKI!Z55))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201"/>
      <c r="G56" s="262"/>
      <c r="H56" s="262"/>
      <c r="I56" s="262"/>
      <c r="J56" s="201"/>
      <c r="K56" s="201"/>
      <c r="L56" s="201"/>
      <c r="M56" s="262"/>
      <c r="N56" s="262"/>
      <c r="O56" s="12" t="str">
        <f t="shared" si="0"/>
        <v/>
      </c>
      <c r="P56" s="7" t="str">
        <f t="shared" si="1"/>
        <v/>
      </c>
      <c r="Q56" s="93" t="str">
        <f>IF(ISNUMBER(E56)=TRUE,"",IF(HKI!Z56="","",HKI!Z56))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0"/>
        <v/>
      </c>
      <c r="P57" s="7" t="str">
        <f t="shared" si="1"/>
        <v/>
      </c>
      <c r="Q57" s="93" t="str">
        <f>IF(ISNUMBER(E57)=TRUE,"",IF(HKI!Z57="","",HKI!Z57))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262"/>
      <c r="I58" s="262"/>
      <c r="J58" s="111"/>
      <c r="K58" s="111"/>
      <c r="L58" s="111"/>
      <c r="M58" s="262"/>
      <c r="N58" s="262"/>
      <c r="O58" s="12" t="str">
        <f t="shared" si="0"/>
        <v/>
      </c>
      <c r="P58" s="7" t="str">
        <f t="shared" si="1"/>
        <v/>
      </c>
      <c r="Q58" s="93" t="str">
        <f>IF(ISNUMBER(E58)=TRUE,"",IF(HKI!Z58="","",HKI!Z58))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0"/>
        <v/>
      </c>
      <c r="P59" s="7" t="str">
        <f t="shared" si="1"/>
        <v/>
      </c>
      <c r="Q59" s="93" t="str">
        <f>IF(ISNUMBER(E59)=TRUE,"",IF(HKI!Z59="","",HKI!Z59))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0"/>
        <v/>
      </c>
      <c r="P60" s="7" t="str">
        <f t="shared" si="1"/>
        <v/>
      </c>
      <c r="Q60" s="93" t="str">
        <f>IF(ISNUMBER(E60)=TRUE,"",IF(HKI!Z60="","",HKI!Z60))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IF(ISNUMBER(E61)=TRUE,"",IF(HKI!Z61="","",HKI!Z61))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IF(ISNUMBER(E62)=TRUE,"",IF(HKI!Z62="","",HKI!Z62))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IF(ISNUMBER(E63)=TRUE,"",IF(HKI!Z63="","",HKI!Z63))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IF(ISNUMBER(E64)=TRUE,"",IF(HKI!Z64="","",HKI!Z64))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IF(ISNUMBER(E65)=TRUE,"",IF(HKI!Z65="","",HKI!Z65))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IF(ISNUMBER(E66)=TRUE,"",IF(HKI!Z66="","",HKI!Z66))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IF(ISNUMBER(E67)=TRUE,"",IF(HKI!Z67="","",HKI!Z67))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IF(ISNUMBER(E68)=TRUE,"",IF(HKI!Z68="","",HKI!Z68))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IF(ISNUMBER(E69)=TRUE,"",IF(HKI!Z69="","",HKI!Z69))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IF(ISNUMBER(E70)=TRUE,"",IF(HKI!Z70="","",HKI!Z70))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IF(ISNUMBER(E71)=TRUE,"",IF(HKI!Z71="","",HKI!Z71))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IF(ISNUMBER(E72)=TRUE,"",IF(HKI!Z72="","",HKI!Z72))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IF(ISNUMBER(E73)=TRUE,"",IF(HKI!Z73="","",HKI!Z73))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IF(ISNUMBER(E74)=TRUE,"",IF(HKI!Z74="","",HKI!Z74))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IF(ISNUMBER(E75)=TRUE,"",IF(HKI!Z75="","",HKI!Z75))</f>
        <v/>
      </c>
      <c r="R75" s="93" t="str">
        <f t="shared" si="2"/>
        <v/>
      </c>
    </row>
    <row r="76" spans="1:18" s="38" customFormat="1">
      <c r="A76" s="806" t="s">
        <v>1519</v>
      </c>
      <c r="B76" s="806"/>
      <c r="C76" s="806"/>
      <c r="D76" s="806"/>
      <c r="E76" s="806"/>
      <c r="F76" s="806"/>
      <c r="G76" s="806"/>
      <c r="H76" s="806"/>
      <c r="I76" s="806"/>
      <c r="J76" s="806"/>
      <c r="K76" s="806"/>
      <c r="L76" s="806"/>
      <c r="M76" s="806"/>
      <c r="N76" s="806"/>
      <c r="O76" s="806"/>
      <c r="P76" s="806"/>
    </row>
    <row r="77" spans="1:18" s="38" customFormat="1">
      <c r="A77" s="5"/>
      <c r="B77" s="793" t="str">
        <f>"Tổng danh sách có"</f>
        <v>Tổng danh sách có</v>
      </c>
      <c r="C77" s="793"/>
      <c r="D77" s="793"/>
      <c r="E77" s="793"/>
      <c r="F77" s="804" t="str">
        <f>": "&amp;MAX($A$11:$A$75)&amp;" SV"</f>
        <v>: 35 SV</v>
      </c>
      <c r="G77" s="804"/>
      <c r="L77" s="6"/>
      <c r="M77" s="6"/>
      <c r="N77" s="6"/>
      <c r="O77" s="6"/>
      <c r="P77" s="5"/>
    </row>
    <row r="78" spans="1:18" s="38" customFormat="1" ht="12.75" customHeight="1">
      <c r="A78" s="4"/>
      <c r="B78" s="782" t="str">
        <f>"Tổng số SV có điểm Giỏi từ 8,5 đ đến 10 đ"</f>
        <v>Tổng số SV có điểm Giỏi từ 8,5 đ đến 10 đ</v>
      </c>
      <c r="C78" s="782"/>
      <c r="D78" s="782"/>
      <c r="E78" s="782"/>
      <c r="F78" s="782" t="str">
        <f>": "&amp;COUNTIF($P$11:$P$75,"Giỏi")&amp;" SV"</f>
        <v>: 0 SV</v>
      </c>
      <c r="G78" s="782"/>
      <c r="H78" s="782" t="str">
        <f>IF(B11="","","("&amp;ROUND(COUNTIF($P$11:$P$75,"Giỏi")*100/MAX($A$11:$A$75),2)&amp;"%" &amp;")")</f>
        <v>(0%)</v>
      </c>
      <c r="I78" s="782"/>
      <c r="J78" s="782"/>
      <c r="K78" s="782"/>
      <c r="L78" s="789" t="str">
        <f>IF(B11="","","Tổng số SV có điểm &gt;= 4 đ : "&amp;COUNTIF(O11:O75,"&gt;=4")&amp;" SV"&amp;" ("&amp;ROUND(COUNTIF(O11:O75,"&gt;=4")*100/MAX($A$11:$A$75),2)&amp;"%" &amp;")")</f>
        <v>Tổng số SV có điểm &gt;= 4 đ : 31 SV (88.57%)</v>
      </c>
      <c r="M78" s="789"/>
      <c r="N78" s="789"/>
      <c r="O78" s="789"/>
      <c r="P78" s="46"/>
    </row>
    <row r="79" spans="1:18" s="38" customFormat="1" ht="12.75" customHeight="1">
      <c r="A79" s="4"/>
      <c r="B79" s="782" t="str">
        <f>"Tổng số SV có điểm Khá từ 7 đ đến &lt;8,5 đ"</f>
        <v>Tổng số SV có điểm Khá từ 7 đ đến &lt;8,5 đ</v>
      </c>
      <c r="C79" s="782"/>
      <c r="D79" s="782"/>
      <c r="E79" s="782"/>
      <c r="F79" s="782" t="str">
        <f>": "&amp;COUNTIF($P$11:$P$75,"Khá")&amp;" SV"</f>
        <v>: 3 SV</v>
      </c>
      <c r="G79" s="782"/>
      <c r="H79" s="782" t="str">
        <f>IF(B11="","","("&amp;ROUND(COUNTIF($P$11:$P$75,"Khá")*100/MAX($A$11:$A$75),2)&amp;"%" &amp;")")</f>
        <v>(8.57%)</v>
      </c>
      <c r="I79" s="782"/>
      <c r="J79" s="782"/>
      <c r="K79" s="782"/>
      <c r="L79" s="789"/>
      <c r="M79" s="789"/>
      <c r="N79" s="789"/>
      <c r="O79" s="789"/>
      <c r="P79" s="46"/>
    </row>
    <row r="80" spans="1:18" s="38" customFormat="1" ht="12.75" customHeight="1">
      <c r="A80" s="4"/>
      <c r="B80" s="782" t="str">
        <f>"Tổng số SV có điểm Trung bình từ 5,5 đ đến &lt;7 đ"</f>
        <v>Tổng số SV có điểm Trung bình từ 5,5 đ đến &lt;7 đ</v>
      </c>
      <c r="C80" s="782"/>
      <c r="D80" s="782"/>
      <c r="E80" s="782"/>
      <c r="F80" s="782" t="str">
        <f>": "&amp;COUNTIF($P$11:$P$75,"TB")&amp;" SV"</f>
        <v>: 18 SV</v>
      </c>
      <c r="G80" s="782"/>
      <c r="H80" s="782" t="str">
        <f>IF(B11="","","("&amp;ROUND(COUNTIF($P$11:$P$75,"TB")*100/MAX($A$11:$A$75),2)&amp;"%" &amp;")")</f>
        <v>(51.43%)</v>
      </c>
      <c r="I80" s="782"/>
      <c r="J80" s="782"/>
      <c r="K80" s="782"/>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10 SV</v>
      </c>
      <c r="G81" s="782"/>
      <c r="H81" s="782" t="str">
        <f>IF(B11="","","("&amp;ROUND(COUNTIF($P$11:$P$75,"TBY")*100/MAX($A$11:$A$75),2)&amp;"%" &amp;")")</f>
        <v>(28.57%)</v>
      </c>
      <c r="I81" s="782"/>
      <c r="J81" s="782"/>
      <c r="K81" s="782"/>
      <c r="L81" s="794" t="str">
        <f>IF(B11="","","Tổng số SV có điểm &lt; 4 đ : "&amp;COUNTIF(O11:O75,"&lt;4")&amp;" SV"&amp;" ("&amp;ROUND(COUNTIF(O11:O75,"&lt;4")*100/MAX($A$11:$A$75),2)&amp;"%" &amp;")")</f>
        <v>Tổng số SV có điểm &lt; 4 đ : 4 SV (11.43%)</v>
      </c>
      <c r="M81" s="794"/>
      <c r="N81" s="794"/>
      <c r="O81" s="794"/>
      <c r="P81" s="94"/>
    </row>
    <row r="82" spans="1:16" s="38" customFormat="1" ht="12.75" customHeight="1">
      <c r="A82" s="4"/>
      <c r="B82" s="782" t="str">
        <f>"Tổng số SV có điểm kém &lt;4 đ"</f>
        <v>Tổng số SV có điểm kém &lt;4 đ</v>
      </c>
      <c r="C82" s="782"/>
      <c r="D82" s="782"/>
      <c r="E82" s="782"/>
      <c r="F82" s="782" t="str">
        <f>": "&amp;COUNTIF($P$11:$P$75,"Kém")&amp;" SV"</f>
        <v>: 4 SV</v>
      </c>
      <c r="G82" s="782"/>
      <c r="H82" s="782" t="str">
        <f>IF(B11="","","("&amp;ROUND(COUNTIF($P$11:$P$75,"Kém")*100/MAX($A$11:$A$75),2)&amp;"%"&amp;")")</f>
        <v>(11.43%)</v>
      </c>
      <c r="I82" s="782"/>
      <c r="J82" s="782"/>
      <c r="K82" s="782"/>
      <c r="L82" s="794"/>
      <c r="M82" s="794"/>
      <c r="N82" s="794"/>
      <c r="O82" s="794"/>
      <c r="P82" s="94"/>
    </row>
    <row r="83" spans="1:16" s="38" customFormat="1" ht="12.75" customHeight="1">
      <c r="A83" s="4"/>
      <c r="B83" s="782" t="str">
        <f>"Tổng số SV không xếp loại vì chưa đủ điều kiện"</f>
        <v>Tổng số SV không xếp loại vì chưa đủ điều kiện</v>
      </c>
      <c r="C83" s="782"/>
      <c r="D83" s="782"/>
      <c r="E83" s="782"/>
      <c r="F83" s="782" t="str">
        <f>": "&amp;COUNTIF($P$11:$P$75,"KXL")&amp;" SV"</f>
        <v>: 0 SV</v>
      </c>
      <c r="G83" s="782"/>
      <c r="H83" s="782" t="str">
        <f>IF(B11="","","("&amp;ROUND(COUNTIF($P$11:$P$75,"KXL")*100/MAX($A$11:$A$75),2)&amp;"%"&amp;")")</f>
        <v>(0%)</v>
      </c>
      <c r="I83" s="782"/>
      <c r="J83" s="782"/>
      <c r="K83" s="782"/>
      <c r="L83" s="794"/>
      <c r="M83" s="794"/>
      <c r="N83" s="794"/>
      <c r="O83" s="794"/>
      <c r="P83" s="94"/>
    </row>
    <row r="84" spans="1:16" ht="15.75">
      <c r="B84" s="47"/>
      <c r="C84" s="47"/>
      <c r="D84" s="47"/>
      <c r="E84" s="47"/>
      <c r="F84" s="47"/>
      <c r="G84" s="47"/>
      <c r="H84" s="47"/>
      <c r="I84" s="47"/>
      <c r="J84" s="47"/>
      <c r="K84" s="47"/>
      <c r="L84" s="47"/>
      <c r="M84" s="47"/>
      <c r="N84" s="47"/>
      <c r="O84" s="47"/>
    </row>
    <row r="85" spans="1:16" ht="15.75" customHeight="1">
      <c r="A85" s="781" t="s">
        <v>1427</v>
      </c>
      <c r="B85" s="781"/>
      <c r="C85" s="781"/>
      <c r="D85" s="781" t="s">
        <v>1515</v>
      </c>
      <c r="E85" s="781"/>
      <c r="F85" s="781"/>
      <c r="G85" s="781"/>
      <c r="H85" s="781"/>
      <c r="I85" s="84"/>
      <c r="J85" s="84"/>
      <c r="K85" s="781" t="s">
        <v>1516</v>
      </c>
      <c r="L85" s="781"/>
      <c r="M85" s="781"/>
      <c r="N85" s="781"/>
      <c r="O85" s="781"/>
      <c r="P85" s="781"/>
    </row>
  </sheetData>
  <sheetProtection password="E4CC" sheet="1" objects="1" scenarios="1" formatCells="0" formatRows="0"/>
  <dataConsolidate/>
  <mergeCells count="57">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M8:M9"/>
    <mergeCell ref="G10:L10"/>
    <mergeCell ref="P8:P10"/>
    <mergeCell ref="O8:O10"/>
    <mergeCell ref="I8:I9"/>
    <mergeCell ref="J8:J9"/>
    <mergeCell ref="K8:K9"/>
    <mergeCell ref="L8:L9"/>
    <mergeCell ref="H6:I6"/>
    <mergeCell ref="G7:I7"/>
    <mergeCell ref="J7:L7"/>
    <mergeCell ref="C6:G6"/>
    <mergeCell ref="L6:N6"/>
    <mergeCell ref="A1:F1"/>
    <mergeCell ref="A2:F2"/>
    <mergeCell ref="A4:M4"/>
    <mergeCell ref="A5:M5"/>
    <mergeCell ref="A3:F3"/>
    <mergeCell ref="H1:N1"/>
    <mergeCell ref="H2:N2"/>
    <mergeCell ref="H3:N3"/>
    <mergeCell ref="R8:R10"/>
    <mergeCell ref="B80:E80"/>
    <mergeCell ref="F80:G80"/>
    <mergeCell ref="B78:E78"/>
    <mergeCell ref="F78:G78"/>
    <mergeCell ref="B79:E79"/>
    <mergeCell ref="F79:G79"/>
    <mergeCell ref="B77:E77"/>
    <mergeCell ref="F77:G77"/>
    <mergeCell ref="Q8:Q9"/>
    <mergeCell ref="N8:N9"/>
    <mergeCell ref="A76:P76"/>
    <mergeCell ref="H78:K78"/>
    <mergeCell ref="L78:O80"/>
    <mergeCell ref="H79:K79"/>
    <mergeCell ref="H80:K80"/>
  </mergeCells>
  <phoneticPr fontId="12" type="noConversion"/>
  <conditionalFormatting sqref="O11:O75">
    <cfRule type="cellIs" dxfId="6" priority="1" stopIfTrue="1" operator="lessThan">
      <formula>4</formula>
    </cfRule>
  </conditionalFormatting>
  <printOptions horizontalCentered="1"/>
  <pageMargins left="0" right="0" top="0.25" bottom="0.5" header="0.25" footer="0.25"/>
  <pageSetup paperSize="9" scale="85" orientation="portrait" horizontalDpi="1200" verticalDpi="1200" r:id="rId1"/>
  <headerFooter alignWithMargins="0"/>
</worksheet>
</file>

<file path=xl/worksheets/sheet14.xml><?xml version="1.0" encoding="utf-8"?>
<worksheet xmlns="http://schemas.openxmlformats.org/spreadsheetml/2006/main" xmlns:r="http://schemas.openxmlformats.org/officeDocument/2006/relationships">
  <sheetPr codeName="Sheet12"/>
  <dimension ref="A1:R85"/>
  <sheetViews>
    <sheetView workbookViewId="0">
      <pane ySplit="10" topLeftCell="A11" activePane="bottomLeft" state="frozen"/>
      <selection activeCell="G25" sqref="G25"/>
      <selection pane="bottomLeft" activeCell="X12" sqref="X12"/>
    </sheetView>
  </sheetViews>
  <sheetFormatPr defaultRowHeight="12.75"/>
  <cols>
    <col min="1" max="1" width="3.85546875" style="5" bestFit="1" customWidth="1"/>
    <col min="2" max="2" width="13.5703125" style="5" bestFit="1" customWidth="1"/>
    <col min="3" max="3" width="18.8554687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8" t="s">
        <v>1502</v>
      </c>
      <c r="B1" s="788"/>
      <c r="C1" s="788"/>
      <c r="D1" s="788"/>
      <c r="E1" s="788"/>
      <c r="F1" s="788"/>
      <c r="G1" s="79"/>
      <c r="H1" s="784" t="s">
        <v>1503</v>
      </c>
      <c r="I1" s="784"/>
      <c r="J1" s="784"/>
      <c r="K1" s="784"/>
      <c r="L1" s="784"/>
      <c r="M1" s="784"/>
      <c r="N1" s="784"/>
    </row>
    <row r="2" spans="1:18" ht="15.75">
      <c r="A2" s="787" t="s">
        <v>1504</v>
      </c>
      <c r="B2" s="787"/>
      <c r="C2" s="787"/>
      <c r="D2" s="787"/>
      <c r="E2" s="787"/>
      <c r="F2" s="787"/>
      <c r="G2" s="79"/>
      <c r="H2" s="784" t="s">
        <v>1505</v>
      </c>
      <c r="I2" s="784"/>
      <c r="J2" s="784"/>
      <c r="K2" s="784"/>
      <c r="L2" s="784"/>
      <c r="M2" s="784"/>
      <c r="N2" s="784"/>
    </row>
    <row r="3" spans="1:18" ht="15.75">
      <c r="A3" s="785" t="s">
        <v>1506</v>
      </c>
      <c r="B3" s="785"/>
      <c r="C3" s="785"/>
      <c r="D3" s="785"/>
      <c r="E3" s="785"/>
      <c r="F3" s="785"/>
      <c r="G3" s="80"/>
      <c r="H3" s="785" t="s">
        <v>1507</v>
      </c>
      <c r="I3" s="785"/>
      <c r="J3" s="785"/>
      <c r="K3" s="785"/>
      <c r="L3" s="785"/>
      <c r="M3" s="785"/>
      <c r="N3" s="785"/>
    </row>
    <row r="4" spans="1:18" ht="18.75">
      <c r="A4" s="786" t="s">
        <v>1508</v>
      </c>
      <c r="B4" s="786"/>
      <c r="C4" s="786"/>
      <c r="D4" s="786"/>
      <c r="E4" s="786"/>
      <c r="F4" s="786"/>
      <c r="G4" s="786"/>
      <c r="H4" s="786"/>
      <c r="I4" s="786"/>
      <c r="J4" s="786"/>
      <c r="K4" s="786"/>
      <c r="L4" s="786"/>
      <c r="M4" s="786"/>
    </row>
    <row r="5" spans="1:18" ht="18.75">
      <c r="A5" s="786"/>
      <c r="B5" s="786"/>
      <c r="C5" s="786"/>
      <c r="D5" s="786"/>
      <c r="E5" s="786"/>
      <c r="F5" s="786"/>
      <c r="G5" s="786"/>
      <c r="H5" s="786"/>
      <c r="I5" s="786"/>
      <c r="J5" s="786"/>
      <c r="K5" s="786"/>
      <c r="L5" s="786"/>
      <c r="M5" s="786"/>
    </row>
    <row r="6" spans="1:18" s="81" customFormat="1" ht="15">
      <c r="B6" s="82" t="s">
        <v>1509</v>
      </c>
      <c r="C6" s="780" t="str">
        <f>IF(L6="","",IF(VLOOKUP(L6,'LOP-MON'!$C$2:$N$55,7,FALSE)=0,"",VLOOKUP(L6,'LOP-MON'!$C$2:$N$55,7,FALSE)))</f>
        <v xml:space="preserve">Kỹ thuật truyền số liệu </v>
      </c>
      <c r="D6" s="780"/>
      <c r="E6" s="780"/>
      <c r="F6" s="780"/>
      <c r="G6" s="780"/>
      <c r="H6" s="781" t="s">
        <v>1532</v>
      </c>
      <c r="I6" s="781"/>
      <c r="J6" s="83">
        <f>IF(L6="","",IF(VLOOKUP(CONCATENATE("TC",MID(L6,1,4),MID(L6,6,3)),'LOP-MON'!$C$2:$N$55,7,FALSE)=0,"",VLOOKUP(CONCATENATE("TC",MID(L6,1,4),MID(L6,6,3)),'LOP-MON'!$C$2:$N$55,7,FALSE)))</f>
        <v>2</v>
      </c>
      <c r="K6" s="82" t="s">
        <v>1424</v>
      </c>
      <c r="L6" s="85" t="str">
        <f>HKI!$D$3</f>
        <v>13CĐ-Đ1</v>
      </c>
      <c r="M6" s="82"/>
      <c r="N6" s="82"/>
    </row>
    <row r="7" spans="1:18" s="86" customFormat="1" ht="15">
      <c r="C7" s="45" t="s">
        <v>1510</v>
      </c>
      <c r="D7" s="45" t="s">
        <v>1511</v>
      </c>
      <c r="E7" s="87"/>
      <c r="G7" s="790" t="s">
        <v>1512</v>
      </c>
      <c r="H7" s="790"/>
      <c r="I7" s="790"/>
      <c r="J7" s="790" t="s">
        <v>90</v>
      </c>
      <c r="K7" s="790"/>
      <c r="L7" s="790"/>
      <c r="O7" s="88"/>
      <c r="P7" s="88"/>
    </row>
    <row r="8" spans="1:18" s="81" customFormat="1" ht="15" customHeight="1">
      <c r="A8" s="783" t="s">
        <v>1514</v>
      </c>
      <c r="B8" s="783" t="s">
        <v>1425</v>
      </c>
      <c r="C8" s="783" t="s">
        <v>1426</v>
      </c>
      <c r="D8" s="783"/>
      <c r="E8" s="783" t="s">
        <v>1518</v>
      </c>
      <c r="F8" s="791" t="s">
        <v>1521</v>
      </c>
      <c r="G8" s="791" t="s">
        <v>1522</v>
      </c>
      <c r="H8" s="791" t="s">
        <v>1523</v>
      </c>
      <c r="I8" s="791" t="s">
        <v>1524</v>
      </c>
      <c r="J8" s="791" t="s">
        <v>1525</v>
      </c>
      <c r="K8" s="791" t="s">
        <v>1526</v>
      </c>
      <c r="L8" s="791" t="s">
        <v>1527</v>
      </c>
      <c r="M8" s="791" t="s">
        <v>1528</v>
      </c>
      <c r="N8" s="791" t="s">
        <v>1529</v>
      </c>
      <c r="O8" s="791" t="s">
        <v>1520</v>
      </c>
      <c r="P8" s="805" t="s">
        <v>1517</v>
      </c>
      <c r="Q8" s="791" t="s">
        <v>1530</v>
      </c>
      <c r="R8" s="791" t="s">
        <v>1531</v>
      </c>
    </row>
    <row r="9" spans="1:18" s="89" customFormat="1" ht="28.5" customHeight="1">
      <c r="A9" s="783"/>
      <c r="B9" s="783"/>
      <c r="C9" s="783"/>
      <c r="D9" s="783"/>
      <c r="E9" s="783"/>
      <c r="F9" s="791"/>
      <c r="G9" s="791"/>
      <c r="H9" s="791"/>
      <c r="I9" s="791"/>
      <c r="J9" s="791"/>
      <c r="K9" s="791"/>
      <c r="L9" s="791"/>
      <c r="M9" s="791"/>
      <c r="N9" s="791"/>
      <c r="O9" s="791"/>
      <c r="P9" s="805"/>
      <c r="Q9" s="791"/>
      <c r="R9" s="791"/>
    </row>
    <row r="10" spans="1:18" s="89" customFormat="1" ht="15">
      <c r="A10" s="783"/>
      <c r="B10" s="783"/>
      <c r="C10" s="783"/>
      <c r="D10" s="783"/>
      <c r="E10" s="783"/>
      <c r="F10" s="9"/>
      <c r="G10" s="803">
        <v>0.2</v>
      </c>
      <c r="H10" s="791"/>
      <c r="I10" s="791"/>
      <c r="J10" s="791"/>
      <c r="K10" s="791"/>
      <c r="L10" s="791"/>
      <c r="M10" s="9">
        <v>0.3</v>
      </c>
      <c r="N10" s="9">
        <v>0.5</v>
      </c>
      <c r="O10" s="791"/>
      <c r="P10" s="805"/>
      <c r="Q10" s="10">
        <v>0.5</v>
      </c>
      <c r="R10" s="791"/>
    </row>
    <row r="11" spans="1:18" ht="15.75">
      <c r="A11" s="2">
        <f>IF(OR($C$6="",$J$6="",L6=""),"",IF(B11="",1,SUBTOTAL(3,$B$11:B11)))</f>
        <v>1</v>
      </c>
      <c r="B11" s="90" t="str">
        <f>IF(OR($C$6="",$J$6="",$L$6=""),"",IF(HKI!B11="","",HKI!B11))</f>
        <v>13D301Đ001</v>
      </c>
      <c r="C11" s="91" t="str">
        <f>IF($B11="","",VLOOKUP($B11,'DS LOP HKI'!$B$2:$F$2642,2,0))</f>
        <v>Lương Hoàng Thuận</v>
      </c>
      <c r="D11" s="92" t="str">
        <f>IF($B11="","",VLOOKUP($B11,'DS LOP HKI'!$B$2:$F$2642,3,0))</f>
        <v>An</v>
      </c>
      <c r="E11" s="144"/>
      <c r="F11" s="141"/>
      <c r="G11" s="200">
        <v>7</v>
      </c>
      <c r="H11" s="200">
        <v>7</v>
      </c>
      <c r="I11" s="200"/>
      <c r="J11" s="200"/>
      <c r="K11" s="200"/>
      <c r="L11" s="200"/>
      <c r="M11" s="200">
        <v>5</v>
      </c>
      <c r="N11" s="552">
        <v>7.8</v>
      </c>
      <c r="O11" s="12">
        <f>IF(B11="","",IF(ISNUMBER(E11)=TRUE,E11,IF(COUNT(G11:N11)=0,"",IF(COUNT(G11:L11)=0,ROUND(0.3*M11+0.5*N11,1),ROUND(0.2*(SUM(G11:L11)/COUNT(G11:L11))+0.3*M11+0.5*N11,1)))))</f>
        <v>6.8</v>
      </c>
      <c r="P11" s="7" t="str">
        <f>IF(B11="","",IF(O11="","KXL",IF(O11&lt;4,"Kém",IF(O11&lt;5.5,"TBY",IF(O11&lt;7,"TB",IF(O11&lt;8.5,"Khá","Giỏi"))))))</f>
        <v>TB</v>
      </c>
      <c r="Q11" s="93" t="str">
        <f>IF(ISNUMBER(E11)=TRUE,"",IF(HKI!AD11="","",HKI!AD11))</f>
        <v/>
      </c>
      <c r="R11" s="93" t="str">
        <f>IF(B11="","",IF(Q11="","",IF(COUNT(G11:N11)=0,"",IF(N11&gt;=Q11,O11,IF(COUNT(G11:L11)=0,ROUND(0.3*M11+0.5*Q11,1),ROUND(0.2*(SUM(G11:L11)/COUNT(G11:L11))+0.3*M11+0.5*Q11,1))))))</f>
        <v/>
      </c>
    </row>
    <row r="12" spans="1:18" ht="15.75">
      <c r="A12" s="2">
        <f>IF(OR($C$6="",$J$6=""),"",IF(B12="","",SUBTOTAL(3,$B$11:B12)))</f>
        <v>2</v>
      </c>
      <c r="B12" s="90" t="str">
        <f>IF(OR($C$6="",$J$6="",$L$6=""),"",IF(HKI!B12="","",HKI!B12))</f>
        <v>13D301Đ009</v>
      </c>
      <c r="C12" s="91" t="str">
        <f>IF($B12="","",VLOOKUP($B12,'DS LOP HKI'!$B$2:$F$2642,2,0))</f>
        <v>Võ Thành</v>
      </c>
      <c r="D12" s="92" t="str">
        <f>IF($B12="","",VLOOKUP($B12,'DS LOP HKI'!$B$2:$F$2642,3,0))</f>
        <v>Bảo</v>
      </c>
      <c r="E12" s="144"/>
      <c r="F12" s="111"/>
      <c r="G12" s="201">
        <v>7</v>
      </c>
      <c r="H12" s="201">
        <v>7</v>
      </c>
      <c r="I12" s="201"/>
      <c r="J12" s="201"/>
      <c r="K12" s="201"/>
      <c r="L12" s="201"/>
      <c r="M12" s="201">
        <v>2</v>
      </c>
      <c r="N12" s="552">
        <v>4</v>
      </c>
      <c r="O12" s="12">
        <f t="shared" ref="O12:O75" si="0">IF(B12="","",IF(ISNUMBER(E12)=TRUE,E12,IF(COUNT(G12:N12)=0,"",IF(COUNT(G12:L12)=0,ROUND(0.3*M12+0.5*N12,1),ROUND(0.2*(SUM(G12:L12)/COUNT(G12:L12))+0.3*M12+0.5*N12,1)))))</f>
        <v>4</v>
      </c>
      <c r="P12" s="7" t="str">
        <f t="shared" ref="P12:P75" si="1">IF(B12="","",IF(O12="","KXL",IF(O12&lt;4,"Kém",IF(O12&lt;5.5,"TBY",IF(O12&lt;7,"TB",IF(O12&lt;8.5,"Khá","Giỏi"))))))</f>
        <v>TBY</v>
      </c>
      <c r="Q12" s="93" t="str">
        <f>IF(ISNUMBER(E12)=TRUE,"",IF(HKI!AD12="","",HKI!AD12))</f>
        <v/>
      </c>
      <c r="R12" s="93" t="str">
        <f t="shared" ref="R12:R75" si="2">IF(B12="","",IF(Q12="","",IF(COUNT(G12:N12)=0,"",IF(N12&gt;=Q12,O12,IF(COUNT(G12:L12)=0,ROUND(0.3*M12+0.5*Q12,1),ROUND(0.2*(SUM(G12:L12)/COUNT(G12:L12))+0.3*M12+0.5*Q12,1))))))</f>
        <v/>
      </c>
    </row>
    <row r="13" spans="1:18" ht="15.75">
      <c r="A13" s="2">
        <f>IF(OR($C$6="",$J$6=""),"",IF(B13="","",SUBTOTAL(3,$B$11:B13)))</f>
        <v>3</v>
      </c>
      <c r="B13" s="90" t="str">
        <f>IF(OR($C$6="",$J$6="",$L$6=""),"",IF(HKI!B13="","",HKI!B13))</f>
        <v>13D301Đ013</v>
      </c>
      <c r="C13" s="91" t="str">
        <f>IF($B13="","",VLOOKUP($B13,'DS LOP HKI'!$B$2:$F$2642,2,0))</f>
        <v>Nguyễn Chí</v>
      </c>
      <c r="D13" s="92" t="str">
        <f>IF($B13="","",VLOOKUP($B13,'DS LOP HKI'!$B$2:$F$2642,3,0))</f>
        <v>Bình</v>
      </c>
      <c r="E13" s="144"/>
      <c r="F13" s="111"/>
      <c r="G13" s="201">
        <v>8</v>
      </c>
      <c r="H13" s="201">
        <v>7</v>
      </c>
      <c r="I13" s="201"/>
      <c r="J13" s="201"/>
      <c r="K13" s="201"/>
      <c r="L13" s="201"/>
      <c r="M13" s="201">
        <v>5</v>
      </c>
      <c r="N13" s="552">
        <v>4</v>
      </c>
      <c r="O13" s="12">
        <f t="shared" si="0"/>
        <v>5</v>
      </c>
      <c r="P13" s="7" t="str">
        <f t="shared" si="1"/>
        <v>TBY</v>
      </c>
      <c r="Q13" s="93" t="str">
        <f>IF(ISNUMBER(E13)=TRUE,"",IF(HKI!AD13="","",HKI!AD13))</f>
        <v/>
      </c>
      <c r="R13" s="93" t="str">
        <f t="shared" si="2"/>
        <v/>
      </c>
    </row>
    <row r="14" spans="1:18" ht="15.75">
      <c r="A14" s="2">
        <f>IF(OR($C$6="",$J$6=""),"",IF(B14="","",SUBTOTAL(3,$B$11:B14)))</f>
        <v>4</v>
      </c>
      <c r="B14" s="90" t="str">
        <f>IF(OR($C$6="",$J$6="",$L$6=""),"",IF(HKI!B14="","",HKI!B14))</f>
        <v>13D301Đ017</v>
      </c>
      <c r="C14" s="91" t="str">
        <f>IF($B14="","",VLOOKUP($B14,'DS LOP HKI'!$B$2:$F$2642,2,0))</f>
        <v>Trần Văn</v>
      </c>
      <c r="D14" s="92" t="str">
        <f>IF($B14="","",VLOOKUP($B14,'DS LOP HKI'!$B$2:$F$2642,3,0))</f>
        <v>Chinh</v>
      </c>
      <c r="E14" s="144"/>
      <c r="F14" s="111"/>
      <c r="G14" s="201">
        <v>8</v>
      </c>
      <c r="H14" s="201">
        <v>7</v>
      </c>
      <c r="I14" s="201"/>
      <c r="J14" s="201"/>
      <c r="K14" s="201"/>
      <c r="L14" s="201"/>
      <c r="M14" s="201">
        <v>2</v>
      </c>
      <c r="N14" s="552">
        <v>4.5</v>
      </c>
      <c r="O14" s="12">
        <f t="shared" si="0"/>
        <v>4.4000000000000004</v>
      </c>
      <c r="P14" s="7" t="str">
        <f t="shared" si="1"/>
        <v>TBY</v>
      </c>
      <c r="Q14" s="93" t="str">
        <f>IF(ISNUMBER(E14)=TRUE,"",IF(HKI!AD14="","",HKI!AD14))</f>
        <v/>
      </c>
      <c r="R14" s="93" t="str">
        <f t="shared" si="2"/>
        <v/>
      </c>
    </row>
    <row r="15" spans="1:18" ht="15.75">
      <c r="A15" s="2">
        <f>IF(OR($C$6="",$J$6=""),"",IF(B15="","",SUBTOTAL(3,$B$11:B15)))</f>
        <v>5</v>
      </c>
      <c r="B15" s="90" t="str">
        <f>IF(OR($C$6="",$J$6="",$L$6=""),"",IF(HKI!B15="","",HKI!B15))</f>
        <v>13D301Đ021</v>
      </c>
      <c r="C15" s="91" t="str">
        <f>IF($B15="","",VLOOKUP($B15,'DS LOP HKI'!$B$2:$F$2642,2,0))</f>
        <v>Nguyễn Chí</v>
      </c>
      <c r="D15" s="92" t="str">
        <f>IF($B15="","",VLOOKUP($B15,'DS LOP HKI'!$B$2:$F$2642,3,0))</f>
        <v>Cường</v>
      </c>
      <c r="E15" s="144"/>
      <c r="F15" s="111"/>
      <c r="G15" s="201">
        <v>6</v>
      </c>
      <c r="H15" s="201">
        <v>6</v>
      </c>
      <c r="I15" s="201"/>
      <c r="J15" s="201"/>
      <c r="K15" s="201"/>
      <c r="L15" s="201"/>
      <c r="M15" s="201">
        <v>4</v>
      </c>
      <c r="N15" s="552">
        <v>0</v>
      </c>
      <c r="O15" s="12">
        <f t="shared" si="0"/>
        <v>2.4</v>
      </c>
      <c r="P15" s="7" t="str">
        <f t="shared" si="1"/>
        <v>Kém</v>
      </c>
      <c r="Q15" s="93" t="str">
        <f>IF(ISNUMBER(E15)=TRUE,"",IF(HKI!AD15="","",HKI!AD15))</f>
        <v/>
      </c>
      <c r="R15" s="93" t="str">
        <f t="shared" si="2"/>
        <v/>
      </c>
    </row>
    <row r="16" spans="1:18" ht="15.75">
      <c r="A16" s="2">
        <f>IF(OR($C$6="",$J$6=""),"",IF(B16="","",SUBTOTAL(3,$B$11:B16)))</f>
        <v>6</v>
      </c>
      <c r="B16" s="90" t="str">
        <f>IF(OR($C$6="",$J$6="",$L$6=""),"",IF(HKI!B16="","",HKI!B16))</f>
        <v>13D301Đ025</v>
      </c>
      <c r="C16" s="91" t="str">
        <f>IF($B16="","",VLOOKUP($B16,'DS LOP HKI'!$B$2:$F$2642,2,0))</f>
        <v>Nguyễn Ngọc</v>
      </c>
      <c r="D16" s="92" t="str">
        <f>IF($B16="","",VLOOKUP($B16,'DS LOP HKI'!$B$2:$F$2642,3,0))</f>
        <v>Dũng</v>
      </c>
      <c r="E16" s="144"/>
      <c r="F16" s="202"/>
      <c r="G16" s="201">
        <v>6</v>
      </c>
      <c r="H16" s="201">
        <v>6</v>
      </c>
      <c r="I16" s="201"/>
      <c r="J16" s="201"/>
      <c r="K16" s="201"/>
      <c r="L16" s="201"/>
      <c r="M16" s="201">
        <v>5</v>
      </c>
      <c r="N16" s="552">
        <v>5</v>
      </c>
      <c r="O16" s="12">
        <f t="shared" si="0"/>
        <v>5.2</v>
      </c>
      <c r="P16" s="7" t="str">
        <f t="shared" si="1"/>
        <v>TBY</v>
      </c>
      <c r="Q16" s="93" t="str">
        <f>IF(ISNUMBER(E16)=TRUE,"",IF(HKI!AD16="","",HKI!AD16))</f>
        <v/>
      </c>
      <c r="R16" s="93" t="str">
        <f t="shared" si="2"/>
        <v/>
      </c>
    </row>
    <row r="17" spans="1:18" ht="15.75">
      <c r="A17" s="2">
        <f>IF(OR($C$6="",$J$6=""),"",IF(B17="","",SUBTOTAL(3,$B$11:B17)))</f>
        <v>7</v>
      </c>
      <c r="B17" s="90" t="str">
        <f>IF(OR($C$6="",$J$6="",$L$6=""),"",IF(HKI!B17="","",HKI!B17))</f>
        <v>13D301Đ033</v>
      </c>
      <c r="C17" s="91" t="str">
        <f>IF($B17="","",VLOOKUP($B17,'DS LOP HKI'!$B$2:$F$2642,2,0))</f>
        <v xml:space="preserve">Trương Văn </v>
      </c>
      <c r="D17" s="92" t="str">
        <f>IF($B17="","",VLOOKUP($B17,'DS LOP HKI'!$B$2:$F$2642,3,0))</f>
        <v>Đạt</v>
      </c>
      <c r="E17" s="144"/>
      <c r="F17" s="111"/>
      <c r="G17" s="201">
        <v>8</v>
      </c>
      <c r="H17" s="201">
        <v>7</v>
      </c>
      <c r="I17" s="201"/>
      <c r="J17" s="201"/>
      <c r="K17" s="201"/>
      <c r="L17" s="201"/>
      <c r="M17" s="201">
        <v>5</v>
      </c>
      <c r="N17" s="552">
        <v>3.5</v>
      </c>
      <c r="O17" s="12">
        <f t="shared" si="0"/>
        <v>4.8</v>
      </c>
      <c r="P17" s="7" t="str">
        <f t="shared" si="1"/>
        <v>TBY</v>
      </c>
      <c r="Q17" s="93" t="str">
        <f>IF(ISNUMBER(E17)=TRUE,"",IF(HKI!AD17="","",HKI!AD17))</f>
        <v/>
      </c>
      <c r="R17" s="93" t="str">
        <f t="shared" si="2"/>
        <v/>
      </c>
    </row>
    <row r="18" spans="1:18" ht="15.75">
      <c r="A18" s="2">
        <f>IF(OR($C$6="",$J$6=""),"",IF(B18="","",SUBTOTAL(3,$B$11:B18)))</f>
        <v>8</v>
      </c>
      <c r="B18" s="90" t="str">
        <f>IF(OR($C$6="",$J$6="",$L$6=""),"",IF(HKI!B18="","",HKI!B18))</f>
        <v>13D301Đ037</v>
      </c>
      <c r="C18" s="91" t="str">
        <f>IF($B18="","",VLOOKUP($B18,'DS LOP HKI'!$B$2:$F$2642,2,0))</f>
        <v>Nguyễn Thành</v>
      </c>
      <c r="D18" s="92" t="str">
        <f>IF($B18="","",VLOOKUP($B18,'DS LOP HKI'!$B$2:$F$2642,3,0))</f>
        <v>Đông</v>
      </c>
      <c r="E18" s="144"/>
      <c r="F18" s="111"/>
      <c r="G18" s="201">
        <v>7</v>
      </c>
      <c r="H18" s="201">
        <v>7</v>
      </c>
      <c r="I18" s="201"/>
      <c r="J18" s="201"/>
      <c r="K18" s="201"/>
      <c r="L18" s="201"/>
      <c r="M18" s="201">
        <v>5</v>
      </c>
      <c r="N18" s="552">
        <v>4.5</v>
      </c>
      <c r="O18" s="12">
        <f t="shared" si="0"/>
        <v>5.2</v>
      </c>
      <c r="P18" s="7" t="str">
        <f t="shared" si="1"/>
        <v>TBY</v>
      </c>
      <c r="Q18" s="93" t="str">
        <f>IF(ISNUMBER(E18)=TRUE,"",IF(HKI!AD18="","",HKI!AD18))</f>
        <v/>
      </c>
      <c r="R18" s="93" t="str">
        <f t="shared" si="2"/>
        <v/>
      </c>
    </row>
    <row r="19" spans="1:18" ht="15.75">
      <c r="A19" s="2">
        <f>IF(OR($C$6="",$J$6=""),"",IF(B19="","",SUBTOTAL(3,$B$11:B19)))</f>
        <v>9</v>
      </c>
      <c r="B19" s="90" t="str">
        <f>IF(OR($C$6="",$J$6="",$L$6=""),"",IF(HKI!B19="","",HKI!B19))</f>
        <v>13D301Đ041</v>
      </c>
      <c r="C19" s="91" t="str">
        <f>IF($B19="","",VLOOKUP($B19,'DS LOP HKI'!$B$2:$F$2642,2,0))</f>
        <v>Lê Hoàng</v>
      </c>
      <c r="D19" s="92" t="str">
        <f>IF($B19="","",VLOOKUP($B19,'DS LOP HKI'!$B$2:$F$2642,3,0))</f>
        <v>Giang</v>
      </c>
      <c r="E19" s="144"/>
      <c r="F19" s="111"/>
      <c r="G19" s="201">
        <v>6</v>
      </c>
      <c r="H19" s="201">
        <v>5</v>
      </c>
      <c r="I19" s="201"/>
      <c r="J19" s="201"/>
      <c r="K19" s="201"/>
      <c r="L19" s="201"/>
      <c r="M19" s="201">
        <v>4</v>
      </c>
      <c r="N19" s="552">
        <v>0.5</v>
      </c>
      <c r="O19" s="12">
        <f t="shared" si="0"/>
        <v>2.6</v>
      </c>
      <c r="P19" s="7" t="str">
        <f t="shared" si="1"/>
        <v>Kém</v>
      </c>
      <c r="Q19" s="93" t="str">
        <f>IF(ISNUMBER(E19)=TRUE,"",IF(HKI!AD19="","",HKI!AD19))</f>
        <v/>
      </c>
      <c r="R19" s="93" t="str">
        <f t="shared" si="2"/>
        <v/>
      </c>
    </row>
    <row r="20" spans="1:18" ht="15.75">
      <c r="A20" s="2">
        <f>IF(OR($C$6="",$J$6=""),"",IF(B20="","",SUBTOTAL(3,$B$11:B20)))</f>
        <v>10</v>
      </c>
      <c r="B20" s="90" t="str">
        <f>IF(OR($C$6="",$J$6="",$L$6=""),"",IF(HKI!B20="","",HKI!B20))</f>
        <v>13D301Đ045</v>
      </c>
      <c r="C20" s="91" t="str">
        <f>IF($B20="","",VLOOKUP($B20,'DS LOP HKI'!$B$2:$F$2642,2,0))</f>
        <v>Lê Công</v>
      </c>
      <c r="D20" s="92" t="str">
        <f>IF($B20="","",VLOOKUP($B20,'DS LOP HKI'!$B$2:$F$2642,3,0))</f>
        <v>Hậu</v>
      </c>
      <c r="E20" s="144"/>
      <c r="F20" s="111"/>
      <c r="G20" s="201">
        <v>6</v>
      </c>
      <c r="H20" s="201">
        <v>6</v>
      </c>
      <c r="I20" s="201"/>
      <c r="J20" s="201"/>
      <c r="K20" s="201"/>
      <c r="L20" s="201"/>
      <c r="M20" s="201">
        <v>4</v>
      </c>
      <c r="N20" s="552">
        <v>2.5</v>
      </c>
      <c r="O20" s="12">
        <f t="shared" si="0"/>
        <v>3.7</v>
      </c>
      <c r="P20" s="7" t="str">
        <f t="shared" si="1"/>
        <v>Kém</v>
      </c>
      <c r="Q20" s="93" t="str">
        <f>IF(ISNUMBER(E20)=TRUE,"",IF(HKI!AD20="","",HKI!AD20))</f>
        <v/>
      </c>
      <c r="R20" s="93" t="str">
        <f t="shared" si="2"/>
        <v/>
      </c>
    </row>
    <row r="21" spans="1:18" ht="15.75">
      <c r="A21" s="2">
        <f>IF(OR($C$6="",$J$6=""),"",IF(B21="","",SUBTOTAL(3,$B$11:B21)))</f>
        <v>11</v>
      </c>
      <c r="B21" s="90" t="str">
        <f>IF(OR($C$6="",$J$6="",$L$6=""),"",IF(HKI!B21="","",HKI!B21))</f>
        <v>13D301Đ049</v>
      </c>
      <c r="C21" s="91" t="str">
        <f>IF($B21="","",VLOOKUP($B21,'DS LOP HKI'!$B$2:$F$2642,2,0))</f>
        <v>Lê Minh</v>
      </c>
      <c r="D21" s="92" t="str">
        <f>IF($B21="","",VLOOKUP($B21,'DS LOP HKI'!$B$2:$F$2642,3,0))</f>
        <v>Hiếu</v>
      </c>
      <c r="E21" s="144"/>
      <c r="F21" s="202"/>
      <c r="G21" s="201">
        <v>7</v>
      </c>
      <c r="H21" s="201">
        <v>7</v>
      </c>
      <c r="I21" s="201"/>
      <c r="J21" s="201"/>
      <c r="K21" s="201"/>
      <c r="L21" s="201"/>
      <c r="M21" s="201">
        <v>5</v>
      </c>
      <c r="N21" s="552">
        <v>4</v>
      </c>
      <c r="O21" s="12">
        <f t="shared" si="0"/>
        <v>4.9000000000000004</v>
      </c>
      <c r="P21" s="7" t="str">
        <f t="shared" si="1"/>
        <v>TBY</v>
      </c>
      <c r="Q21" s="93" t="str">
        <f>IF(ISNUMBER(E21)=TRUE,"",IF(HKI!AD21="","",HKI!AD21))</f>
        <v/>
      </c>
      <c r="R21" s="93" t="str">
        <f t="shared" si="2"/>
        <v/>
      </c>
    </row>
    <row r="22" spans="1:18" ht="15.75">
      <c r="A22" s="2">
        <f>IF(OR($C$6="",$J$6=""),"",IF(B22="","",SUBTOTAL(3,$B$11:B22)))</f>
        <v>12</v>
      </c>
      <c r="B22" s="90" t="str">
        <f>IF(OR($C$6="",$J$6="",$L$6=""),"",IF(HKI!B22="","",HKI!B22))</f>
        <v>13D301Đ053</v>
      </c>
      <c r="C22" s="91" t="str">
        <f>IF($B22="","",VLOOKUP($B22,'DS LOP HKI'!$B$2:$F$2642,2,0))</f>
        <v>Nguyễn Ngọc</v>
      </c>
      <c r="D22" s="92" t="str">
        <f>IF($B22="","",VLOOKUP($B22,'DS LOP HKI'!$B$2:$F$2642,3,0))</f>
        <v>Hoài</v>
      </c>
      <c r="E22" s="144"/>
      <c r="F22" s="111"/>
      <c r="G22" s="201">
        <v>7</v>
      </c>
      <c r="H22" s="201">
        <v>7</v>
      </c>
      <c r="I22" s="201"/>
      <c r="J22" s="201"/>
      <c r="K22" s="201"/>
      <c r="L22" s="201"/>
      <c r="M22" s="201">
        <v>5</v>
      </c>
      <c r="N22" s="552">
        <v>3.5</v>
      </c>
      <c r="O22" s="12">
        <f t="shared" si="0"/>
        <v>4.7</v>
      </c>
      <c r="P22" s="7" t="str">
        <f t="shared" si="1"/>
        <v>TBY</v>
      </c>
      <c r="Q22" s="93" t="str">
        <f>IF(ISNUMBER(E22)=TRUE,"",IF(HKI!AD22="","",HKI!AD22))</f>
        <v/>
      </c>
      <c r="R22" s="93" t="str">
        <f t="shared" si="2"/>
        <v/>
      </c>
    </row>
    <row r="23" spans="1:18" ht="15.75">
      <c r="A23" s="2">
        <f>IF(OR($C$6="",$J$6=""),"",IF(B23="","",SUBTOTAL(3,$B$11:B23)))</f>
        <v>13</v>
      </c>
      <c r="B23" s="90" t="str">
        <f>IF(OR($C$6="",$J$6="",$L$6=""),"",IF(HKI!B23="","",HKI!B23))</f>
        <v>13D301Đ057</v>
      </c>
      <c r="C23" s="91" t="str">
        <f>IF($B23="","",VLOOKUP($B23,'DS LOP HKI'!$B$2:$F$2642,2,0))</f>
        <v>Trịnh Thanh</v>
      </c>
      <c r="D23" s="92" t="str">
        <f>IF($B23="","",VLOOKUP($B23,'DS LOP HKI'!$B$2:$F$2642,3,0))</f>
        <v>Hoàng</v>
      </c>
      <c r="E23" s="144"/>
      <c r="F23" s="111"/>
      <c r="G23" s="201">
        <v>6</v>
      </c>
      <c r="H23" s="201">
        <v>6</v>
      </c>
      <c r="I23" s="201"/>
      <c r="J23" s="201"/>
      <c r="K23" s="201"/>
      <c r="L23" s="201"/>
      <c r="M23" s="201">
        <v>4</v>
      </c>
      <c r="N23" s="552">
        <v>8</v>
      </c>
      <c r="O23" s="12">
        <f t="shared" si="0"/>
        <v>6.4</v>
      </c>
      <c r="P23" s="7" t="str">
        <f t="shared" si="1"/>
        <v>TB</v>
      </c>
      <c r="Q23" s="93" t="str">
        <f>IF(ISNUMBER(E23)=TRUE,"",IF(HKI!AD23="","",HKI!AD23))</f>
        <v/>
      </c>
      <c r="R23" s="93" t="str">
        <f t="shared" si="2"/>
        <v/>
      </c>
    </row>
    <row r="24" spans="1:18" ht="15.75">
      <c r="A24" s="2">
        <f>IF(OR($C$6="",$J$6=""),"",IF(B24="","",SUBTOTAL(3,$B$11:B24)))</f>
        <v>14</v>
      </c>
      <c r="B24" s="90" t="str">
        <f>IF(OR($C$6="",$J$6="",$L$6=""),"",IF(HKI!B24="","",HKI!B24))</f>
        <v>13D301Đ061</v>
      </c>
      <c r="C24" s="91" t="str">
        <f>IF($B24="","",VLOOKUP($B24,'DS LOP HKI'!$B$2:$F$2642,2,0))</f>
        <v>Huỳnh Thanh</v>
      </c>
      <c r="D24" s="92" t="str">
        <f>IF($B24="","",VLOOKUP($B24,'DS LOP HKI'!$B$2:$F$2642,3,0))</f>
        <v>Hùng</v>
      </c>
      <c r="E24" s="144"/>
      <c r="F24" s="111"/>
      <c r="G24" s="201">
        <v>8</v>
      </c>
      <c r="H24" s="201">
        <v>6</v>
      </c>
      <c r="I24" s="201"/>
      <c r="J24" s="201"/>
      <c r="K24" s="201"/>
      <c r="L24" s="201"/>
      <c r="M24" s="201">
        <v>4</v>
      </c>
      <c r="N24" s="552">
        <v>2.5</v>
      </c>
      <c r="O24" s="12">
        <f t="shared" si="0"/>
        <v>3.9</v>
      </c>
      <c r="P24" s="7" t="str">
        <f t="shared" si="1"/>
        <v>Kém</v>
      </c>
      <c r="Q24" s="93" t="str">
        <f>IF(ISNUMBER(E24)=TRUE,"",IF(HKI!AD24="","",HKI!AD24))</f>
        <v/>
      </c>
      <c r="R24" s="93" t="str">
        <f t="shared" si="2"/>
        <v/>
      </c>
    </row>
    <row r="25" spans="1:18" ht="15.75">
      <c r="A25" s="2">
        <f>IF(OR($C$6="",$J$6=""),"",IF(B25="","",SUBTOTAL(3,$B$11:B25)))</f>
        <v>15</v>
      </c>
      <c r="B25" s="90" t="str">
        <f>IF(OR($C$6="",$J$6="",$L$6=""),"",IF(HKI!B25="","",HKI!B25))</f>
        <v>13D301Đ065</v>
      </c>
      <c r="C25" s="91" t="str">
        <f>IF($B25="","",VLOOKUP($B25,'DS LOP HKI'!$B$2:$F$2642,2,0))</f>
        <v>Đoàn Lê Xuân</v>
      </c>
      <c r="D25" s="92" t="str">
        <f>IF($B25="","",VLOOKUP($B25,'DS LOP HKI'!$B$2:$F$2642,3,0))</f>
        <v>Huy</v>
      </c>
      <c r="E25" s="144"/>
      <c r="F25" s="111"/>
      <c r="G25" s="201">
        <v>7</v>
      </c>
      <c r="H25" s="201">
        <v>8</v>
      </c>
      <c r="I25" s="201"/>
      <c r="J25" s="201"/>
      <c r="K25" s="201"/>
      <c r="L25" s="201"/>
      <c r="M25" s="201">
        <v>3</v>
      </c>
      <c r="N25" s="552">
        <v>4.8</v>
      </c>
      <c r="O25" s="12">
        <f t="shared" si="0"/>
        <v>4.8</v>
      </c>
      <c r="P25" s="7" t="str">
        <f t="shared" si="1"/>
        <v>TBY</v>
      </c>
      <c r="Q25" s="93" t="str">
        <f>IF(ISNUMBER(E25)=TRUE,"",IF(HKI!AD25="","",HKI!AD25))</f>
        <v/>
      </c>
      <c r="R25" s="93" t="str">
        <f t="shared" si="2"/>
        <v/>
      </c>
    </row>
    <row r="26" spans="1:18" ht="15.75">
      <c r="A26" s="2">
        <f>IF(OR($C$6="",$J$6=""),"",IF(B26="","",SUBTOTAL(3,$B$11:B26)))</f>
        <v>16</v>
      </c>
      <c r="B26" s="90" t="str">
        <f>IF(OR($C$6="",$J$6="",$L$6=""),"",IF(HKI!B26="","",HKI!B26))</f>
        <v>13D301Đ073</v>
      </c>
      <c r="C26" s="91" t="str">
        <f>IF($B26="","",VLOOKUP($B26,'DS LOP HKI'!$B$2:$F$2642,2,0))</f>
        <v>Trịnh Đại</v>
      </c>
      <c r="D26" s="92" t="str">
        <f>IF($B26="","",VLOOKUP($B26,'DS LOP HKI'!$B$2:$F$2642,3,0))</f>
        <v>Lăng</v>
      </c>
      <c r="E26" s="144"/>
      <c r="F26" s="111"/>
      <c r="G26" s="201">
        <v>7</v>
      </c>
      <c r="H26" s="201">
        <v>7</v>
      </c>
      <c r="I26" s="201"/>
      <c r="J26" s="201"/>
      <c r="K26" s="201"/>
      <c r="L26" s="201"/>
      <c r="M26" s="201">
        <v>1</v>
      </c>
      <c r="N26" s="552">
        <v>6.3</v>
      </c>
      <c r="O26" s="12">
        <f t="shared" si="0"/>
        <v>4.9000000000000004</v>
      </c>
      <c r="P26" s="7" t="str">
        <f t="shared" si="1"/>
        <v>TBY</v>
      </c>
      <c r="Q26" s="93" t="str">
        <f>IF(ISNUMBER(E26)=TRUE,"",IF(HKI!AD26="","",HKI!AD26))</f>
        <v/>
      </c>
      <c r="R26" s="93" t="str">
        <f t="shared" si="2"/>
        <v/>
      </c>
    </row>
    <row r="27" spans="1:18" ht="15.75">
      <c r="A27" s="2">
        <f>IF(OR($C$6="",$J$6=""),"",IF(B27="","",SUBTOTAL(3,$B$11:B27)))</f>
        <v>17</v>
      </c>
      <c r="B27" s="90" t="str">
        <f>IF(OR($C$6="",$J$6="",$L$6=""),"",IF(HKI!B27="","",HKI!B27))</f>
        <v>13D301Đ204</v>
      </c>
      <c r="C27" s="91" t="str">
        <f>IF($B27="","",VLOOKUP($B27,'DS LOP HKI'!$B$2:$F$2642,2,0))</f>
        <v>Nguyễn Khánh</v>
      </c>
      <c r="D27" s="92" t="str">
        <f>IF($B27="","",VLOOKUP($B27,'DS LOP HKI'!$B$2:$F$2642,3,0))</f>
        <v>Linh</v>
      </c>
      <c r="E27" s="144"/>
      <c r="F27" s="111"/>
      <c r="G27" s="201">
        <v>7</v>
      </c>
      <c r="H27" s="201">
        <v>7</v>
      </c>
      <c r="I27" s="201"/>
      <c r="J27" s="201"/>
      <c r="K27" s="201"/>
      <c r="L27" s="201"/>
      <c r="M27" s="201">
        <v>4</v>
      </c>
      <c r="N27" s="552">
        <v>3</v>
      </c>
      <c r="O27" s="12">
        <f t="shared" si="0"/>
        <v>4.0999999999999996</v>
      </c>
      <c r="P27" s="7" t="str">
        <f t="shared" si="1"/>
        <v>TBY</v>
      </c>
      <c r="Q27" s="93" t="str">
        <f>IF(ISNUMBER(E27)=TRUE,"",IF(HKI!AD27="","",HKI!AD27))</f>
        <v/>
      </c>
      <c r="R27" s="93" t="str">
        <f t="shared" si="2"/>
        <v/>
      </c>
    </row>
    <row r="28" spans="1:18" ht="15.75">
      <c r="A28" s="2">
        <f>IF(OR($C$6="",$J$6=""),"",IF(B28="","",SUBTOTAL(3,$B$11:B28)))</f>
        <v>18</v>
      </c>
      <c r="B28" s="90" t="str">
        <f>IF(OR($C$6="",$J$6="",$L$6=""),"",IF(HKI!B28="","",HKI!B28))</f>
        <v>13D301Đ162</v>
      </c>
      <c r="C28" s="91" t="str">
        <f>IF($B28="","",VLOOKUP($B28,'DS LOP HKI'!$B$2:$F$2642,2,0))</f>
        <v>Đỗ Văn</v>
      </c>
      <c r="D28" s="92" t="str">
        <f>IF($B28="","",VLOOKUP($B28,'DS LOP HKI'!$B$2:$F$2642,3,0))</f>
        <v>Lượng</v>
      </c>
      <c r="E28" s="144"/>
      <c r="F28" s="111"/>
      <c r="G28" s="201">
        <v>7</v>
      </c>
      <c r="H28" s="201">
        <v>7</v>
      </c>
      <c r="I28" s="201"/>
      <c r="J28" s="201"/>
      <c r="K28" s="201"/>
      <c r="L28" s="201"/>
      <c r="M28" s="201">
        <v>3</v>
      </c>
      <c r="N28" s="552">
        <v>2</v>
      </c>
      <c r="O28" s="12">
        <f t="shared" si="0"/>
        <v>3.3</v>
      </c>
      <c r="P28" s="7" t="str">
        <f t="shared" si="1"/>
        <v>Kém</v>
      </c>
      <c r="Q28" s="93" t="str">
        <f>IF(ISNUMBER(E28)=TRUE,"",IF(HKI!AD28="","",HKI!AD28))</f>
        <v/>
      </c>
      <c r="R28" s="93" t="str">
        <f t="shared" si="2"/>
        <v/>
      </c>
    </row>
    <row r="29" spans="1:18" ht="15.75">
      <c r="A29" s="2">
        <f>IF(OR($C$6="",$J$6=""),"",IF(B29="","",SUBTOTAL(3,$B$11:B29)))</f>
        <v>19</v>
      </c>
      <c r="B29" s="90" t="str">
        <f>IF(OR($C$6="",$J$6="",$L$6=""),"",IF(HKI!B29="","",HKI!B29))</f>
        <v>13D301Đ081</v>
      </c>
      <c r="C29" s="91" t="str">
        <f>IF($B29="","",VLOOKUP($B29,'DS LOP HKI'!$B$2:$F$2642,2,0))</f>
        <v>Mai Đình</v>
      </c>
      <c r="D29" s="92" t="str">
        <f>IF($B29="","",VLOOKUP($B29,'DS LOP HKI'!$B$2:$F$2642,3,0))</f>
        <v>Luyện</v>
      </c>
      <c r="E29" s="144"/>
      <c r="F29" s="111"/>
      <c r="G29" s="201">
        <v>7</v>
      </c>
      <c r="H29" s="201">
        <v>5</v>
      </c>
      <c r="I29" s="201"/>
      <c r="J29" s="201"/>
      <c r="K29" s="201"/>
      <c r="L29" s="201"/>
      <c r="M29" s="201">
        <v>2</v>
      </c>
      <c r="N29" s="552">
        <v>1</v>
      </c>
      <c r="O29" s="12">
        <f t="shared" si="0"/>
        <v>2.2999999999999998</v>
      </c>
      <c r="P29" s="7" t="str">
        <f t="shared" si="1"/>
        <v>Kém</v>
      </c>
      <c r="Q29" s="93" t="str">
        <f>IF(ISNUMBER(E29)=TRUE,"",IF(HKI!AD29="","",HKI!AD29))</f>
        <v/>
      </c>
      <c r="R29" s="93" t="str">
        <f t="shared" si="2"/>
        <v/>
      </c>
    </row>
    <row r="30" spans="1:18" ht="15.75">
      <c r="A30" s="2">
        <f>IF(OR($C$6="",$J$6=""),"",IF(B30="","",SUBTOTAL(3,$B$11:B30)))</f>
        <v>20</v>
      </c>
      <c r="B30" s="90" t="str">
        <f>IF(OR($C$6="",$J$6="",$L$6=""),"",IF(HKI!B30="","",HKI!B30))</f>
        <v>13D301Đ085</v>
      </c>
      <c r="C30" s="91" t="str">
        <f>IF($B30="","",VLOOKUP($B30,'DS LOP HKI'!$B$2:$F$2642,2,0))</f>
        <v>Võ Hoài</v>
      </c>
      <c r="D30" s="92" t="str">
        <f>IF($B30="","",VLOOKUP($B30,'DS LOP HKI'!$B$2:$F$2642,3,0))</f>
        <v>Nam</v>
      </c>
      <c r="E30" s="144"/>
      <c r="F30" s="111"/>
      <c r="G30" s="201">
        <v>7</v>
      </c>
      <c r="H30" s="201">
        <v>6</v>
      </c>
      <c r="I30" s="201"/>
      <c r="J30" s="201"/>
      <c r="K30" s="201"/>
      <c r="L30" s="201"/>
      <c r="M30" s="201">
        <v>3</v>
      </c>
      <c r="N30" s="552">
        <v>2.5</v>
      </c>
      <c r="O30" s="12">
        <f t="shared" si="0"/>
        <v>3.5</v>
      </c>
      <c r="P30" s="7" t="str">
        <f t="shared" si="1"/>
        <v>Kém</v>
      </c>
      <c r="Q30" s="93" t="str">
        <f>IF(ISNUMBER(E30)=TRUE,"",IF(HKI!AD30="","",HKI!AD30))</f>
        <v/>
      </c>
      <c r="R30" s="93" t="str">
        <f t="shared" si="2"/>
        <v/>
      </c>
    </row>
    <row r="31" spans="1:18" ht="15.75">
      <c r="A31" s="2">
        <f>IF(OR($C$6="",$J$6=""),"",IF(B31="","",SUBTOTAL(3,$B$11:B31)))</f>
        <v>21</v>
      </c>
      <c r="B31" s="90" t="str">
        <f>IF(OR($C$6="",$J$6="",$L$6=""),"",IF(HKI!B31="","",HKI!B31))</f>
        <v>13D301Đ089</v>
      </c>
      <c r="C31" s="91" t="str">
        <f>IF($B31="","",VLOOKUP($B31,'DS LOP HKI'!$B$2:$F$2642,2,0))</f>
        <v>Nguyễn Hữu</v>
      </c>
      <c r="D31" s="92" t="str">
        <f>IF($B31="","",VLOOKUP($B31,'DS LOP HKI'!$B$2:$F$2642,3,0))</f>
        <v>Nghĩa</v>
      </c>
      <c r="E31" s="144"/>
      <c r="F31" s="111"/>
      <c r="G31" s="201">
        <v>7</v>
      </c>
      <c r="H31" s="201">
        <v>7</v>
      </c>
      <c r="I31" s="201"/>
      <c r="J31" s="201"/>
      <c r="K31" s="201"/>
      <c r="L31" s="201"/>
      <c r="M31" s="201">
        <v>4</v>
      </c>
      <c r="N31" s="552">
        <v>1</v>
      </c>
      <c r="O31" s="12">
        <f t="shared" si="0"/>
        <v>3.1</v>
      </c>
      <c r="P31" s="7" t="str">
        <f t="shared" si="1"/>
        <v>Kém</v>
      </c>
      <c r="Q31" s="93" t="str">
        <f>IF(ISNUMBER(E31)=TRUE,"",IF(HKI!AD31="","",HKI!AD31))</f>
        <v/>
      </c>
      <c r="R31" s="93" t="str">
        <f t="shared" si="2"/>
        <v/>
      </c>
    </row>
    <row r="32" spans="1:18" ht="15.75">
      <c r="A32" s="2">
        <f>IF(OR($C$6="",$J$6=""),"",IF(B32="","",SUBTOTAL(3,$B$11:B32)))</f>
        <v>22</v>
      </c>
      <c r="B32" s="90" t="str">
        <f>IF(OR($C$6="",$J$6="",$L$6=""),"",IF(HKI!B32="","",HKI!B32))</f>
        <v>13D301Đ097</v>
      </c>
      <c r="C32" s="91" t="str">
        <f>IF($B32="","",VLOOKUP($B32,'DS LOP HKI'!$B$2:$F$2642,2,0))</f>
        <v>Nguyễn Thành</v>
      </c>
      <c r="D32" s="92" t="str">
        <f>IF($B32="","",VLOOKUP($B32,'DS LOP HKI'!$B$2:$F$2642,3,0))</f>
        <v>Phát</v>
      </c>
      <c r="E32" s="144"/>
      <c r="F32" s="202"/>
      <c r="G32" s="201">
        <v>8</v>
      </c>
      <c r="H32" s="201">
        <v>8</v>
      </c>
      <c r="I32" s="201"/>
      <c r="J32" s="201"/>
      <c r="K32" s="201"/>
      <c r="L32" s="201"/>
      <c r="M32" s="201">
        <v>4</v>
      </c>
      <c r="N32" s="552">
        <v>5</v>
      </c>
      <c r="O32" s="12">
        <f t="shared" si="0"/>
        <v>5.3</v>
      </c>
      <c r="P32" s="7" t="str">
        <f t="shared" si="1"/>
        <v>TBY</v>
      </c>
      <c r="Q32" s="93" t="str">
        <f>IF(ISNUMBER(E32)=TRUE,"",IF(HKI!AD32="","",HKI!AD32))</f>
        <v/>
      </c>
      <c r="R32" s="93" t="str">
        <f t="shared" si="2"/>
        <v/>
      </c>
    </row>
    <row r="33" spans="1:18" ht="15.75">
      <c r="A33" s="2">
        <f>IF(OR($C$6="",$J$6=""),"",IF(B33="","",SUBTOTAL(3,$B$11:B33)))</f>
        <v>23</v>
      </c>
      <c r="B33" s="90" t="str">
        <f>IF(OR($C$6="",$J$6="",$L$6=""),"",IF(HKI!B33="","",HKI!B33))</f>
        <v>13D301Đ101</v>
      </c>
      <c r="C33" s="91" t="str">
        <f>IF($B33="","",VLOOKUP($B33,'DS LOP HKI'!$B$2:$F$2642,2,0))</f>
        <v>Huỳnh Thanh</v>
      </c>
      <c r="D33" s="92" t="str">
        <f>IF($B33="","",VLOOKUP($B33,'DS LOP HKI'!$B$2:$F$2642,3,0))</f>
        <v>Phú</v>
      </c>
      <c r="E33" s="144"/>
      <c r="F33" s="111"/>
      <c r="G33" s="201">
        <v>7</v>
      </c>
      <c r="H33" s="201">
        <v>8</v>
      </c>
      <c r="I33" s="201"/>
      <c r="J33" s="201"/>
      <c r="K33" s="201"/>
      <c r="L33" s="201"/>
      <c r="M33" s="201">
        <v>2</v>
      </c>
      <c r="N33" s="552">
        <v>1</v>
      </c>
      <c r="O33" s="12">
        <f t="shared" si="0"/>
        <v>2.6</v>
      </c>
      <c r="P33" s="7" t="str">
        <f t="shared" si="1"/>
        <v>Kém</v>
      </c>
      <c r="Q33" s="93" t="str">
        <f>IF(ISNUMBER(E33)=TRUE,"",IF(HKI!AD33="","",HKI!AD33))</f>
        <v/>
      </c>
      <c r="R33" s="93" t="str">
        <f t="shared" si="2"/>
        <v/>
      </c>
    </row>
    <row r="34" spans="1:18" ht="15.75">
      <c r="A34" s="2">
        <f>IF(OR($C$6="",$J$6=""),"",IF(B34="","",SUBTOTAL(3,$B$11:B34)))</f>
        <v>24</v>
      </c>
      <c r="B34" s="90" t="str">
        <f>IF(OR($C$6="",$J$6="",$L$6=""),"",IF(HKI!B34="","",HKI!B34))</f>
        <v>13D301Đ117</v>
      </c>
      <c r="C34" s="91" t="str">
        <f>IF($B34="","",VLOOKUP($B34,'DS LOP HKI'!$B$2:$F$2642,2,0))</f>
        <v>Trịnh Ngọc</v>
      </c>
      <c r="D34" s="92" t="str">
        <f>IF($B34="","",VLOOKUP($B34,'DS LOP HKI'!$B$2:$F$2642,3,0))</f>
        <v>Sơn</v>
      </c>
      <c r="E34" s="144"/>
      <c r="F34" s="111"/>
      <c r="G34" s="201">
        <v>7</v>
      </c>
      <c r="H34" s="201">
        <v>7</v>
      </c>
      <c r="I34" s="201"/>
      <c r="J34" s="201"/>
      <c r="K34" s="201"/>
      <c r="L34" s="201"/>
      <c r="M34" s="201">
        <v>4</v>
      </c>
      <c r="N34" s="552">
        <v>1.5</v>
      </c>
      <c r="O34" s="12">
        <f t="shared" si="0"/>
        <v>3.4</v>
      </c>
      <c r="P34" s="7" t="str">
        <f t="shared" si="1"/>
        <v>Kém</v>
      </c>
      <c r="Q34" s="93" t="str">
        <f>IF(ISNUMBER(E34)=TRUE,"",IF(HKI!AD34="","",HKI!AD34))</f>
        <v/>
      </c>
      <c r="R34" s="93" t="str">
        <f t="shared" si="2"/>
        <v/>
      </c>
    </row>
    <row r="35" spans="1:18" ht="15.75">
      <c r="A35" s="2">
        <f>IF(OR($C$6="",$J$6=""),"",IF(B35="","",SUBTOTAL(3,$B$11:B35)))</f>
        <v>25</v>
      </c>
      <c r="B35" s="90" t="str">
        <f>IF(OR($C$6="",$J$6="",$L$6=""),"",IF(HKI!B35="","",HKI!B35))</f>
        <v>13D301Đ121</v>
      </c>
      <c r="C35" s="91" t="str">
        <f>IF($B35="","",VLOOKUP($B35,'DS LOP HKI'!$B$2:$F$2642,2,0))</f>
        <v>Lê Minh</v>
      </c>
      <c r="D35" s="92" t="str">
        <f>IF($B35="","",VLOOKUP($B35,'DS LOP HKI'!$B$2:$F$2642,3,0))</f>
        <v>Tâm</v>
      </c>
      <c r="E35" s="144"/>
      <c r="F35" s="111"/>
      <c r="G35" s="201">
        <v>7</v>
      </c>
      <c r="H35" s="201">
        <v>8</v>
      </c>
      <c r="I35" s="201"/>
      <c r="J35" s="201"/>
      <c r="K35" s="201"/>
      <c r="L35" s="201"/>
      <c r="M35" s="201">
        <v>3</v>
      </c>
      <c r="N35" s="552">
        <v>1.5</v>
      </c>
      <c r="O35" s="12">
        <f t="shared" si="0"/>
        <v>3.2</v>
      </c>
      <c r="P35" s="7" t="str">
        <f t="shared" si="1"/>
        <v>Kém</v>
      </c>
      <c r="Q35" s="93" t="str">
        <f>IF(ISNUMBER(E35)=TRUE,"",IF(HKI!AD35="","",HKI!AD35))</f>
        <v/>
      </c>
      <c r="R35" s="93" t="str">
        <f t="shared" si="2"/>
        <v/>
      </c>
    </row>
    <row r="36" spans="1:18" ht="15.75">
      <c r="A36" s="2">
        <f>IF(OR($C$6="",$J$6=""),"",IF(B36="","",SUBTOTAL(3,$B$11:B36)))</f>
        <v>26</v>
      </c>
      <c r="B36" s="90" t="str">
        <f>IF(OR($C$6="",$J$6="",$L$6=""),"",IF(HKI!B36="","",HKI!B36))</f>
        <v>13D301Đ124</v>
      </c>
      <c r="C36" s="91" t="str">
        <f>IF($B36="","",VLOOKUP($B36,'DS LOP HKI'!$B$2:$F$2642,2,0))</f>
        <v>Cao Nguyễn Nhật</v>
      </c>
      <c r="D36" s="92" t="str">
        <f>IF($B36="","",VLOOKUP($B36,'DS LOP HKI'!$B$2:$F$2642,3,0))</f>
        <v>Tân</v>
      </c>
      <c r="E36" s="144"/>
      <c r="F36" s="111"/>
      <c r="G36" s="201">
        <v>7</v>
      </c>
      <c r="H36" s="201">
        <v>7</v>
      </c>
      <c r="I36" s="201"/>
      <c r="J36" s="201"/>
      <c r="K36" s="201"/>
      <c r="L36" s="201"/>
      <c r="M36" s="201">
        <v>4</v>
      </c>
      <c r="N36" s="552">
        <v>6.3</v>
      </c>
      <c r="O36" s="12">
        <f t="shared" si="0"/>
        <v>5.8</v>
      </c>
      <c r="P36" s="7" t="str">
        <f t="shared" si="1"/>
        <v>TB</v>
      </c>
      <c r="Q36" s="93" t="str">
        <f>IF(ISNUMBER(E36)=TRUE,"",IF(HKI!AD36="","",HKI!AD36))</f>
        <v/>
      </c>
      <c r="R36" s="93" t="str">
        <f t="shared" si="2"/>
        <v/>
      </c>
    </row>
    <row r="37" spans="1:18" ht="15.75">
      <c r="A37" s="2">
        <f>IF(OR($C$6="",$J$6=""),"",IF(B37="","",SUBTOTAL(3,$B$11:B37)))</f>
        <v>27</v>
      </c>
      <c r="B37" s="90" t="str">
        <f>IF(OR($C$6="",$J$6="",$L$6=""),"",IF(HKI!B37="","",HKI!B37))</f>
        <v>13D301Đ130</v>
      </c>
      <c r="C37" s="91" t="str">
        <f>IF($B37="","",VLOOKUP($B37,'DS LOP HKI'!$B$2:$F$2642,2,0))</f>
        <v>Nguyễn Việt</v>
      </c>
      <c r="D37" s="92" t="str">
        <f>IF($B37="","",VLOOKUP($B37,'DS LOP HKI'!$B$2:$F$2642,3,0))</f>
        <v>Thắng</v>
      </c>
      <c r="E37" s="144"/>
      <c r="F37" s="111"/>
      <c r="G37" s="201">
        <v>7</v>
      </c>
      <c r="H37" s="201">
        <v>7</v>
      </c>
      <c r="I37" s="201"/>
      <c r="J37" s="201"/>
      <c r="K37" s="201"/>
      <c r="L37" s="201"/>
      <c r="M37" s="201">
        <v>3</v>
      </c>
      <c r="N37" s="552">
        <v>5</v>
      </c>
      <c r="O37" s="12">
        <f t="shared" si="0"/>
        <v>4.8</v>
      </c>
      <c r="P37" s="7" t="str">
        <f t="shared" si="1"/>
        <v>TBY</v>
      </c>
      <c r="Q37" s="93" t="str">
        <f>IF(ISNUMBER(E37)=TRUE,"",IF(HKI!AD37="","",HKI!AD37))</f>
        <v/>
      </c>
      <c r="R37" s="93" t="str">
        <f t="shared" si="2"/>
        <v/>
      </c>
    </row>
    <row r="38" spans="1:18" ht="15.75">
      <c r="A38" s="2">
        <f>IF(OR($C$6="",$J$6=""),"",IF(B38="","",SUBTOTAL(3,$B$11:B38)))</f>
        <v>28</v>
      </c>
      <c r="B38" s="90" t="str">
        <f>IF(OR($C$6="",$J$6="",$L$6=""),"",IF(HKI!B38="","",HKI!B38))</f>
        <v>13D301Đ133</v>
      </c>
      <c r="C38" s="91" t="str">
        <f>IF($B38="","",VLOOKUP($B38,'DS LOP HKI'!$B$2:$F$2642,2,0))</f>
        <v>Nguyễn Khắc</v>
      </c>
      <c r="D38" s="92" t="str">
        <f>IF($B38="","",VLOOKUP($B38,'DS LOP HKI'!$B$2:$F$2642,3,0))</f>
        <v>Thành</v>
      </c>
      <c r="E38" s="144"/>
      <c r="F38" s="111"/>
      <c r="G38" s="201">
        <v>7</v>
      </c>
      <c r="H38" s="201">
        <v>7</v>
      </c>
      <c r="I38" s="201"/>
      <c r="J38" s="201"/>
      <c r="K38" s="201"/>
      <c r="L38" s="201"/>
      <c r="M38" s="201">
        <v>4</v>
      </c>
      <c r="N38" s="552">
        <v>1</v>
      </c>
      <c r="O38" s="12">
        <f t="shared" si="0"/>
        <v>3.1</v>
      </c>
      <c r="P38" s="7" t="str">
        <f t="shared" si="1"/>
        <v>Kém</v>
      </c>
      <c r="Q38" s="93" t="str">
        <f>IF(ISNUMBER(E38)=TRUE,"",IF(HKI!AD38="","",HKI!AD38))</f>
        <v/>
      </c>
      <c r="R38" s="93" t="str">
        <f t="shared" si="2"/>
        <v/>
      </c>
    </row>
    <row r="39" spans="1:18" ht="15.75">
      <c r="A39" s="2">
        <f>IF(OR($C$6="",$J$6=""),"",IF(B39="","",SUBTOTAL(3,$B$11:B39)))</f>
        <v>29</v>
      </c>
      <c r="B39" s="90" t="str">
        <f>IF(OR($C$6="",$J$6="",$L$6=""),"",IF(HKI!B39="","",HKI!B39))</f>
        <v>13D301Đ136</v>
      </c>
      <c r="C39" s="91" t="str">
        <f>IF($B39="","",VLOOKUP($B39,'DS LOP HKI'!$B$2:$F$2642,2,0))</f>
        <v>Trần Minh</v>
      </c>
      <c r="D39" s="92" t="str">
        <f>IF($B39="","",VLOOKUP($B39,'DS LOP HKI'!$B$2:$F$2642,3,0))</f>
        <v>Thanh</v>
      </c>
      <c r="E39" s="144"/>
      <c r="F39" s="111"/>
      <c r="G39" s="201">
        <v>7</v>
      </c>
      <c r="H39" s="201">
        <v>8</v>
      </c>
      <c r="I39" s="201"/>
      <c r="J39" s="201"/>
      <c r="K39" s="201"/>
      <c r="L39" s="201"/>
      <c r="M39" s="201">
        <v>8</v>
      </c>
      <c r="N39" s="552">
        <v>7</v>
      </c>
      <c r="O39" s="12">
        <f t="shared" si="0"/>
        <v>7.4</v>
      </c>
      <c r="P39" s="7" t="str">
        <f t="shared" si="1"/>
        <v>Khá</v>
      </c>
      <c r="Q39" s="93" t="str">
        <f>IF(ISNUMBER(E39)=TRUE,"",IF(HKI!AD39="","",HKI!AD39))</f>
        <v/>
      </c>
      <c r="R39" s="93" t="str">
        <f t="shared" si="2"/>
        <v/>
      </c>
    </row>
    <row r="40" spans="1:18" ht="15.75">
      <c r="A40" s="2">
        <f>IF(OR($C$6="",$J$6=""),"",IF(B40="","",SUBTOTAL(3,$B$11:B40)))</f>
        <v>30</v>
      </c>
      <c r="B40" s="90" t="str">
        <f>IF(OR($C$6="",$J$6="",$L$6=""),"",IF(HKI!B40="","",HKI!B40))</f>
        <v>13D301Đ169</v>
      </c>
      <c r="C40" s="91" t="str">
        <f>IF($B40="","",VLOOKUP($B40,'DS LOP HKI'!$B$2:$F$2642,2,0))</f>
        <v>Nguyễn Thanh</v>
      </c>
      <c r="D40" s="92" t="str">
        <f>IF($B40="","",VLOOKUP($B40,'DS LOP HKI'!$B$2:$F$2642,3,0))</f>
        <v>Thảo</v>
      </c>
      <c r="E40" s="144"/>
      <c r="F40" s="111"/>
      <c r="G40" s="201">
        <v>7</v>
      </c>
      <c r="H40" s="201">
        <v>7</v>
      </c>
      <c r="I40" s="201"/>
      <c r="J40" s="201"/>
      <c r="K40" s="201"/>
      <c r="L40" s="201"/>
      <c r="M40" s="201">
        <v>3</v>
      </c>
      <c r="N40" s="552">
        <v>1</v>
      </c>
      <c r="O40" s="12">
        <f t="shared" si="0"/>
        <v>2.8</v>
      </c>
      <c r="P40" s="7" t="str">
        <f t="shared" si="1"/>
        <v>Kém</v>
      </c>
      <c r="Q40" s="93" t="str">
        <f>IF(ISNUMBER(E40)=TRUE,"",IF(HKI!AD40="","",HKI!AD40))</f>
        <v/>
      </c>
      <c r="R40" s="93" t="str">
        <f t="shared" si="2"/>
        <v/>
      </c>
    </row>
    <row r="41" spans="1:18" ht="15.75">
      <c r="A41" s="2">
        <f>IF(OR($C$6="",$J$6=""),"",IF(B41="","",SUBTOTAL(3,$B$11:B41)))</f>
        <v>31</v>
      </c>
      <c r="B41" s="90" t="str">
        <f>IF(OR($C$6="",$J$6="",$L$6=""),"",IF(HKI!B41="","",HKI!B41))</f>
        <v>13D301Đ154</v>
      </c>
      <c r="C41" s="91" t="str">
        <f>IF($B41="","",VLOOKUP($B41,'DS LOP HKI'!$B$2:$F$2642,2,0))</f>
        <v>Võ Đức</v>
      </c>
      <c r="D41" s="92" t="str">
        <f>IF($B41="","",VLOOKUP($B41,'DS LOP HKI'!$B$2:$F$2642,3,0))</f>
        <v>Trí</v>
      </c>
      <c r="E41" s="144"/>
      <c r="F41" s="111"/>
      <c r="G41" s="201">
        <v>8</v>
      </c>
      <c r="H41" s="201">
        <v>9</v>
      </c>
      <c r="I41" s="201"/>
      <c r="J41" s="201"/>
      <c r="K41" s="201"/>
      <c r="L41" s="201"/>
      <c r="M41" s="201">
        <v>2</v>
      </c>
      <c r="N41" s="552">
        <v>0</v>
      </c>
      <c r="O41" s="12">
        <f t="shared" si="0"/>
        <v>2.2999999999999998</v>
      </c>
      <c r="P41" s="7" t="str">
        <f t="shared" si="1"/>
        <v>Kém</v>
      </c>
      <c r="Q41" s="93" t="str">
        <f>IF(ISNUMBER(E41)=TRUE,"",IF(HKI!AD41="","",HKI!AD41))</f>
        <v/>
      </c>
      <c r="R41" s="93" t="str">
        <f t="shared" si="2"/>
        <v/>
      </c>
    </row>
    <row r="42" spans="1:18" ht="15.75">
      <c r="A42" s="2">
        <f>IF(OR($C$6="",$J$6=""),"",IF(B42="","",SUBTOTAL(3,$B$11:B42)))</f>
        <v>32</v>
      </c>
      <c r="B42" s="90" t="str">
        <f>IF(OR($C$6="",$J$6="",$L$6=""),"",IF(HKI!B42="","",HKI!B42))</f>
        <v>13D301Đ160</v>
      </c>
      <c r="C42" s="91" t="str">
        <f>IF($B42="","",VLOOKUP($B42,'DS LOP HKI'!$B$2:$F$2642,2,0))</f>
        <v>Nguyễn Bá</v>
      </c>
      <c r="D42" s="92" t="str">
        <f>IF($B42="","",VLOOKUP($B42,'DS LOP HKI'!$B$2:$F$2642,3,0))</f>
        <v>Trung</v>
      </c>
      <c r="E42" s="144"/>
      <c r="F42" s="111"/>
      <c r="G42" s="201">
        <v>7</v>
      </c>
      <c r="H42" s="201">
        <v>6</v>
      </c>
      <c r="I42" s="201"/>
      <c r="J42" s="201"/>
      <c r="K42" s="201"/>
      <c r="L42" s="201"/>
      <c r="M42" s="201">
        <v>2</v>
      </c>
      <c r="N42" s="552">
        <v>1</v>
      </c>
      <c r="O42" s="12">
        <f t="shared" si="0"/>
        <v>2.4</v>
      </c>
      <c r="P42" s="7" t="str">
        <f t="shared" si="1"/>
        <v>Kém</v>
      </c>
      <c r="Q42" s="93" t="str">
        <f>IF(ISNUMBER(E42)=TRUE,"",IF(HKI!AD42="","",HKI!AD42))</f>
        <v/>
      </c>
      <c r="R42" s="93" t="str">
        <f t="shared" si="2"/>
        <v/>
      </c>
    </row>
    <row r="43" spans="1:18" ht="15.75">
      <c r="A43" s="2">
        <f>IF(OR($C$6="",$J$6=""),"",IF(B43="","",SUBTOTAL(3,$B$11:B43)))</f>
        <v>33</v>
      </c>
      <c r="B43" s="90" t="str">
        <f>IF(OR($C$6="",$J$6="",$L$6=""),"",IF(HKI!B43="","",HKI!B43))</f>
        <v>13D301Đ163</v>
      </c>
      <c r="C43" s="91" t="str">
        <f>IF($B43="","",VLOOKUP($B43,'DS LOP HKI'!$B$2:$F$2642,2,0))</f>
        <v>Mai Ngọc</v>
      </c>
      <c r="D43" s="92" t="str">
        <f>IF($B43="","",VLOOKUP($B43,'DS LOP HKI'!$B$2:$F$2642,3,0))</f>
        <v>Trước</v>
      </c>
      <c r="E43" s="144"/>
      <c r="F43" s="111"/>
      <c r="G43" s="201">
        <v>7</v>
      </c>
      <c r="H43" s="201">
        <v>6</v>
      </c>
      <c r="I43" s="201"/>
      <c r="J43" s="201"/>
      <c r="K43" s="201"/>
      <c r="L43" s="201"/>
      <c r="M43" s="201">
        <v>5</v>
      </c>
      <c r="N43" s="552">
        <v>3.5</v>
      </c>
      <c r="O43" s="12">
        <f t="shared" si="0"/>
        <v>4.5999999999999996</v>
      </c>
      <c r="P43" s="7" t="str">
        <f t="shared" si="1"/>
        <v>TBY</v>
      </c>
      <c r="Q43" s="93" t="str">
        <f>IF(ISNUMBER(E43)=TRUE,"",IF(HKI!AD43="","",HKI!AD43))</f>
        <v/>
      </c>
      <c r="R43" s="93" t="str">
        <f t="shared" si="2"/>
        <v/>
      </c>
    </row>
    <row r="44" spans="1:18" ht="15.75">
      <c r="A44" s="2">
        <f>IF(OR($C$6="",$J$6=""),"",IF(B44="","",SUBTOTAL(3,$B$11:B44)))</f>
        <v>34</v>
      </c>
      <c r="B44" s="90" t="str">
        <f>IF(OR($C$6="",$J$6="",$L$6=""),"",IF(HKI!B44="","",HKI!B44))</f>
        <v>13D301Đ166</v>
      </c>
      <c r="C44" s="91" t="str">
        <f>IF($B44="","",VLOOKUP($B44,'DS LOP HKI'!$B$2:$F$2642,2,0))</f>
        <v>Nguyễn Văn</v>
      </c>
      <c r="D44" s="92" t="str">
        <f>IF($B44="","",VLOOKUP($B44,'DS LOP HKI'!$B$2:$F$2642,3,0))</f>
        <v>Tư</v>
      </c>
      <c r="E44" s="144"/>
      <c r="F44" s="111"/>
      <c r="G44" s="201">
        <v>8</v>
      </c>
      <c r="H44" s="201">
        <v>7</v>
      </c>
      <c r="I44" s="201"/>
      <c r="J44" s="201"/>
      <c r="K44" s="201"/>
      <c r="L44" s="201"/>
      <c r="M44" s="201">
        <v>7</v>
      </c>
      <c r="N44" s="552">
        <v>5.8</v>
      </c>
      <c r="O44" s="12">
        <f t="shared" si="0"/>
        <v>6.5</v>
      </c>
      <c r="P44" s="7" t="str">
        <f t="shared" si="1"/>
        <v>TB</v>
      </c>
      <c r="Q44" s="93" t="str">
        <f>IF(ISNUMBER(E44)=TRUE,"",IF(HKI!AD44="","",HKI!AD44))</f>
        <v/>
      </c>
      <c r="R44" s="93" t="str">
        <f t="shared" si="2"/>
        <v/>
      </c>
    </row>
    <row r="45" spans="1:18" ht="15.75">
      <c r="A45" s="2">
        <f>IF(OR($C$6="",$J$6=""),"",IF(B45="","",SUBTOTAL(3,$B$11:B45)))</f>
        <v>35</v>
      </c>
      <c r="B45" s="90" t="str">
        <f>IF(OR($C$6="",$J$6="",$L$6=""),"",IF(HKI!B45="","",HKI!B45))</f>
        <v>13D301Đ178</v>
      </c>
      <c r="C45" s="91" t="str">
        <f>IF($B45="","",VLOOKUP($B45,'DS LOP HKI'!$B$2:$F$2642,2,0))</f>
        <v>Lê Văn</v>
      </c>
      <c r="D45" s="92" t="str">
        <f>IF($B45="","",VLOOKUP($B45,'DS LOP HKI'!$B$2:$F$2642,3,0))</f>
        <v>Vũ</v>
      </c>
      <c r="E45" s="144"/>
      <c r="F45" s="111"/>
      <c r="G45" s="201">
        <v>7</v>
      </c>
      <c r="H45" s="201">
        <v>6</v>
      </c>
      <c r="I45" s="201"/>
      <c r="J45" s="201"/>
      <c r="K45" s="201"/>
      <c r="L45" s="201"/>
      <c r="M45" s="201">
        <v>6</v>
      </c>
      <c r="N45" s="552">
        <v>1.5</v>
      </c>
      <c r="O45" s="12">
        <f t="shared" si="0"/>
        <v>3.9</v>
      </c>
      <c r="P45" s="7" t="str">
        <f t="shared" si="1"/>
        <v>Kém</v>
      </c>
      <c r="Q45" s="93" t="str">
        <f>IF(ISNUMBER(E45)=TRUE,"",IF(HKI!AD45="","",HKI!AD45))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2"/>
      <c r="G46" s="262"/>
      <c r="H46" s="262"/>
      <c r="I46" s="262"/>
      <c r="J46" s="201"/>
      <c r="K46" s="201"/>
      <c r="L46" s="201"/>
      <c r="M46" s="262"/>
      <c r="N46" s="262"/>
      <c r="O46" s="12" t="str">
        <f t="shared" si="0"/>
        <v/>
      </c>
      <c r="P46" s="7" t="str">
        <f t="shared" si="1"/>
        <v/>
      </c>
      <c r="Q46" s="93" t="str">
        <f>IF(ISNUMBER(E46)=TRUE,"",IF(HKI!AD46="","",HKI!AD46))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111"/>
      <c r="G47" s="262"/>
      <c r="H47" s="262"/>
      <c r="I47" s="262"/>
      <c r="J47" s="201"/>
      <c r="K47" s="201"/>
      <c r="L47" s="201"/>
      <c r="M47" s="262"/>
      <c r="N47" s="262"/>
      <c r="O47" s="12" t="str">
        <f t="shared" si="0"/>
        <v/>
      </c>
      <c r="P47" s="7" t="str">
        <f t="shared" si="1"/>
        <v/>
      </c>
      <c r="Q47" s="93" t="str">
        <f>IF(ISNUMBER(E47)=TRUE,"",IF(HKI!AD47="","",HKI!AD47))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111"/>
      <c r="G48" s="262"/>
      <c r="H48" s="262"/>
      <c r="I48" s="262"/>
      <c r="J48" s="201"/>
      <c r="K48" s="201"/>
      <c r="L48" s="201"/>
      <c r="M48" s="262"/>
      <c r="N48" s="262"/>
      <c r="O48" s="12" t="str">
        <f t="shared" si="0"/>
        <v/>
      </c>
      <c r="P48" s="7" t="str">
        <f t="shared" si="1"/>
        <v/>
      </c>
      <c r="Q48" s="93" t="str">
        <f>IF(ISNUMBER(E48)=TRUE,"",IF(HKI!AD48="","",HKI!AD48))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111"/>
      <c r="G49" s="262"/>
      <c r="H49" s="262"/>
      <c r="I49" s="262"/>
      <c r="J49" s="201"/>
      <c r="K49" s="201"/>
      <c r="L49" s="201"/>
      <c r="M49" s="262"/>
      <c r="N49" s="262"/>
      <c r="O49" s="12" t="str">
        <f t="shared" si="0"/>
        <v/>
      </c>
      <c r="P49" s="7" t="str">
        <f t="shared" si="1"/>
        <v/>
      </c>
      <c r="Q49" s="93" t="str">
        <f>IF(ISNUMBER(E49)=TRUE,"",IF(HKI!AD49="","",HKI!AD49))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111"/>
      <c r="G50" s="262"/>
      <c r="H50" s="262"/>
      <c r="I50" s="262"/>
      <c r="J50" s="201"/>
      <c r="K50" s="201"/>
      <c r="L50" s="201"/>
      <c r="M50" s="262"/>
      <c r="N50" s="262"/>
      <c r="O50" s="12" t="str">
        <f t="shared" si="0"/>
        <v/>
      </c>
      <c r="P50" s="7" t="str">
        <f t="shared" si="1"/>
        <v/>
      </c>
      <c r="Q50" s="93" t="str">
        <f>IF(ISNUMBER(E50)=TRUE,"",IF(HKI!AD50="","",HKI!AD50))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111"/>
      <c r="G51" s="262"/>
      <c r="H51" s="262"/>
      <c r="I51" s="262"/>
      <c r="J51" s="201"/>
      <c r="K51" s="201"/>
      <c r="L51" s="201"/>
      <c r="M51" s="262"/>
      <c r="N51" s="262"/>
      <c r="O51" s="12" t="str">
        <f t="shared" si="0"/>
        <v/>
      </c>
      <c r="P51" s="7" t="str">
        <f t="shared" si="1"/>
        <v/>
      </c>
      <c r="Q51" s="93" t="str">
        <f>IF(ISNUMBER(E51)=TRUE,"",IF(HKI!AD51="","",HKI!AD51))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111"/>
      <c r="G52" s="262"/>
      <c r="H52" s="262"/>
      <c r="I52" s="262"/>
      <c r="J52" s="201"/>
      <c r="K52" s="201"/>
      <c r="L52" s="201"/>
      <c r="M52" s="262"/>
      <c r="N52" s="262"/>
      <c r="O52" s="12" t="str">
        <f t="shared" si="0"/>
        <v/>
      </c>
      <c r="P52" s="7" t="str">
        <f t="shared" si="1"/>
        <v/>
      </c>
      <c r="Q52" s="93" t="str">
        <f>IF(ISNUMBER(E52)=TRUE,"",IF(HKI!AD52="","",HKI!AD52))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111"/>
      <c r="G53" s="262"/>
      <c r="H53" s="262"/>
      <c r="I53" s="262"/>
      <c r="J53" s="201"/>
      <c r="K53" s="201"/>
      <c r="L53" s="201"/>
      <c r="M53" s="262"/>
      <c r="N53" s="262"/>
      <c r="O53" s="12" t="str">
        <f t="shared" si="0"/>
        <v/>
      </c>
      <c r="P53" s="7" t="str">
        <f t="shared" si="1"/>
        <v/>
      </c>
      <c r="Q53" s="93" t="str">
        <f>IF(ISNUMBER(E53)=TRUE,"",IF(HKI!AD53="","",HKI!AD53))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111"/>
      <c r="G54" s="262"/>
      <c r="H54" s="262"/>
      <c r="I54" s="262"/>
      <c r="J54" s="201"/>
      <c r="K54" s="201"/>
      <c r="L54" s="201"/>
      <c r="M54" s="262"/>
      <c r="N54" s="262"/>
      <c r="O54" s="12" t="str">
        <f t="shared" si="0"/>
        <v/>
      </c>
      <c r="P54" s="7" t="str">
        <f t="shared" si="1"/>
        <v/>
      </c>
      <c r="Q54" s="93" t="str">
        <f>IF(ISNUMBER(E54)=TRUE,"",IF(HKI!AD54="","",HKI!AD54))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111"/>
      <c r="G55" s="262"/>
      <c r="H55" s="262"/>
      <c r="I55" s="262"/>
      <c r="J55" s="201"/>
      <c r="K55" s="201"/>
      <c r="L55" s="201"/>
      <c r="M55" s="262"/>
      <c r="N55" s="262"/>
      <c r="O55" s="12" t="str">
        <f t="shared" si="0"/>
        <v/>
      </c>
      <c r="P55" s="7" t="str">
        <f t="shared" si="1"/>
        <v/>
      </c>
      <c r="Q55" s="93" t="str">
        <f>IF(ISNUMBER(E55)=TRUE,"",IF(HKI!AD55="","",HKI!AD55))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111"/>
      <c r="G56" s="262"/>
      <c r="H56" s="262"/>
      <c r="I56" s="262"/>
      <c r="J56" s="201"/>
      <c r="K56" s="201"/>
      <c r="L56" s="201"/>
      <c r="M56" s="262"/>
      <c r="N56" s="262"/>
      <c r="O56" s="12" t="str">
        <f t="shared" si="0"/>
        <v/>
      </c>
      <c r="P56" s="7" t="str">
        <f t="shared" si="1"/>
        <v/>
      </c>
      <c r="Q56" s="93" t="str">
        <f>IF(ISNUMBER(E56)=TRUE,"",IF(HKI!AD56="","",HKI!AD56))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262"/>
      <c r="I57" s="262"/>
      <c r="J57" s="111"/>
      <c r="K57" s="111"/>
      <c r="L57" s="111"/>
      <c r="M57" s="262"/>
      <c r="N57" s="262"/>
      <c r="O57" s="12" t="str">
        <f t="shared" si="0"/>
        <v/>
      </c>
      <c r="P57" s="7" t="str">
        <f t="shared" si="1"/>
        <v/>
      </c>
      <c r="Q57" s="93" t="str">
        <f>IF(ISNUMBER(E57)=TRUE,"",IF(HKI!AD57="","",HKI!AD57))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262"/>
      <c r="I58" s="262"/>
      <c r="J58" s="111"/>
      <c r="K58" s="111"/>
      <c r="L58" s="111"/>
      <c r="M58" s="262"/>
      <c r="N58" s="262"/>
      <c r="O58" s="12" t="str">
        <f t="shared" si="0"/>
        <v/>
      </c>
      <c r="P58" s="7" t="str">
        <f t="shared" si="1"/>
        <v/>
      </c>
      <c r="Q58" s="93" t="str">
        <f>IF(ISNUMBER(E58)=TRUE,"",IF(HKI!AD58="","",HKI!AD58))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262"/>
      <c r="I59" s="262"/>
      <c r="J59" s="111"/>
      <c r="K59" s="111"/>
      <c r="L59" s="111"/>
      <c r="M59" s="262"/>
      <c r="N59" s="262"/>
      <c r="O59" s="12" t="str">
        <f t="shared" si="0"/>
        <v/>
      </c>
      <c r="P59" s="7" t="str">
        <f t="shared" si="1"/>
        <v/>
      </c>
      <c r="Q59" s="93" t="str">
        <f>IF(ISNUMBER(E59)=TRUE,"",IF(HKI!AD59="","",HKI!AD59))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262"/>
      <c r="I60" s="262"/>
      <c r="J60" s="111"/>
      <c r="K60" s="111"/>
      <c r="L60" s="111"/>
      <c r="M60" s="262"/>
      <c r="N60" s="262"/>
      <c r="O60" s="12" t="str">
        <f t="shared" si="0"/>
        <v/>
      </c>
      <c r="P60" s="7" t="str">
        <f t="shared" si="1"/>
        <v/>
      </c>
      <c r="Q60" s="93" t="str">
        <f>IF(ISNUMBER(E60)=TRUE,"",IF(HKI!AD60="","",HKI!AD60))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IF(ISNUMBER(E61)=TRUE,"",IF(HKI!AD61="","",HKI!AD61))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IF(ISNUMBER(E62)=TRUE,"",IF(HKI!AD62="","",HKI!AD62))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IF(ISNUMBER(E63)=TRUE,"",IF(HKI!AD63="","",HKI!AD63))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IF(ISNUMBER(E64)=TRUE,"",IF(HKI!AD64="","",HKI!AD64))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IF(ISNUMBER(E65)=TRUE,"",IF(HKI!AD65="","",HKI!AD65))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IF(ISNUMBER(E66)=TRUE,"",IF(HKI!AD66="","",HKI!AD66))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IF(ISNUMBER(E67)=TRUE,"",IF(HKI!AD67="","",HKI!AD67))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IF(ISNUMBER(E68)=TRUE,"",IF(HKI!AD68="","",HKI!AD68))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IF(ISNUMBER(E69)=TRUE,"",IF(HKI!AD69="","",HKI!AD69))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IF(ISNUMBER(E70)=TRUE,"",IF(HKI!AD70="","",HKI!AD70))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IF(ISNUMBER(E71)=TRUE,"",IF(HKI!AD71="","",HKI!AD71))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IF(ISNUMBER(E72)=TRUE,"",IF(HKI!AD72="","",HKI!AD72))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IF(ISNUMBER(E73)=TRUE,"",IF(HKI!AD73="","",HKI!AD73))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IF(ISNUMBER(E74)=TRUE,"",IF(HKI!AD74="","",HKI!AD74))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IF(ISNUMBER(E75)=TRUE,"",IF(HKI!AD75="","",HKI!AD75))</f>
        <v/>
      </c>
      <c r="R75" s="93" t="str">
        <f t="shared" si="2"/>
        <v/>
      </c>
    </row>
    <row r="76" spans="1:18" s="38" customFormat="1">
      <c r="A76" s="806" t="s">
        <v>1519</v>
      </c>
      <c r="B76" s="806"/>
      <c r="C76" s="806"/>
      <c r="D76" s="806"/>
      <c r="E76" s="806"/>
      <c r="F76" s="806"/>
      <c r="G76" s="806"/>
      <c r="H76" s="806"/>
      <c r="I76" s="806"/>
      <c r="J76" s="806"/>
      <c r="K76" s="806"/>
      <c r="L76" s="806"/>
      <c r="M76" s="806"/>
      <c r="N76" s="806"/>
      <c r="O76" s="806"/>
      <c r="P76" s="806"/>
    </row>
    <row r="77" spans="1:18" s="38" customFormat="1">
      <c r="A77" s="5"/>
      <c r="B77" s="793" t="str">
        <f>"Tổng danh sách có"</f>
        <v>Tổng danh sách có</v>
      </c>
      <c r="C77" s="793"/>
      <c r="D77" s="793"/>
      <c r="E77" s="793"/>
      <c r="F77" s="804" t="str">
        <f>": "&amp;MAX($A$11:$A$75)&amp;" SV"</f>
        <v>: 35 SV</v>
      </c>
      <c r="G77" s="804"/>
      <c r="L77" s="6"/>
      <c r="M77" s="6"/>
      <c r="N77" s="6"/>
      <c r="O77" s="6"/>
      <c r="P77" s="5"/>
    </row>
    <row r="78" spans="1:18" s="38" customFormat="1" ht="12.75" customHeight="1">
      <c r="A78" s="4"/>
      <c r="B78" s="782" t="str">
        <f>"Tổng số SV có điểm Giỏi từ 8,5 đ đến 10 đ"</f>
        <v>Tổng số SV có điểm Giỏi từ 8,5 đ đến 10 đ</v>
      </c>
      <c r="C78" s="782"/>
      <c r="D78" s="782"/>
      <c r="E78" s="782"/>
      <c r="F78" s="782" t="str">
        <f>": "&amp;COUNTIF($P$11:$P$75,"Giỏi")&amp;" SV"</f>
        <v>: 0 SV</v>
      </c>
      <c r="G78" s="782"/>
      <c r="H78" s="782" t="str">
        <f>IF(B11="","","("&amp;ROUND(COUNTIF($P$11:$P$75,"Giỏi")*100/MAX($A$11:$A$75),2)&amp;"%" &amp;")")</f>
        <v>(0%)</v>
      </c>
      <c r="I78" s="782"/>
      <c r="J78" s="782"/>
      <c r="K78" s="782"/>
      <c r="L78" s="789" t="str">
        <f>IF(B11="","","Tổng số SV có điểm &gt;= 4 đ : "&amp;COUNTIF(O11:O75,"&gt;=4")&amp;" SV"&amp;" ("&amp;ROUND(COUNTIF(O11:O75,"&gt;=4")*100/MAX($A$11:$A$75),2)&amp;"%" &amp;")")</f>
        <v>Tổng số SV có điểm &gt;= 4 đ : 19 SV (54.29%)</v>
      </c>
      <c r="M78" s="789"/>
      <c r="N78" s="789"/>
      <c r="O78" s="789"/>
      <c r="P78" s="46"/>
    </row>
    <row r="79" spans="1:18" s="38" customFormat="1" ht="12.75" customHeight="1">
      <c r="A79" s="4"/>
      <c r="B79" s="782" t="str">
        <f>"Tổng số SV có điểm Khá từ 7 đ đến &lt;8,5 đ"</f>
        <v>Tổng số SV có điểm Khá từ 7 đ đến &lt;8,5 đ</v>
      </c>
      <c r="C79" s="782"/>
      <c r="D79" s="782"/>
      <c r="E79" s="782"/>
      <c r="F79" s="782" t="str">
        <f>": "&amp;COUNTIF($P$11:$P$75,"Khá")&amp;" SV"</f>
        <v>: 1 SV</v>
      </c>
      <c r="G79" s="782"/>
      <c r="H79" s="782" t="str">
        <f>IF(B11="","","("&amp;ROUND(COUNTIF($P$11:$P$75,"Khá")*100/MAX($A$11:$A$75),2)&amp;"%" &amp;")")</f>
        <v>(2.86%)</v>
      </c>
      <c r="I79" s="782"/>
      <c r="J79" s="782"/>
      <c r="K79" s="782"/>
      <c r="L79" s="789"/>
      <c r="M79" s="789"/>
      <c r="N79" s="789"/>
      <c r="O79" s="789"/>
      <c r="P79" s="46"/>
    </row>
    <row r="80" spans="1:18" s="38" customFormat="1" ht="12.75" customHeight="1">
      <c r="A80" s="4"/>
      <c r="B80" s="782" t="str">
        <f>"Tổng số SV có điểm Trung bình từ 5,5 đ đến &lt;7 đ"</f>
        <v>Tổng số SV có điểm Trung bình từ 5,5 đ đến &lt;7 đ</v>
      </c>
      <c r="C80" s="782"/>
      <c r="D80" s="782"/>
      <c r="E80" s="782"/>
      <c r="F80" s="782" t="str">
        <f>": "&amp;COUNTIF($P$11:$P$75,"TB")&amp;" SV"</f>
        <v>: 4 SV</v>
      </c>
      <c r="G80" s="782"/>
      <c r="H80" s="782" t="str">
        <f>IF(B11="","","("&amp;ROUND(COUNTIF($P$11:$P$75,"TB")*100/MAX($A$11:$A$75),2)&amp;"%" &amp;")")</f>
        <v>(11.43%)</v>
      </c>
      <c r="I80" s="782"/>
      <c r="J80" s="782"/>
      <c r="K80" s="782"/>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14 SV</v>
      </c>
      <c r="G81" s="782"/>
      <c r="H81" s="782" t="str">
        <f>IF(B11="","","("&amp;ROUND(COUNTIF($P$11:$P$75,"TBY")*100/MAX($A$11:$A$75),2)&amp;"%" &amp;")")</f>
        <v>(40%)</v>
      </c>
      <c r="I81" s="782"/>
      <c r="J81" s="782"/>
      <c r="K81" s="782"/>
      <c r="L81" s="794" t="str">
        <f>IF(B11="","","Tổng số SV có điểm &lt; 4 đ : "&amp;COUNTIF(O11:O75,"&lt;4")&amp;" SV"&amp;" ("&amp;ROUND(COUNTIF(O11:O75,"&lt;4")*100/MAX($A$11:$A$75),2)&amp;"%" &amp;")")</f>
        <v>Tổng số SV có điểm &lt; 4 đ : 16 SV (45.71%)</v>
      </c>
      <c r="M81" s="794"/>
      <c r="N81" s="794"/>
      <c r="O81" s="794"/>
      <c r="P81" s="94"/>
    </row>
    <row r="82" spans="1:16" s="38" customFormat="1" ht="12.75" customHeight="1">
      <c r="A82" s="4"/>
      <c r="B82" s="782" t="str">
        <f>"Tổng số SV có điểm kém &lt;4 đ"</f>
        <v>Tổng số SV có điểm kém &lt;4 đ</v>
      </c>
      <c r="C82" s="782"/>
      <c r="D82" s="782"/>
      <c r="E82" s="782"/>
      <c r="F82" s="782" t="str">
        <f>": "&amp;COUNTIF($P$11:$P$75,"Kém")&amp;" SV"</f>
        <v>: 16 SV</v>
      </c>
      <c r="G82" s="782"/>
      <c r="H82" s="782" t="str">
        <f>IF(B11="","","("&amp;ROUND(COUNTIF($P$11:$P$75,"Kém")*100/MAX($A$11:$A$75),2)&amp;"%"&amp;")")</f>
        <v>(45.71%)</v>
      </c>
      <c r="I82" s="782"/>
      <c r="J82" s="782"/>
      <c r="K82" s="782"/>
      <c r="L82" s="794"/>
      <c r="M82" s="794"/>
      <c r="N82" s="794"/>
      <c r="O82" s="794"/>
      <c r="P82" s="94"/>
    </row>
    <row r="83" spans="1:16" s="38" customFormat="1" ht="12.75" customHeight="1">
      <c r="A83" s="4"/>
      <c r="B83" s="782" t="str">
        <f>"Tổng số SV không xếp loại vì chưa đủ điều kiện"</f>
        <v>Tổng số SV không xếp loại vì chưa đủ điều kiện</v>
      </c>
      <c r="C83" s="782"/>
      <c r="D83" s="782"/>
      <c r="E83" s="782"/>
      <c r="F83" s="782" t="str">
        <f>": "&amp;COUNTIF($P$11:$P$75,"KXL")&amp;" SV"</f>
        <v>: 0 SV</v>
      </c>
      <c r="G83" s="782"/>
      <c r="H83" s="782" t="str">
        <f>IF(B11="","","("&amp;ROUND(COUNTIF($P$11:$P$75,"KXL")*100/MAX($A$11:$A$75),2)&amp;"%"&amp;")")</f>
        <v>(0%)</v>
      </c>
      <c r="I83" s="782"/>
      <c r="J83" s="782"/>
      <c r="K83" s="782"/>
      <c r="L83" s="794"/>
      <c r="M83" s="794"/>
      <c r="N83" s="794"/>
      <c r="O83" s="794"/>
      <c r="P83" s="94"/>
    </row>
    <row r="84" spans="1:16" ht="15.75">
      <c r="B84" s="47"/>
      <c r="C84" s="47"/>
      <c r="D84" s="47"/>
      <c r="E84" s="47"/>
      <c r="F84" s="47"/>
      <c r="G84" s="47"/>
      <c r="H84" s="47"/>
      <c r="I84" s="47"/>
      <c r="J84" s="47"/>
      <c r="K84" s="47"/>
      <c r="L84" s="47"/>
      <c r="M84" s="47"/>
      <c r="N84" s="47"/>
      <c r="O84" s="47"/>
    </row>
    <row r="85" spans="1:16" ht="15.75" customHeight="1">
      <c r="A85" s="781" t="s">
        <v>1427</v>
      </c>
      <c r="B85" s="781"/>
      <c r="C85" s="781"/>
      <c r="D85" s="781" t="s">
        <v>1515</v>
      </c>
      <c r="E85" s="781"/>
      <c r="F85" s="781"/>
      <c r="G85" s="781"/>
      <c r="H85" s="781"/>
      <c r="I85" s="84"/>
      <c r="J85" s="84"/>
      <c r="K85" s="781" t="s">
        <v>1516</v>
      </c>
      <c r="L85" s="781"/>
      <c r="M85" s="781"/>
      <c r="N85" s="781"/>
      <c r="O85" s="781"/>
      <c r="P85" s="781"/>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H82:K82"/>
    <mergeCell ref="B83:E83"/>
    <mergeCell ref="F83:G83"/>
    <mergeCell ref="H83:K83"/>
    <mergeCell ref="B80:E80"/>
    <mergeCell ref="F80:G80"/>
    <mergeCell ref="B78:E78"/>
    <mergeCell ref="F78:G78"/>
    <mergeCell ref="B79:E79"/>
    <mergeCell ref="F79:G79"/>
    <mergeCell ref="Q8:Q9"/>
    <mergeCell ref="I8:I9"/>
    <mergeCell ref="A76:P76"/>
    <mergeCell ref="H78:K78"/>
    <mergeCell ref="L78:O80"/>
    <mergeCell ref="H79:K79"/>
    <mergeCell ref="H80:K80"/>
    <mergeCell ref="B77:E77"/>
    <mergeCell ref="F77:G77"/>
    <mergeCell ref="R8:R10"/>
    <mergeCell ref="M8:M9"/>
    <mergeCell ref="N8:N9"/>
    <mergeCell ref="A1:F1"/>
    <mergeCell ref="A2:F2"/>
    <mergeCell ref="A4:M4"/>
    <mergeCell ref="H1:N1"/>
    <mergeCell ref="H2:N2"/>
    <mergeCell ref="H3:N3"/>
    <mergeCell ref="A3:F3"/>
    <mergeCell ref="H6:I6"/>
    <mergeCell ref="A5:M5"/>
    <mergeCell ref="O8:O10"/>
    <mergeCell ref="P8:P10"/>
    <mergeCell ref="G7:I7"/>
    <mergeCell ref="J7:L7"/>
    <mergeCell ref="C6:G6"/>
    <mergeCell ref="L8:L9"/>
    <mergeCell ref="J8:J9"/>
    <mergeCell ref="K8:K9"/>
    <mergeCell ref="G10:L10"/>
  </mergeCells>
  <phoneticPr fontId="12" type="noConversion"/>
  <conditionalFormatting sqref="O11:O75">
    <cfRule type="cellIs" dxfId="5"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5.xml><?xml version="1.0" encoding="utf-8"?>
<worksheet xmlns="http://schemas.openxmlformats.org/spreadsheetml/2006/main" xmlns:r="http://schemas.openxmlformats.org/officeDocument/2006/relationships">
  <sheetPr codeName="Sheet13"/>
  <dimension ref="A1:R85"/>
  <sheetViews>
    <sheetView workbookViewId="0">
      <pane ySplit="10" topLeftCell="A11" activePane="bottomLeft" state="frozen"/>
      <selection activeCell="G25" sqref="G25"/>
      <selection pane="bottomLeft" activeCell="G11" sqref="G11:N60"/>
    </sheetView>
  </sheetViews>
  <sheetFormatPr defaultRowHeight="12.75"/>
  <cols>
    <col min="1" max="1" width="3.85546875" style="5" bestFit="1" customWidth="1"/>
    <col min="2" max="2" width="13.5703125" style="5" bestFit="1" customWidth="1"/>
    <col min="3" max="3" width="18.8554687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1406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8" t="s">
        <v>1502</v>
      </c>
      <c r="B1" s="788"/>
      <c r="C1" s="788"/>
      <c r="D1" s="788"/>
      <c r="E1" s="788"/>
      <c r="F1" s="788"/>
      <c r="G1" s="79"/>
      <c r="H1" s="784" t="s">
        <v>1503</v>
      </c>
      <c r="I1" s="784"/>
      <c r="J1" s="784"/>
      <c r="K1" s="784"/>
      <c r="L1" s="784"/>
      <c r="M1" s="784"/>
      <c r="N1" s="784"/>
    </row>
    <row r="2" spans="1:18" ht="15.75">
      <c r="A2" s="787" t="s">
        <v>1504</v>
      </c>
      <c r="B2" s="787"/>
      <c r="C2" s="787"/>
      <c r="D2" s="787"/>
      <c r="E2" s="787"/>
      <c r="F2" s="787"/>
      <c r="G2" s="79"/>
      <c r="H2" s="784" t="s">
        <v>1505</v>
      </c>
      <c r="I2" s="784"/>
      <c r="J2" s="784"/>
      <c r="K2" s="784"/>
      <c r="L2" s="784"/>
      <c r="M2" s="784"/>
      <c r="N2" s="784"/>
    </row>
    <row r="3" spans="1:18" ht="15.75">
      <c r="A3" s="785" t="s">
        <v>1506</v>
      </c>
      <c r="B3" s="785"/>
      <c r="C3" s="785"/>
      <c r="D3" s="785"/>
      <c r="E3" s="785"/>
      <c r="F3" s="785"/>
      <c r="G3" s="80"/>
      <c r="H3" s="785" t="s">
        <v>1507</v>
      </c>
      <c r="I3" s="785"/>
      <c r="J3" s="785"/>
      <c r="K3" s="785"/>
      <c r="L3" s="785"/>
      <c r="M3" s="785"/>
      <c r="N3" s="785"/>
    </row>
    <row r="4" spans="1:18" ht="18.75">
      <c r="A4" s="786" t="s">
        <v>1508</v>
      </c>
      <c r="B4" s="786"/>
      <c r="C4" s="786"/>
      <c r="D4" s="786"/>
      <c r="E4" s="786"/>
      <c r="F4" s="786"/>
      <c r="G4" s="786"/>
      <c r="H4" s="786"/>
      <c r="I4" s="786"/>
      <c r="J4" s="786"/>
      <c r="K4" s="786"/>
      <c r="L4" s="786"/>
      <c r="M4" s="786"/>
    </row>
    <row r="5" spans="1:18" ht="18.75">
      <c r="A5" s="786"/>
      <c r="B5" s="786"/>
      <c r="C5" s="786"/>
      <c r="D5" s="786"/>
      <c r="E5" s="786"/>
      <c r="F5" s="786"/>
      <c r="G5" s="786"/>
      <c r="H5" s="786"/>
      <c r="I5" s="786"/>
      <c r="J5" s="786"/>
      <c r="K5" s="786"/>
      <c r="L5" s="786"/>
      <c r="M5" s="786"/>
    </row>
    <row r="6" spans="1:18" s="81" customFormat="1" ht="15">
      <c r="B6" s="82" t="s">
        <v>1509</v>
      </c>
      <c r="C6" s="780" t="str">
        <f>IF(L6="","",IF(VLOOKUP(L6,'LOP-MON'!$C$2:$N$55,8,FALSE)=0,"",VLOOKUP(L6,'LOP-MON'!$C$2:$N$55,8,FALSE)))</f>
        <v/>
      </c>
      <c r="D6" s="780"/>
      <c r="E6" s="780"/>
      <c r="F6" s="780"/>
      <c r="G6" s="780"/>
      <c r="H6" s="781" t="s">
        <v>1532</v>
      </c>
      <c r="I6" s="781"/>
      <c r="J6" s="83" t="str">
        <f>IF(L6="","",IF(VLOOKUP(CONCATENATE("TC",MID(L6,1,4),MID(L6,6,3)),'LOP-MON'!$C$2:$N$55,8,FALSE)=0,"",VLOOKUP(CONCATENATE("TC",MID(L6,1,4),MID(L6,6,3)),'LOP-MON'!$C$2:$N$55,8,FALSE)))</f>
        <v/>
      </c>
      <c r="K6" s="82" t="s">
        <v>1424</v>
      </c>
      <c r="L6" s="85" t="str">
        <f>HKI!$D$3</f>
        <v>13CĐ-Đ1</v>
      </c>
      <c r="M6" s="82"/>
      <c r="N6" s="82"/>
    </row>
    <row r="7" spans="1:18" s="86" customFormat="1" ht="15">
      <c r="C7" s="45" t="s">
        <v>1510</v>
      </c>
      <c r="D7" s="45" t="s">
        <v>1511</v>
      </c>
      <c r="E7" s="87"/>
      <c r="G7" s="790" t="s">
        <v>1512</v>
      </c>
      <c r="H7" s="790"/>
      <c r="I7" s="790"/>
      <c r="J7" s="790" t="s">
        <v>1513</v>
      </c>
      <c r="K7" s="790"/>
      <c r="L7" s="790"/>
      <c r="O7" s="88"/>
      <c r="P7" s="88"/>
    </row>
    <row r="8" spans="1:18" s="81" customFormat="1" ht="15" customHeight="1">
      <c r="A8" s="783" t="s">
        <v>1514</v>
      </c>
      <c r="B8" s="783" t="s">
        <v>1425</v>
      </c>
      <c r="C8" s="783" t="s">
        <v>1426</v>
      </c>
      <c r="D8" s="783"/>
      <c r="E8" s="783" t="s">
        <v>1518</v>
      </c>
      <c r="F8" s="791" t="s">
        <v>1521</v>
      </c>
      <c r="G8" s="791" t="s">
        <v>1522</v>
      </c>
      <c r="H8" s="791" t="s">
        <v>1523</v>
      </c>
      <c r="I8" s="791" t="s">
        <v>1524</v>
      </c>
      <c r="J8" s="791" t="s">
        <v>1525</v>
      </c>
      <c r="K8" s="791" t="s">
        <v>1526</v>
      </c>
      <c r="L8" s="791" t="s">
        <v>1527</v>
      </c>
      <c r="M8" s="791" t="s">
        <v>1528</v>
      </c>
      <c r="N8" s="791" t="s">
        <v>1529</v>
      </c>
      <c r="O8" s="791" t="s">
        <v>1520</v>
      </c>
      <c r="P8" s="805" t="s">
        <v>1517</v>
      </c>
      <c r="Q8" s="791" t="s">
        <v>1530</v>
      </c>
      <c r="R8" s="791" t="s">
        <v>1531</v>
      </c>
    </row>
    <row r="9" spans="1:18" s="89" customFormat="1" ht="28.5" customHeight="1">
      <c r="A9" s="783"/>
      <c r="B9" s="783"/>
      <c r="C9" s="783"/>
      <c r="D9" s="783"/>
      <c r="E9" s="783"/>
      <c r="F9" s="791"/>
      <c r="G9" s="791"/>
      <c r="H9" s="791"/>
      <c r="I9" s="791"/>
      <c r="J9" s="791"/>
      <c r="K9" s="791"/>
      <c r="L9" s="791"/>
      <c r="M9" s="791"/>
      <c r="N9" s="791"/>
      <c r="O9" s="791"/>
      <c r="P9" s="805"/>
      <c r="Q9" s="791"/>
      <c r="R9" s="791"/>
    </row>
    <row r="10" spans="1:18" s="89" customFormat="1" ht="15">
      <c r="A10" s="783"/>
      <c r="B10" s="783"/>
      <c r="C10" s="783"/>
      <c r="D10" s="783"/>
      <c r="E10" s="783"/>
      <c r="F10" s="9"/>
      <c r="G10" s="803">
        <v>0.2</v>
      </c>
      <c r="H10" s="791"/>
      <c r="I10" s="791"/>
      <c r="J10" s="791"/>
      <c r="K10" s="791"/>
      <c r="L10" s="791"/>
      <c r="M10" s="9">
        <v>0.3</v>
      </c>
      <c r="N10" s="9">
        <v>0.5</v>
      </c>
      <c r="O10" s="791"/>
      <c r="P10" s="805"/>
      <c r="Q10" s="10">
        <v>0.5</v>
      </c>
      <c r="R10" s="791"/>
    </row>
    <row r="11" spans="1:18" ht="15.75">
      <c r="A11" s="2" t="str">
        <f>IF(OR($C$6="",$J$6="",L6=""),"",IF(B11="",1,SUBTOTAL(3,$B$11:B11)))</f>
        <v/>
      </c>
      <c r="B11" s="90" t="str">
        <f>IF(OR($C$6="",$J$6="",$L$6=""),"",IF(HKI!B11="","",HKI!B11))</f>
        <v/>
      </c>
      <c r="C11" s="91" t="str">
        <f>IF($B11="","",VLOOKUP($B11,'DS LOP HKI'!$B$2:$F$2642,2,0))</f>
        <v/>
      </c>
      <c r="D11" s="92" t="str">
        <f>IF($B11="","",VLOOKUP($B11,'DS LOP HKI'!$B$2:$F$2642,3,0))</f>
        <v/>
      </c>
      <c r="E11" s="144"/>
      <c r="F11" s="141"/>
      <c r="G11" s="198"/>
      <c r="H11" s="198"/>
      <c r="I11" s="198"/>
      <c r="J11" s="141"/>
      <c r="K11" s="141"/>
      <c r="L11" s="141"/>
      <c r="M11" s="198"/>
      <c r="N11" s="262"/>
      <c r="O11" s="12" t="str">
        <f>IF(B11="","",IF(ISNUMBER(E11)=TRUE,E11,IF(COUNT(G11:N11)=0,"",IF(COUNT(G11:L11)=0,ROUND(0.3*M11+0.5*N11,1),ROUND(0.2*(SUM(G11:L11)/COUNT(G11:L11))+0.3*M11+0.5*N11,1)))))</f>
        <v/>
      </c>
      <c r="P11" s="7" t="str">
        <f>IF(B11="","",IF(O11="","KXL",IF(O11&lt;4,"Kém",IF(O11&lt;5.5,"TBY",IF(O11&lt;7,"TB",IF(O11&lt;8.5,"Khá","Giỏi"))))))</f>
        <v/>
      </c>
      <c r="Q11" s="93" t="str">
        <f>IF(ISNUMBER(E11)=TRUE,"",IF(HKI!AH11="","",HKI!AH11))</f>
        <v/>
      </c>
      <c r="R11" s="93" t="str">
        <f>IF(B11="","",IF(Q11="","",IF(COUNT(G11:N11)=0,"",IF(N11&gt;=Q11,O11,IF(COUNT(G11:L11)=0,ROUND(0.3*M11+0.5*Q11,1),ROUND(0.2*(SUM(G11:L11)/COUNT(G11:L11))+0.3*M11+0.5*Q11,1))))))</f>
        <v/>
      </c>
    </row>
    <row r="12" spans="1:18" ht="15.75">
      <c r="A12" s="2" t="str">
        <f>IF(OR($C$6="",$J$6=""),"",IF(B12="","",SUBTOTAL(3,$B$11:B12)))</f>
        <v/>
      </c>
      <c r="B12" s="90" t="str">
        <f>IF(OR($C$6="",$J$6="",$L$6=""),"",IF(HKI!B12="","",HKI!B12))</f>
        <v/>
      </c>
      <c r="C12" s="91" t="str">
        <f>IF($B12="","",VLOOKUP($B12,'DS LOP HKI'!$B$2:$F$2642,2,0))</f>
        <v/>
      </c>
      <c r="D12" s="92" t="str">
        <f>IF($B12="","",VLOOKUP($B12,'DS LOP HKI'!$B$2:$F$2642,3,0))</f>
        <v/>
      </c>
      <c r="E12" s="144"/>
      <c r="F12" s="111"/>
      <c r="G12" s="198"/>
      <c r="H12" s="198"/>
      <c r="I12" s="198"/>
      <c r="J12" s="111"/>
      <c r="K12" s="111"/>
      <c r="L12" s="111"/>
      <c r="M12" s="198"/>
      <c r="N12" s="262"/>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IF(ISNUMBER(E12)=TRUE,"",IF(HKI!AH12="","",HKI!AH12))</f>
        <v/>
      </c>
      <c r="R12" s="93" t="str">
        <f t="shared" ref="R12:R75" si="2">IF(B12="","",IF(Q12="","",IF(COUNT(G12:N12)=0,"",IF(N12&gt;=Q12,O12,IF(COUNT(G12:L12)=0,ROUND(0.3*M12+0.5*Q12,1),ROUND(0.2*(SUM(G12:L12)/COUNT(G12:L12))+0.3*M12+0.5*Q12,1))))))</f>
        <v/>
      </c>
    </row>
    <row r="13" spans="1:18" ht="15.75">
      <c r="A13" s="2" t="str">
        <f>IF(OR($C$6="",$J$6=""),"",IF(B13="","",SUBTOTAL(3,$B$11:B13)))</f>
        <v/>
      </c>
      <c r="B13" s="90" t="str">
        <f>IF(OR($C$6="",$J$6="",$L$6=""),"",IF(HKI!B13="","",HKI!B13))</f>
        <v/>
      </c>
      <c r="C13" s="91" t="str">
        <f>IF($B13="","",VLOOKUP($B13,'DS LOP HKI'!$B$2:$F$2642,2,0))</f>
        <v/>
      </c>
      <c r="D13" s="92" t="str">
        <f>IF($B13="","",VLOOKUP($B13,'DS LOP HKI'!$B$2:$F$2642,3,0))</f>
        <v/>
      </c>
      <c r="E13" s="144"/>
      <c r="F13" s="111"/>
      <c r="G13" s="198"/>
      <c r="H13" s="198"/>
      <c r="I13" s="198"/>
      <c r="J13" s="111"/>
      <c r="K13" s="111"/>
      <c r="L13" s="111"/>
      <c r="M13" s="198"/>
      <c r="N13" s="262"/>
      <c r="O13" s="12" t="str">
        <f t="shared" si="0"/>
        <v/>
      </c>
      <c r="P13" s="7" t="str">
        <f t="shared" si="1"/>
        <v/>
      </c>
      <c r="Q13" s="93" t="str">
        <f>IF(ISNUMBER(E13)=TRUE,"",IF(HKI!AH13="","",HKI!AH13))</f>
        <v/>
      </c>
      <c r="R13" s="93" t="str">
        <f t="shared" si="2"/>
        <v/>
      </c>
    </row>
    <row r="14" spans="1:18" ht="15.75">
      <c r="A14" s="2" t="str">
        <f>IF(OR($C$6="",$J$6=""),"",IF(B14="","",SUBTOTAL(3,$B$11:B14)))</f>
        <v/>
      </c>
      <c r="B14" s="90" t="str">
        <f>IF(OR($C$6="",$J$6="",$L$6=""),"",IF(HKI!B14="","",HKI!B14))</f>
        <v/>
      </c>
      <c r="C14" s="91" t="str">
        <f>IF($B14="","",VLOOKUP($B14,'DS LOP HKI'!$B$2:$F$2642,2,0))</f>
        <v/>
      </c>
      <c r="D14" s="92" t="str">
        <f>IF($B14="","",VLOOKUP($B14,'DS LOP HKI'!$B$2:$F$2642,3,0))</f>
        <v/>
      </c>
      <c r="E14" s="144"/>
      <c r="F14" s="111"/>
      <c r="G14" s="198"/>
      <c r="H14" s="198"/>
      <c r="I14" s="198"/>
      <c r="J14" s="111"/>
      <c r="K14" s="111"/>
      <c r="L14" s="111"/>
      <c r="M14" s="198"/>
      <c r="N14" s="262"/>
      <c r="O14" s="12" t="str">
        <f t="shared" si="0"/>
        <v/>
      </c>
      <c r="P14" s="7" t="str">
        <f t="shared" si="1"/>
        <v/>
      </c>
      <c r="Q14" s="93" t="str">
        <f>IF(ISNUMBER(E14)=TRUE,"",IF(HKI!AH14="","",HKI!AH14))</f>
        <v/>
      </c>
      <c r="R14" s="93" t="str">
        <f t="shared" si="2"/>
        <v/>
      </c>
    </row>
    <row r="15" spans="1:18" ht="15.75">
      <c r="A15" s="2" t="str">
        <f>IF(OR($C$6="",$J$6=""),"",IF(B15="","",SUBTOTAL(3,$B$11:B15)))</f>
        <v/>
      </c>
      <c r="B15" s="90" t="str">
        <f>IF(OR($C$6="",$J$6="",$L$6=""),"",IF(HKI!B15="","",HKI!B15))</f>
        <v/>
      </c>
      <c r="C15" s="91" t="str">
        <f>IF($B15="","",VLOOKUP($B15,'DS LOP HKI'!$B$2:$F$2642,2,0))</f>
        <v/>
      </c>
      <c r="D15" s="92" t="str">
        <f>IF($B15="","",VLOOKUP($B15,'DS LOP HKI'!$B$2:$F$2642,3,0))</f>
        <v/>
      </c>
      <c r="E15" s="144"/>
      <c r="F15" s="111"/>
      <c r="G15" s="198"/>
      <c r="H15" s="198"/>
      <c r="I15" s="198"/>
      <c r="J15" s="111"/>
      <c r="K15" s="111"/>
      <c r="L15" s="111"/>
      <c r="M15" s="198"/>
      <c r="N15" s="262"/>
      <c r="O15" s="12" t="str">
        <f t="shared" si="0"/>
        <v/>
      </c>
      <c r="P15" s="7" t="str">
        <f t="shared" si="1"/>
        <v/>
      </c>
      <c r="Q15" s="93" t="str">
        <f>IF(ISNUMBER(E15)=TRUE,"",IF(HKI!AH15="","",HKI!AH15))</f>
        <v/>
      </c>
      <c r="R15" s="93" t="str">
        <f t="shared" si="2"/>
        <v/>
      </c>
    </row>
    <row r="16" spans="1:18" ht="15.75">
      <c r="A16" s="2" t="str">
        <f>IF(OR($C$6="",$J$6=""),"",IF(B16="","",SUBTOTAL(3,$B$11:B16)))</f>
        <v/>
      </c>
      <c r="B16" s="90" t="str">
        <f>IF(OR($C$6="",$J$6="",$L$6=""),"",IF(HKI!B16="","",HKI!B16))</f>
        <v/>
      </c>
      <c r="C16" s="91" t="str">
        <f>IF($B16="","",VLOOKUP($B16,'DS LOP HKI'!$B$2:$F$2642,2,0))</f>
        <v/>
      </c>
      <c r="D16" s="92" t="str">
        <f>IF($B16="","",VLOOKUP($B16,'DS LOP HKI'!$B$2:$F$2642,3,0))</f>
        <v/>
      </c>
      <c r="E16" s="144"/>
      <c r="F16" s="111"/>
      <c r="G16" s="198"/>
      <c r="H16" s="198"/>
      <c r="I16" s="198"/>
      <c r="J16" s="111"/>
      <c r="K16" s="111"/>
      <c r="L16" s="111"/>
      <c r="M16" s="198"/>
      <c r="N16" s="262"/>
      <c r="O16" s="12" t="str">
        <f t="shared" si="0"/>
        <v/>
      </c>
      <c r="P16" s="7" t="str">
        <f t="shared" si="1"/>
        <v/>
      </c>
      <c r="Q16" s="93" t="str">
        <f>IF(ISNUMBER(E16)=TRUE,"",IF(HKI!AH16="","",HKI!AH16))</f>
        <v/>
      </c>
      <c r="R16" s="93" t="str">
        <f t="shared" si="2"/>
        <v/>
      </c>
    </row>
    <row r="17" spans="1:18" ht="15.75">
      <c r="A17" s="2" t="str">
        <f>IF(OR($C$6="",$J$6=""),"",IF(B17="","",SUBTOTAL(3,$B$11:B17)))</f>
        <v/>
      </c>
      <c r="B17" s="90" t="str">
        <f>IF(OR($C$6="",$J$6="",$L$6=""),"",IF(HKI!B17="","",HKI!B17))</f>
        <v/>
      </c>
      <c r="C17" s="91" t="str">
        <f>IF($B17="","",VLOOKUP($B17,'DS LOP HKI'!$B$2:$F$2642,2,0))</f>
        <v/>
      </c>
      <c r="D17" s="92" t="str">
        <f>IF($B17="","",VLOOKUP($B17,'DS LOP HKI'!$B$2:$F$2642,3,0))</f>
        <v/>
      </c>
      <c r="E17" s="144"/>
      <c r="F17" s="111"/>
      <c r="G17" s="198"/>
      <c r="H17" s="198"/>
      <c r="I17" s="198"/>
      <c r="J17" s="111"/>
      <c r="K17" s="111"/>
      <c r="L17" s="111"/>
      <c r="M17" s="198"/>
      <c r="N17" s="262"/>
      <c r="O17" s="12" t="str">
        <f t="shared" si="0"/>
        <v/>
      </c>
      <c r="P17" s="7" t="str">
        <f t="shared" si="1"/>
        <v/>
      </c>
      <c r="Q17" s="93" t="str">
        <f>IF(ISNUMBER(E17)=TRUE,"",IF(HKI!AH17="","",HKI!AH17))</f>
        <v/>
      </c>
      <c r="R17" s="93" t="str">
        <f t="shared" si="2"/>
        <v/>
      </c>
    </row>
    <row r="18" spans="1:18" ht="15.75">
      <c r="A18" s="2" t="str">
        <f>IF(OR($C$6="",$J$6=""),"",IF(B18="","",SUBTOTAL(3,$B$11:B18)))</f>
        <v/>
      </c>
      <c r="B18" s="90" t="str">
        <f>IF(OR($C$6="",$J$6="",$L$6=""),"",IF(HKI!B18="","",HKI!B18))</f>
        <v/>
      </c>
      <c r="C18" s="91" t="str">
        <f>IF($B18="","",VLOOKUP($B18,'DS LOP HKI'!$B$2:$F$2642,2,0))</f>
        <v/>
      </c>
      <c r="D18" s="92" t="str">
        <f>IF($B18="","",VLOOKUP($B18,'DS LOP HKI'!$B$2:$F$2642,3,0))</f>
        <v/>
      </c>
      <c r="E18" s="144"/>
      <c r="F18" s="111"/>
      <c r="G18" s="198"/>
      <c r="H18" s="198"/>
      <c r="I18" s="198"/>
      <c r="J18" s="111"/>
      <c r="K18" s="111"/>
      <c r="L18" s="111"/>
      <c r="M18" s="198"/>
      <c r="N18" s="262"/>
      <c r="O18" s="12" t="str">
        <f t="shared" si="0"/>
        <v/>
      </c>
      <c r="P18" s="7" t="str">
        <f t="shared" si="1"/>
        <v/>
      </c>
      <c r="Q18" s="93" t="str">
        <f>IF(ISNUMBER(E18)=TRUE,"",IF(HKI!AH18="","",HKI!AH18))</f>
        <v/>
      </c>
      <c r="R18" s="93" t="str">
        <f t="shared" si="2"/>
        <v/>
      </c>
    </row>
    <row r="19" spans="1:18" ht="15.75">
      <c r="A19" s="2" t="str">
        <f>IF(OR($C$6="",$J$6=""),"",IF(B19="","",SUBTOTAL(3,$B$11:B19)))</f>
        <v/>
      </c>
      <c r="B19" s="90" t="str">
        <f>IF(OR($C$6="",$J$6="",$L$6=""),"",IF(HKI!B19="","",HKI!B19))</f>
        <v/>
      </c>
      <c r="C19" s="91" t="str">
        <f>IF($B19="","",VLOOKUP($B19,'DS LOP HKI'!$B$2:$F$2642,2,0))</f>
        <v/>
      </c>
      <c r="D19" s="92" t="str">
        <f>IF($B19="","",VLOOKUP($B19,'DS LOP HKI'!$B$2:$F$2642,3,0))</f>
        <v/>
      </c>
      <c r="E19" s="144"/>
      <c r="F19" s="111"/>
      <c r="G19" s="198"/>
      <c r="H19" s="198"/>
      <c r="I19" s="198"/>
      <c r="J19" s="111"/>
      <c r="K19" s="111"/>
      <c r="L19" s="111"/>
      <c r="M19" s="198"/>
      <c r="N19" s="262"/>
      <c r="O19" s="12" t="str">
        <f t="shared" si="0"/>
        <v/>
      </c>
      <c r="P19" s="7" t="str">
        <f t="shared" si="1"/>
        <v/>
      </c>
      <c r="Q19" s="93" t="str">
        <f>IF(ISNUMBER(E19)=TRUE,"",IF(HKI!AH19="","",HKI!AH19))</f>
        <v/>
      </c>
      <c r="R19" s="93" t="str">
        <f t="shared" si="2"/>
        <v/>
      </c>
    </row>
    <row r="20" spans="1:18" ht="15.75">
      <c r="A20" s="2" t="str">
        <f>IF(OR($C$6="",$J$6=""),"",IF(B20="","",SUBTOTAL(3,$B$11:B20)))</f>
        <v/>
      </c>
      <c r="B20" s="90" t="str">
        <f>IF(OR($C$6="",$J$6="",$L$6=""),"",IF(HKI!B20="","",HKI!B20))</f>
        <v/>
      </c>
      <c r="C20" s="91" t="str">
        <f>IF($B20="","",VLOOKUP($B20,'DS LOP HKI'!$B$2:$F$2642,2,0))</f>
        <v/>
      </c>
      <c r="D20" s="92" t="str">
        <f>IF($B20="","",VLOOKUP($B20,'DS LOP HKI'!$B$2:$F$2642,3,0))</f>
        <v/>
      </c>
      <c r="E20" s="144"/>
      <c r="F20" s="111"/>
      <c r="G20" s="198"/>
      <c r="H20" s="198"/>
      <c r="I20" s="198"/>
      <c r="J20" s="111"/>
      <c r="K20" s="111"/>
      <c r="L20" s="111"/>
      <c r="M20" s="198"/>
      <c r="N20" s="262"/>
      <c r="O20" s="12" t="str">
        <f t="shared" si="0"/>
        <v/>
      </c>
      <c r="P20" s="7" t="str">
        <f t="shared" si="1"/>
        <v/>
      </c>
      <c r="Q20" s="93" t="str">
        <f>IF(ISNUMBER(E20)=TRUE,"",IF(HKI!AH20="","",HKI!AH20))</f>
        <v/>
      </c>
      <c r="R20" s="93" t="str">
        <f t="shared" si="2"/>
        <v/>
      </c>
    </row>
    <row r="21" spans="1:18" ht="15.75">
      <c r="A21" s="2" t="str">
        <f>IF(OR($C$6="",$J$6=""),"",IF(B21="","",SUBTOTAL(3,$B$11:B21)))</f>
        <v/>
      </c>
      <c r="B21" s="90" t="str">
        <f>IF(OR($C$6="",$J$6="",$L$6=""),"",IF(HKI!B21="","",HKI!B21))</f>
        <v/>
      </c>
      <c r="C21" s="91" t="str">
        <f>IF($B21="","",VLOOKUP($B21,'DS LOP HKI'!$B$2:$F$2642,2,0))</f>
        <v/>
      </c>
      <c r="D21" s="92" t="str">
        <f>IF($B21="","",VLOOKUP($B21,'DS LOP HKI'!$B$2:$F$2642,3,0))</f>
        <v/>
      </c>
      <c r="E21" s="144"/>
      <c r="F21" s="111"/>
      <c r="G21" s="198"/>
      <c r="H21" s="198"/>
      <c r="I21" s="198"/>
      <c r="J21" s="111"/>
      <c r="K21" s="111"/>
      <c r="L21" s="111"/>
      <c r="M21" s="198"/>
      <c r="N21" s="262"/>
      <c r="O21" s="12" t="str">
        <f t="shared" si="0"/>
        <v/>
      </c>
      <c r="P21" s="7" t="str">
        <f t="shared" si="1"/>
        <v/>
      </c>
      <c r="Q21" s="93" t="str">
        <f>IF(ISNUMBER(E21)=TRUE,"",IF(HKI!AH21="","",HKI!AH21))</f>
        <v/>
      </c>
      <c r="R21" s="93" t="str">
        <f t="shared" si="2"/>
        <v/>
      </c>
    </row>
    <row r="22" spans="1:18" ht="15.75">
      <c r="A22" s="2" t="str">
        <f>IF(OR($C$6="",$J$6=""),"",IF(B22="","",SUBTOTAL(3,$B$11:B22)))</f>
        <v/>
      </c>
      <c r="B22" s="90" t="str">
        <f>IF(OR($C$6="",$J$6="",$L$6=""),"",IF(HKI!B22="","",HKI!B22))</f>
        <v/>
      </c>
      <c r="C22" s="91" t="str">
        <f>IF($B22="","",VLOOKUP($B22,'DS LOP HKI'!$B$2:$F$2642,2,0))</f>
        <v/>
      </c>
      <c r="D22" s="92" t="str">
        <f>IF($B22="","",VLOOKUP($B22,'DS LOP HKI'!$B$2:$F$2642,3,0))</f>
        <v/>
      </c>
      <c r="E22" s="144"/>
      <c r="F22" s="111"/>
      <c r="G22" s="198"/>
      <c r="H22" s="198"/>
      <c r="I22" s="198"/>
      <c r="J22" s="111"/>
      <c r="K22" s="111"/>
      <c r="L22" s="111"/>
      <c r="M22" s="198"/>
      <c r="N22" s="262"/>
      <c r="O22" s="12" t="str">
        <f t="shared" si="0"/>
        <v/>
      </c>
      <c r="P22" s="7" t="str">
        <f t="shared" si="1"/>
        <v/>
      </c>
      <c r="Q22" s="93" t="str">
        <f>IF(ISNUMBER(E22)=TRUE,"",IF(HKI!AH22="","",HKI!AH22))</f>
        <v/>
      </c>
      <c r="R22" s="93" t="str">
        <f t="shared" si="2"/>
        <v/>
      </c>
    </row>
    <row r="23" spans="1:18" ht="15.75">
      <c r="A23" s="2" t="str">
        <f>IF(OR($C$6="",$J$6=""),"",IF(B23="","",SUBTOTAL(3,$B$11:B23)))</f>
        <v/>
      </c>
      <c r="B23" s="90" t="str">
        <f>IF(OR($C$6="",$J$6="",$L$6=""),"",IF(HKI!B23="","",HKI!B23))</f>
        <v/>
      </c>
      <c r="C23" s="91" t="str">
        <f>IF($B23="","",VLOOKUP($B23,'DS LOP HKI'!$B$2:$F$2642,2,0))</f>
        <v/>
      </c>
      <c r="D23" s="92" t="str">
        <f>IF($B23="","",VLOOKUP($B23,'DS LOP HKI'!$B$2:$F$2642,3,0))</f>
        <v/>
      </c>
      <c r="E23" s="144"/>
      <c r="F23" s="111"/>
      <c r="G23" s="198"/>
      <c r="H23" s="198"/>
      <c r="I23" s="198"/>
      <c r="J23" s="111"/>
      <c r="K23" s="111"/>
      <c r="L23" s="111"/>
      <c r="M23" s="198"/>
      <c r="N23" s="262"/>
      <c r="O23" s="12" t="str">
        <f t="shared" si="0"/>
        <v/>
      </c>
      <c r="P23" s="7" t="str">
        <f t="shared" si="1"/>
        <v/>
      </c>
      <c r="Q23" s="93" t="str">
        <f>IF(ISNUMBER(E23)=TRUE,"",IF(HKI!AH23="","",HKI!AH23))</f>
        <v/>
      </c>
      <c r="R23" s="93" t="str">
        <f t="shared" si="2"/>
        <v/>
      </c>
    </row>
    <row r="24" spans="1:18" ht="15.75">
      <c r="A24" s="2" t="str">
        <f>IF(OR($C$6="",$J$6=""),"",IF(B24="","",SUBTOTAL(3,$B$11:B24)))</f>
        <v/>
      </c>
      <c r="B24" s="90" t="str">
        <f>IF(OR($C$6="",$J$6="",$L$6=""),"",IF(HKI!B24="","",HKI!B24))</f>
        <v/>
      </c>
      <c r="C24" s="91" t="str">
        <f>IF($B24="","",VLOOKUP($B24,'DS LOP HKI'!$B$2:$F$2642,2,0))</f>
        <v/>
      </c>
      <c r="D24" s="92" t="str">
        <f>IF($B24="","",VLOOKUP($B24,'DS LOP HKI'!$B$2:$F$2642,3,0))</f>
        <v/>
      </c>
      <c r="E24" s="144"/>
      <c r="F24" s="111"/>
      <c r="G24" s="198"/>
      <c r="H24" s="198"/>
      <c r="I24" s="198"/>
      <c r="J24" s="111"/>
      <c r="K24" s="111"/>
      <c r="L24" s="111"/>
      <c r="M24" s="198"/>
      <c r="N24" s="262"/>
      <c r="O24" s="12" t="str">
        <f t="shared" si="0"/>
        <v/>
      </c>
      <c r="P24" s="7" t="str">
        <f t="shared" si="1"/>
        <v/>
      </c>
      <c r="Q24" s="93" t="str">
        <f>IF(ISNUMBER(E24)=TRUE,"",IF(HKI!AH24="","",HKI!AH24))</f>
        <v/>
      </c>
      <c r="R24" s="93" t="str">
        <f t="shared" si="2"/>
        <v/>
      </c>
    </row>
    <row r="25" spans="1:18" ht="15.75">
      <c r="A25" s="2" t="str">
        <f>IF(OR($C$6="",$J$6=""),"",IF(B25="","",SUBTOTAL(3,$B$11:B25)))</f>
        <v/>
      </c>
      <c r="B25" s="90" t="str">
        <f>IF(OR($C$6="",$J$6="",$L$6=""),"",IF(HKI!B25="","",HKI!B25))</f>
        <v/>
      </c>
      <c r="C25" s="91" t="str">
        <f>IF($B25="","",VLOOKUP($B25,'DS LOP HKI'!$B$2:$F$2642,2,0))</f>
        <v/>
      </c>
      <c r="D25" s="92" t="str">
        <f>IF($B25="","",VLOOKUP($B25,'DS LOP HKI'!$B$2:$F$2642,3,0))</f>
        <v/>
      </c>
      <c r="E25" s="144"/>
      <c r="F25" s="111"/>
      <c r="G25" s="198"/>
      <c r="H25" s="198"/>
      <c r="I25" s="198"/>
      <c r="J25" s="111"/>
      <c r="K25" s="111"/>
      <c r="L25" s="111"/>
      <c r="M25" s="198"/>
      <c r="N25" s="262"/>
      <c r="O25" s="12" t="str">
        <f t="shared" si="0"/>
        <v/>
      </c>
      <c r="P25" s="7" t="str">
        <f t="shared" si="1"/>
        <v/>
      </c>
      <c r="Q25" s="93" t="str">
        <f>IF(ISNUMBER(E25)=TRUE,"",IF(HKI!AH25="","",HKI!AH25))</f>
        <v/>
      </c>
      <c r="R25" s="93" t="str">
        <f t="shared" si="2"/>
        <v/>
      </c>
    </row>
    <row r="26" spans="1:18" ht="15.75">
      <c r="A26" s="2" t="str">
        <f>IF(OR($C$6="",$J$6=""),"",IF(B26="","",SUBTOTAL(3,$B$11:B26)))</f>
        <v/>
      </c>
      <c r="B26" s="90" t="str">
        <f>IF(OR($C$6="",$J$6="",$L$6=""),"",IF(HKI!B26="","",HKI!B26))</f>
        <v/>
      </c>
      <c r="C26" s="91" t="str">
        <f>IF($B26="","",VLOOKUP($B26,'DS LOP HKI'!$B$2:$F$2642,2,0))</f>
        <v/>
      </c>
      <c r="D26" s="92" t="str">
        <f>IF($B26="","",VLOOKUP($B26,'DS LOP HKI'!$B$2:$F$2642,3,0))</f>
        <v/>
      </c>
      <c r="E26" s="144"/>
      <c r="F26" s="111"/>
      <c r="G26" s="198"/>
      <c r="H26" s="198"/>
      <c r="I26" s="198"/>
      <c r="J26" s="111"/>
      <c r="K26" s="111"/>
      <c r="L26" s="111"/>
      <c r="M26" s="198"/>
      <c r="N26" s="262"/>
      <c r="O26" s="12" t="str">
        <f t="shared" si="0"/>
        <v/>
      </c>
      <c r="P26" s="7" t="str">
        <f t="shared" si="1"/>
        <v/>
      </c>
      <c r="Q26" s="93" t="str">
        <f>IF(ISNUMBER(E26)=TRUE,"",IF(HKI!AH26="","",HKI!AH26))</f>
        <v/>
      </c>
      <c r="R26" s="93" t="str">
        <f t="shared" si="2"/>
        <v/>
      </c>
    </row>
    <row r="27" spans="1:18" ht="15.75">
      <c r="A27" s="2" t="str">
        <f>IF(OR($C$6="",$J$6=""),"",IF(B27="","",SUBTOTAL(3,$B$11:B27)))</f>
        <v/>
      </c>
      <c r="B27" s="90" t="str">
        <f>IF(OR($C$6="",$J$6="",$L$6=""),"",IF(HKI!B27="","",HKI!B27))</f>
        <v/>
      </c>
      <c r="C27" s="91" t="str">
        <f>IF($B27="","",VLOOKUP($B27,'DS LOP HKI'!$B$2:$F$2642,2,0))</f>
        <v/>
      </c>
      <c r="D27" s="92" t="str">
        <f>IF($B27="","",VLOOKUP($B27,'DS LOP HKI'!$B$2:$F$2642,3,0))</f>
        <v/>
      </c>
      <c r="E27" s="144"/>
      <c r="F27" s="111"/>
      <c r="G27" s="198"/>
      <c r="H27" s="198"/>
      <c r="I27" s="198"/>
      <c r="J27" s="111"/>
      <c r="K27" s="111"/>
      <c r="L27" s="111"/>
      <c r="M27" s="198"/>
      <c r="N27" s="262"/>
      <c r="O27" s="12" t="str">
        <f t="shared" si="0"/>
        <v/>
      </c>
      <c r="P27" s="7" t="str">
        <f t="shared" si="1"/>
        <v/>
      </c>
      <c r="Q27" s="93" t="str">
        <f>IF(ISNUMBER(E27)=TRUE,"",IF(HKI!AH27="","",HKI!AH27))</f>
        <v/>
      </c>
      <c r="R27" s="93" t="str">
        <f t="shared" si="2"/>
        <v/>
      </c>
    </row>
    <row r="28" spans="1:18" ht="15.75">
      <c r="A28" s="2" t="str">
        <f>IF(OR($C$6="",$J$6=""),"",IF(B28="","",SUBTOTAL(3,$B$11:B28)))</f>
        <v/>
      </c>
      <c r="B28" s="90" t="str">
        <f>IF(OR($C$6="",$J$6="",$L$6=""),"",IF(HKI!B28="","",HKI!B28))</f>
        <v/>
      </c>
      <c r="C28" s="91" t="str">
        <f>IF($B28="","",VLOOKUP($B28,'DS LOP HKI'!$B$2:$F$2642,2,0))</f>
        <v/>
      </c>
      <c r="D28" s="92" t="str">
        <f>IF($B28="","",VLOOKUP($B28,'DS LOP HKI'!$B$2:$F$2642,3,0))</f>
        <v/>
      </c>
      <c r="E28" s="144"/>
      <c r="F28" s="111"/>
      <c r="G28" s="198"/>
      <c r="H28" s="198"/>
      <c r="I28" s="198"/>
      <c r="J28" s="111"/>
      <c r="K28" s="111"/>
      <c r="L28" s="111"/>
      <c r="M28" s="198"/>
      <c r="N28" s="262"/>
      <c r="O28" s="12" t="str">
        <f t="shared" si="0"/>
        <v/>
      </c>
      <c r="P28" s="7" t="str">
        <f t="shared" si="1"/>
        <v/>
      </c>
      <c r="Q28" s="93" t="str">
        <f>IF(ISNUMBER(E28)=TRUE,"",IF(HKI!AH28="","",HKI!AH28))</f>
        <v/>
      </c>
      <c r="R28" s="93" t="str">
        <f t="shared" si="2"/>
        <v/>
      </c>
    </row>
    <row r="29" spans="1:18" ht="15.75">
      <c r="A29" s="2" t="str">
        <f>IF(OR($C$6="",$J$6=""),"",IF(B29="","",SUBTOTAL(3,$B$11:B29)))</f>
        <v/>
      </c>
      <c r="B29" s="90" t="str">
        <f>IF(OR($C$6="",$J$6="",$L$6=""),"",IF(HKI!B29="","",HKI!B29))</f>
        <v/>
      </c>
      <c r="C29" s="91" t="str">
        <f>IF($B29="","",VLOOKUP($B29,'DS LOP HKI'!$B$2:$F$2642,2,0))</f>
        <v/>
      </c>
      <c r="D29" s="92" t="str">
        <f>IF($B29="","",VLOOKUP($B29,'DS LOP HKI'!$B$2:$F$2642,3,0))</f>
        <v/>
      </c>
      <c r="E29" s="144"/>
      <c r="F29" s="111"/>
      <c r="G29" s="198"/>
      <c r="H29" s="198"/>
      <c r="I29" s="198"/>
      <c r="J29" s="111"/>
      <c r="K29" s="111"/>
      <c r="L29" s="111"/>
      <c r="M29" s="198"/>
      <c r="N29" s="262"/>
      <c r="O29" s="12" t="str">
        <f t="shared" si="0"/>
        <v/>
      </c>
      <c r="P29" s="7" t="str">
        <f t="shared" si="1"/>
        <v/>
      </c>
      <c r="Q29" s="93" t="str">
        <f>IF(ISNUMBER(E29)=TRUE,"",IF(HKI!AH29="","",HKI!AH29))</f>
        <v/>
      </c>
      <c r="R29" s="93" t="str">
        <f t="shared" si="2"/>
        <v/>
      </c>
    </row>
    <row r="30" spans="1:18" ht="15.75">
      <c r="A30" s="2" t="str">
        <f>IF(OR($C$6="",$J$6=""),"",IF(B30="","",SUBTOTAL(3,$B$11:B30)))</f>
        <v/>
      </c>
      <c r="B30" s="90" t="str">
        <f>IF(OR($C$6="",$J$6="",$L$6=""),"",IF(HKI!B30="","",HKI!B30))</f>
        <v/>
      </c>
      <c r="C30" s="91" t="str">
        <f>IF($B30="","",VLOOKUP($B30,'DS LOP HKI'!$B$2:$F$2642,2,0))</f>
        <v/>
      </c>
      <c r="D30" s="92" t="str">
        <f>IF($B30="","",VLOOKUP($B30,'DS LOP HKI'!$B$2:$F$2642,3,0))</f>
        <v/>
      </c>
      <c r="E30" s="144"/>
      <c r="F30" s="111"/>
      <c r="G30" s="198"/>
      <c r="H30" s="198"/>
      <c r="I30" s="198"/>
      <c r="J30" s="111"/>
      <c r="K30" s="111"/>
      <c r="L30" s="111"/>
      <c r="M30" s="198"/>
      <c r="N30" s="262"/>
      <c r="O30" s="12" t="str">
        <f t="shared" si="0"/>
        <v/>
      </c>
      <c r="P30" s="7" t="str">
        <f t="shared" si="1"/>
        <v/>
      </c>
      <c r="Q30" s="93" t="str">
        <f>IF(ISNUMBER(E30)=TRUE,"",IF(HKI!AH30="","",HKI!AH30))</f>
        <v/>
      </c>
      <c r="R30" s="93" t="str">
        <f t="shared" si="2"/>
        <v/>
      </c>
    </row>
    <row r="31" spans="1:18" ht="15.75">
      <c r="A31" s="2" t="str">
        <f>IF(OR($C$6="",$J$6=""),"",IF(B31="","",SUBTOTAL(3,$B$11:B31)))</f>
        <v/>
      </c>
      <c r="B31" s="90" t="str">
        <f>IF(OR($C$6="",$J$6="",$L$6=""),"",IF(HKI!B31="","",HKI!B31))</f>
        <v/>
      </c>
      <c r="C31" s="91" t="str">
        <f>IF($B31="","",VLOOKUP($B31,'DS LOP HKI'!$B$2:$F$2642,2,0))</f>
        <v/>
      </c>
      <c r="D31" s="92" t="str">
        <f>IF($B31="","",VLOOKUP($B31,'DS LOP HKI'!$B$2:$F$2642,3,0))</f>
        <v/>
      </c>
      <c r="E31" s="144"/>
      <c r="F31" s="111"/>
      <c r="G31" s="198"/>
      <c r="H31" s="198"/>
      <c r="I31" s="198"/>
      <c r="J31" s="111"/>
      <c r="K31" s="111"/>
      <c r="L31" s="111"/>
      <c r="M31" s="198"/>
      <c r="N31" s="262"/>
      <c r="O31" s="12" t="str">
        <f t="shared" si="0"/>
        <v/>
      </c>
      <c r="P31" s="7" t="str">
        <f t="shared" si="1"/>
        <v/>
      </c>
      <c r="Q31" s="93" t="str">
        <f>IF(ISNUMBER(E31)=TRUE,"",IF(HKI!AH31="","",HKI!AH31))</f>
        <v/>
      </c>
      <c r="R31" s="93" t="str">
        <f t="shared" si="2"/>
        <v/>
      </c>
    </row>
    <row r="32" spans="1:18" ht="15.75">
      <c r="A32" s="2" t="str">
        <f>IF(OR($C$6="",$J$6=""),"",IF(B32="","",SUBTOTAL(3,$B$11:B32)))</f>
        <v/>
      </c>
      <c r="B32" s="90" t="str">
        <f>IF(OR($C$6="",$J$6="",$L$6=""),"",IF(HKI!B32="","",HKI!B32))</f>
        <v/>
      </c>
      <c r="C32" s="91" t="str">
        <f>IF($B32="","",VLOOKUP($B32,'DS LOP HKI'!$B$2:$F$2642,2,0))</f>
        <v/>
      </c>
      <c r="D32" s="92" t="str">
        <f>IF($B32="","",VLOOKUP($B32,'DS LOP HKI'!$B$2:$F$2642,3,0))</f>
        <v/>
      </c>
      <c r="E32" s="144"/>
      <c r="F32" s="111"/>
      <c r="G32" s="198"/>
      <c r="H32" s="198"/>
      <c r="I32" s="198"/>
      <c r="J32" s="111"/>
      <c r="K32" s="111"/>
      <c r="L32" s="111"/>
      <c r="M32" s="198"/>
      <c r="N32" s="262"/>
      <c r="O32" s="12" t="str">
        <f t="shared" si="0"/>
        <v/>
      </c>
      <c r="P32" s="7" t="str">
        <f t="shared" si="1"/>
        <v/>
      </c>
      <c r="Q32" s="93" t="str">
        <f>IF(ISNUMBER(E32)=TRUE,"",IF(HKI!AH32="","",HKI!AH32))</f>
        <v/>
      </c>
      <c r="R32" s="93" t="str">
        <f t="shared" si="2"/>
        <v/>
      </c>
    </row>
    <row r="33" spans="1:18" ht="15.75">
      <c r="A33" s="2" t="str">
        <f>IF(OR($C$6="",$J$6=""),"",IF(B33="","",SUBTOTAL(3,$B$11:B33)))</f>
        <v/>
      </c>
      <c r="B33" s="90" t="str">
        <f>IF(OR($C$6="",$J$6="",$L$6=""),"",IF(HKI!B33="","",HKI!B33))</f>
        <v/>
      </c>
      <c r="C33" s="91" t="str">
        <f>IF($B33="","",VLOOKUP($B33,'DS LOP HKI'!$B$2:$F$2642,2,0))</f>
        <v/>
      </c>
      <c r="D33" s="92" t="str">
        <f>IF($B33="","",VLOOKUP($B33,'DS LOP HKI'!$B$2:$F$2642,3,0))</f>
        <v/>
      </c>
      <c r="E33" s="144"/>
      <c r="F33" s="111"/>
      <c r="G33" s="198"/>
      <c r="H33" s="198"/>
      <c r="I33" s="198"/>
      <c r="J33" s="111"/>
      <c r="K33" s="111"/>
      <c r="L33" s="111"/>
      <c r="M33" s="198"/>
      <c r="N33" s="262"/>
      <c r="O33" s="12" t="str">
        <f t="shared" si="0"/>
        <v/>
      </c>
      <c r="P33" s="7" t="str">
        <f t="shared" si="1"/>
        <v/>
      </c>
      <c r="Q33" s="93" t="str">
        <f>IF(ISNUMBER(E33)=TRUE,"",IF(HKI!AH33="","",HKI!AH33))</f>
        <v/>
      </c>
      <c r="R33" s="93" t="str">
        <f t="shared" si="2"/>
        <v/>
      </c>
    </row>
    <row r="34" spans="1:18" ht="15.75">
      <c r="A34" s="2" t="str">
        <f>IF(OR($C$6="",$J$6=""),"",IF(B34="","",SUBTOTAL(3,$B$11:B34)))</f>
        <v/>
      </c>
      <c r="B34" s="90" t="str">
        <f>IF(OR($C$6="",$J$6="",$L$6=""),"",IF(HKI!B34="","",HKI!B34))</f>
        <v/>
      </c>
      <c r="C34" s="91" t="str">
        <f>IF($B34="","",VLOOKUP($B34,'DS LOP HKI'!$B$2:$F$2642,2,0))</f>
        <v/>
      </c>
      <c r="D34" s="92" t="str">
        <f>IF($B34="","",VLOOKUP($B34,'DS LOP HKI'!$B$2:$F$2642,3,0))</f>
        <v/>
      </c>
      <c r="E34" s="144"/>
      <c r="F34" s="111"/>
      <c r="G34" s="198"/>
      <c r="H34" s="198"/>
      <c r="I34" s="198"/>
      <c r="J34" s="111"/>
      <c r="K34" s="111"/>
      <c r="L34" s="111"/>
      <c r="M34" s="198"/>
      <c r="N34" s="262"/>
      <c r="O34" s="12" t="str">
        <f t="shared" si="0"/>
        <v/>
      </c>
      <c r="P34" s="7" t="str">
        <f t="shared" si="1"/>
        <v/>
      </c>
      <c r="Q34" s="93" t="str">
        <f>IF(ISNUMBER(E34)=TRUE,"",IF(HKI!AH34="","",HKI!AH34))</f>
        <v/>
      </c>
      <c r="R34" s="93" t="str">
        <f t="shared" si="2"/>
        <v/>
      </c>
    </row>
    <row r="35" spans="1:18" ht="15.75">
      <c r="A35" s="2" t="str">
        <f>IF(OR($C$6="",$J$6=""),"",IF(B35="","",SUBTOTAL(3,$B$11:B35)))</f>
        <v/>
      </c>
      <c r="B35" s="90" t="str">
        <f>IF(OR($C$6="",$J$6="",$L$6=""),"",IF(HKI!B35="","",HKI!B35))</f>
        <v/>
      </c>
      <c r="C35" s="91" t="str">
        <f>IF($B35="","",VLOOKUP($B35,'DS LOP HKI'!$B$2:$F$2642,2,0))</f>
        <v/>
      </c>
      <c r="D35" s="92" t="str">
        <f>IF($B35="","",VLOOKUP($B35,'DS LOP HKI'!$B$2:$F$2642,3,0))</f>
        <v/>
      </c>
      <c r="E35" s="144"/>
      <c r="F35" s="111"/>
      <c r="G35" s="198"/>
      <c r="H35" s="198"/>
      <c r="I35" s="198"/>
      <c r="J35" s="111"/>
      <c r="K35" s="111"/>
      <c r="L35" s="111"/>
      <c r="M35" s="198"/>
      <c r="N35" s="262"/>
      <c r="O35" s="12" t="str">
        <f t="shared" si="0"/>
        <v/>
      </c>
      <c r="P35" s="7" t="str">
        <f t="shared" si="1"/>
        <v/>
      </c>
      <c r="Q35" s="93" t="str">
        <f>IF(ISNUMBER(E35)=TRUE,"",IF(HKI!AH35="","",HKI!AH35))</f>
        <v/>
      </c>
      <c r="R35" s="93" t="str">
        <f t="shared" si="2"/>
        <v/>
      </c>
    </row>
    <row r="36" spans="1:18" ht="15.75">
      <c r="A36" s="2" t="str">
        <f>IF(OR($C$6="",$J$6=""),"",IF(B36="","",SUBTOTAL(3,$B$11:B36)))</f>
        <v/>
      </c>
      <c r="B36" s="90" t="str">
        <f>IF(OR($C$6="",$J$6="",$L$6=""),"",IF(HKI!B36="","",HKI!B36))</f>
        <v/>
      </c>
      <c r="C36" s="91" t="str">
        <f>IF($B36="","",VLOOKUP($B36,'DS LOP HKI'!$B$2:$F$2642,2,0))</f>
        <v/>
      </c>
      <c r="D36" s="92" t="str">
        <f>IF($B36="","",VLOOKUP($B36,'DS LOP HKI'!$B$2:$F$2642,3,0))</f>
        <v/>
      </c>
      <c r="E36" s="144"/>
      <c r="F36" s="111"/>
      <c r="G36" s="198"/>
      <c r="H36" s="198"/>
      <c r="I36" s="198"/>
      <c r="J36" s="111"/>
      <c r="K36" s="111"/>
      <c r="L36" s="111"/>
      <c r="M36" s="198"/>
      <c r="N36" s="262"/>
      <c r="O36" s="12" t="str">
        <f t="shared" si="0"/>
        <v/>
      </c>
      <c r="P36" s="7" t="str">
        <f t="shared" si="1"/>
        <v/>
      </c>
      <c r="Q36" s="93" t="str">
        <f>IF(ISNUMBER(E36)=TRUE,"",IF(HKI!AH36="","",HKI!AH36))</f>
        <v/>
      </c>
      <c r="R36" s="93" t="str">
        <f t="shared" si="2"/>
        <v/>
      </c>
    </row>
    <row r="37" spans="1:18" ht="15.75">
      <c r="A37" s="2" t="str">
        <f>IF(OR($C$6="",$J$6=""),"",IF(B37="","",SUBTOTAL(3,$B$11:B37)))</f>
        <v/>
      </c>
      <c r="B37" s="90" t="str">
        <f>IF(OR($C$6="",$J$6="",$L$6=""),"",IF(HKI!B37="","",HKI!B37))</f>
        <v/>
      </c>
      <c r="C37" s="91" t="str">
        <f>IF($B37="","",VLOOKUP($B37,'DS LOP HKI'!$B$2:$F$2642,2,0))</f>
        <v/>
      </c>
      <c r="D37" s="92" t="str">
        <f>IF($B37="","",VLOOKUP($B37,'DS LOP HKI'!$B$2:$F$2642,3,0))</f>
        <v/>
      </c>
      <c r="E37" s="144"/>
      <c r="F37" s="111"/>
      <c r="G37" s="198"/>
      <c r="H37" s="198"/>
      <c r="I37" s="198"/>
      <c r="J37" s="111"/>
      <c r="K37" s="111"/>
      <c r="L37" s="111"/>
      <c r="M37" s="198"/>
      <c r="N37" s="262"/>
      <c r="O37" s="12" t="str">
        <f t="shared" si="0"/>
        <v/>
      </c>
      <c r="P37" s="7" t="str">
        <f t="shared" si="1"/>
        <v/>
      </c>
      <c r="Q37" s="93" t="str">
        <f>IF(ISNUMBER(E37)=TRUE,"",IF(HKI!AH37="","",HKI!AH37))</f>
        <v/>
      </c>
      <c r="R37" s="93" t="str">
        <f t="shared" si="2"/>
        <v/>
      </c>
    </row>
    <row r="38" spans="1:18" ht="15.75">
      <c r="A38" s="2" t="str">
        <f>IF(OR($C$6="",$J$6=""),"",IF(B38="","",SUBTOTAL(3,$B$11:B38)))</f>
        <v/>
      </c>
      <c r="B38" s="90" t="str">
        <f>IF(OR($C$6="",$J$6="",$L$6=""),"",IF(HKI!B38="","",HKI!B38))</f>
        <v/>
      </c>
      <c r="C38" s="91" t="str">
        <f>IF($B38="","",VLOOKUP($B38,'DS LOP HKI'!$B$2:$F$2642,2,0))</f>
        <v/>
      </c>
      <c r="D38" s="92" t="str">
        <f>IF($B38="","",VLOOKUP($B38,'DS LOP HKI'!$B$2:$F$2642,3,0))</f>
        <v/>
      </c>
      <c r="E38" s="144"/>
      <c r="F38" s="111"/>
      <c r="G38" s="198"/>
      <c r="H38" s="198"/>
      <c r="I38" s="198"/>
      <c r="J38" s="111"/>
      <c r="K38" s="111"/>
      <c r="L38" s="111"/>
      <c r="M38" s="198"/>
      <c r="N38" s="262"/>
      <c r="O38" s="12" t="str">
        <f t="shared" si="0"/>
        <v/>
      </c>
      <c r="P38" s="7" t="str">
        <f t="shared" si="1"/>
        <v/>
      </c>
      <c r="Q38" s="93" t="str">
        <f>IF(ISNUMBER(E38)=TRUE,"",IF(HKI!AH38="","",HKI!AH38))</f>
        <v/>
      </c>
      <c r="R38" s="93" t="str">
        <f t="shared" si="2"/>
        <v/>
      </c>
    </row>
    <row r="39" spans="1:18" ht="15.75">
      <c r="A39" s="2" t="str">
        <f>IF(OR($C$6="",$J$6=""),"",IF(B39="","",SUBTOTAL(3,$B$11:B39)))</f>
        <v/>
      </c>
      <c r="B39" s="90" t="str">
        <f>IF(OR($C$6="",$J$6="",$L$6=""),"",IF(HKI!B39="","",HKI!B39))</f>
        <v/>
      </c>
      <c r="C39" s="91" t="str">
        <f>IF($B39="","",VLOOKUP($B39,'DS LOP HKI'!$B$2:$F$2642,2,0))</f>
        <v/>
      </c>
      <c r="D39" s="92" t="str">
        <f>IF($B39="","",VLOOKUP($B39,'DS LOP HKI'!$B$2:$F$2642,3,0))</f>
        <v/>
      </c>
      <c r="E39" s="144"/>
      <c r="F39" s="111"/>
      <c r="G39" s="198"/>
      <c r="H39" s="198"/>
      <c r="I39" s="198"/>
      <c r="J39" s="111"/>
      <c r="K39" s="111"/>
      <c r="L39" s="111"/>
      <c r="M39" s="198"/>
      <c r="N39" s="262"/>
      <c r="O39" s="12" t="str">
        <f t="shared" si="0"/>
        <v/>
      </c>
      <c r="P39" s="7" t="str">
        <f t="shared" si="1"/>
        <v/>
      </c>
      <c r="Q39" s="93" t="str">
        <f>IF(ISNUMBER(E39)=TRUE,"",IF(HKI!AH39="","",HKI!AH39))</f>
        <v/>
      </c>
      <c r="R39" s="93" t="str">
        <f t="shared" si="2"/>
        <v/>
      </c>
    </row>
    <row r="40" spans="1:18" ht="15.75">
      <c r="A40" s="2" t="str">
        <f>IF(OR($C$6="",$J$6=""),"",IF(B40="","",SUBTOTAL(3,$B$11:B40)))</f>
        <v/>
      </c>
      <c r="B40" s="90" t="str">
        <f>IF(OR($C$6="",$J$6="",$L$6=""),"",IF(HKI!B40="","",HKI!B40))</f>
        <v/>
      </c>
      <c r="C40" s="91" t="str">
        <f>IF($B40="","",VLOOKUP($B40,'DS LOP HKI'!$B$2:$F$2642,2,0))</f>
        <v/>
      </c>
      <c r="D40" s="92" t="str">
        <f>IF($B40="","",VLOOKUP($B40,'DS LOP HKI'!$B$2:$F$2642,3,0))</f>
        <v/>
      </c>
      <c r="E40" s="144"/>
      <c r="F40" s="111"/>
      <c r="G40" s="198"/>
      <c r="H40" s="198"/>
      <c r="I40" s="198"/>
      <c r="J40" s="111"/>
      <c r="K40" s="111"/>
      <c r="L40" s="111"/>
      <c r="M40" s="198"/>
      <c r="N40" s="262"/>
      <c r="O40" s="12" t="str">
        <f t="shared" si="0"/>
        <v/>
      </c>
      <c r="P40" s="7" t="str">
        <f t="shared" si="1"/>
        <v/>
      </c>
      <c r="Q40" s="93" t="str">
        <f>IF(ISNUMBER(E40)=TRUE,"",IF(HKI!AH40="","",HKI!AH40))</f>
        <v/>
      </c>
      <c r="R40" s="93" t="str">
        <f t="shared" si="2"/>
        <v/>
      </c>
    </row>
    <row r="41" spans="1:18" ht="15.75">
      <c r="A41" s="2" t="str">
        <f>IF(OR($C$6="",$J$6=""),"",IF(B41="","",SUBTOTAL(3,$B$11:B41)))</f>
        <v/>
      </c>
      <c r="B41" s="90" t="str">
        <f>IF(OR($C$6="",$J$6="",$L$6=""),"",IF(HKI!B41="","",HKI!B41))</f>
        <v/>
      </c>
      <c r="C41" s="91" t="str">
        <f>IF($B41="","",VLOOKUP($B41,'DS LOP HKI'!$B$2:$F$2642,2,0))</f>
        <v/>
      </c>
      <c r="D41" s="92" t="str">
        <f>IF($B41="","",VLOOKUP($B41,'DS LOP HKI'!$B$2:$F$2642,3,0))</f>
        <v/>
      </c>
      <c r="E41" s="144"/>
      <c r="F41" s="111"/>
      <c r="G41" s="198"/>
      <c r="H41" s="198"/>
      <c r="I41" s="198"/>
      <c r="J41" s="111"/>
      <c r="K41" s="111"/>
      <c r="L41" s="111"/>
      <c r="M41" s="198"/>
      <c r="N41" s="262"/>
      <c r="O41" s="12" t="str">
        <f t="shared" si="0"/>
        <v/>
      </c>
      <c r="P41" s="7" t="str">
        <f t="shared" si="1"/>
        <v/>
      </c>
      <c r="Q41" s="93" t="str">
        <f>IF(ISNUMBER(E41)=TRUE,"",IF(HKI!AH41="","",HKI!AH41))</f>
        <v/>
      </c>
      <c r="R41" s="93" t="str">
        <f t="shared" si="2"/>
        <v/>
      </c>
    </row>
    <row r="42" spans="1:18" ht="15.75">
      <c r="A42" s="2" t="str">
        <f>IF(OR($C$6="",$J$6=""),"",IF(B42="","",SUBTOTAL(3,$B$11:B42)))</f>
        <v/>
      </c>
      <c r="B42" s="90" t="str">
        <f>IF(OR($C$6="",$J$6="",$L$6=""),"",IF(HKI!B42="","",HKI!B42))</f>
        <v/>
      </c>
      <c r="C42" s="91" t="str">
        <f>IF($B42="","",VLOOKUP($B42,'DS LOP HKI'!$B$2:$F$2642,2,0))</f>
        <v/>
      </c>
      <c r="D42" s="92" t="str">
        <f>IF($B42="","",VLOOKUP($B42,'DS LOP HKI'!$B$2:$F$2642,3,0))</f>
        <v/>
      </c>
      <c r="E42" s="144"/>
      <c r="F42" s="111"/>
      <c r="G42" s="198"/>
      <c r="H42" s="198"/>
      <c r="I42" s="198"/>
      <c r="J42" s="111"/>
      <c r="K42" s="111"/>
      <c r="L42" s="111"/>
      <c r="M42" s="198"/>
      <c r="N42" s="262"/>
      <c r="O42" s="12" t="str">
        <f t="shared" si="0"/>
        <v/>
      </c>
      <c r="P42" s="7" t="str">
        <f t="shared" si="1"/>
        <v/>
      </c>
      <c r="Q42" s="93" t="str">
        <f>IF(ISNUMBER(E42)=TRUE,"",IF(HKI!AH42="","",HKI!AH42))</f>
        <v/>
      </c>
      <c r="R42" s="93" t="str">
        <f t="shared" si="2"/>
        <v/>
      </c>
    </row>
    <row r="43" spans="1:18" ht="15.75">
      <c r="A43" s="2" t="str">
        <f>IF(OR($C$6="",$J$6=""),"",IF(B43="","",SUBTOTAL(3,$B$11:B43)))</f>
        <v/>
      </c>
      <c r="B43" s="90" t="str">
        <f>IF(OR($C$6="",$J$6="",$L$6=""),"",IF(HKI!B43="","",HKI!B43))</f>
        <v/>
      </c>
      <c r="C43" s="91" t="str">
        <f>IF($B43="","",VLOOKUP($B43,'DS LOP HKI'!$B$2:$F$2642,2,0))</f>
        <v/>
      </c>
      <c r="D43" s="92" t="str">
        <f>IF($B43="","",VLOOKUP($B43,'DS LOP HKI'!$B$2:$F$2642,3,0))</f>
        <v/>
      </c>
      <c r="E43" s="144"/>
      <c r="F43" s="111"/>
      <c r="G43" s="198"/>
      <c r="H43" s="198"/>
      <c r="I43" s="198"/>
      <c r="J43" s="111"/>
      <c r="K43" s="111"/>
      <c r="L43" s="111"/>
      <c r="M43" s="198"/>
      <c r="N43" s="262"/>
      <c r="O43" s="12" t="str">
        <f t="shared" si="0"/>
        <v/>
      </c>
      <c r="P43" s="7" t="str">
        <f t="shared" si="1"/>
        <v/>
      </c>
      <c r="Q43" s="93" t="str">
        <f>IF(ISNUMBER(E43)=TRUE,"",IF(HKI!AH43="","",HKI!AH43))</f>
        <v/>
      </c>
      <c r="R43" s="93" t="str">
        <f t="shared" si="2"/>
        <v/>
      </c>
    </row>
    <row r="44" spans="1:18" ht="15.75">
      <c r="A44" s="2" t="str">
        <f>IF(OR($C$6="",$J$6=""),"",IF(B44="","",SUBTOTAL(3,$B$11:B44)))</f>
        <v/>
      </c>
      <c r="B44" s="90" t="str">
        <f>IF(OR($C$6="",$J$6="",$L$6=""),"",IF(HKI!B44="","",HKI!B44))</f>
        <v/>
      </c>
      <c r="C44" s="91" t="str">
        <f>IF($B44="","",VLOOKUP($B44,'DS LOP HKI'!$B$2:$F$2642,2,0))</f>
        <v/>
      </c>
      <c r="D44" s="92" t="str">
        <f>IF($B44="","",VLOOKUP($B44,'DS LOP HKI'!$B$2:$F$2642,3,0))</f>
        <v/>
      </c>
      <c r="E44" s="144"/>
      <c r="F44" s="111"/>
      <c r="G44" s="198"/>
      <c r="H44" s="198"/>
      <c r="I44" s="198"/>
      <c r="J44" s="111"/>
      <c r="K44" s="111"/>
      <c r="L44" s="111"/>
      <c r="M44" s="198"/>
      <c r="N44" s="262"/>
      <c r="O44" s="12" t="str">
        <f t="shared" si="0"/>
        <v/>
      </c>
      <c r="P44" s="7" t="str">
        <f t="shared" si="1"/>
        <v/>
      </c>
      <c r="Q44" s="93" t="str">
        <f>IF(ISNUMBER(E44)=TRUE,"",IF(HKI!AH44="","",HKI!AH44))</f>
        <v/>
      </c>
      <c r="R44" s="93" t="str">
        <f t="shared" si="2"/>
        <v/>
      </c>
    </row>
    <row r="45" spans="1:18" ht="15.75">
      <c r="A45" s="2" t="str">
        <f>IF(OR($C$6="",$J$6=""),"",IF(B45="","",SUBTOTAL(3,$B$11:B45)))</f>
        <v/>
      </c>
      <c r="B45" s="90" t="str">
        <f>IF(OR($C$6="",$J$6="",$L$6=""),"",IF(HKI!B45="","",HKI!B45))</f>
        <v/>
      </c>
      <c r="C45" s="91" t="str">
        <f>IF($B45="","",VLOOKUP($B45,'DS LOP HKI'!$B$2:$F$2642,2,0))</f>
        <v/>
      </c>
      <c r="D45" s="92" t="str">
        <f>IF($B45="","",VLOOKUP($B45,'DS LOP HKI'!$B$2:$F$2642,3,0))</f>
        <v/>
      </c>
      <c r="E45" s="144"/>
      <c r="F45" s="111"/>
      <c r="G45" s="198"/>
      <c r="H45" s="198"/>
      <c r="I45" s="198"/>
      <c r="J45" s="111"/>
      <c r="K45" s="111"/>
      <c r="L45" s="111"/>
      <c r="M45" s="198"/>
      <c r="N45" s="262"/>
      <c r="O45" s="12" t="str">
        <f t="shared" si="0"/>
        <v/>
      </c>
      <c r="P45" s="7" t="str">
        <f t="shared" si="1"/>
        <v/>
      </c>
      <c r="Q45" s="93" t="str">
        <f>IF(ISNUMBER(E45)=TRUE,"",IF(HKI!AH45="","",HKI!AH45))</f>
        <v/>
      </c>
      <c r="R45" s="93" t="str">
        <f t="shared" si="2"/>
        <v/>
      </c>
    </row>
    <row r="46" spans="1:18" ht="15.75">
      <c r="A46" s="2" t="str">
        <f>IF(OR($C$6="",$J$6=""),"",IF(B46="","",SUBTOTAL(3,$B$11:B46)))</f>
        <v/>
      </c>
      <c r="B46" s="90" t="str">
        <f>IF(OR($C$6="",$J$6="",$L$6=""),"",IF(HKI!B46="","",HKI!B46))</f>
        <v/>
      </c>
      <c r="C46" s="91" t="str">
        <f>IF($B46="","",VLOOKUP($B46,'DS LOP HKI'!$B$2:$F$2642,2,0))</f>
        <v/>
      </c>
      <c r="D46" s="92" t="str">
        <f>IF($B46="","",VLOOKUP($B46,'DS LOP HKI'!$B$2:$F$2642,3,0))</f>
        <v/>
      </c>
      <c r="E46" s="144"/>
      <c r="F46" s="111"/>
      <c r="G46" s="198"/>
      <c r="H46" s="198"/>
      <c r="I46" s="198"/>
      <c r="J46" s="111"/>
      <c r="K46" s="111"/>
      <c r="L46" s="111"/>
      <c r="M46" s="198"/>
      <c r="N46" s="262"/>
      <c r="O46" s="12" t="str">
        <f t="shared" si="0"/>
        <v/>
      </c>
      <c r="P46" s="7" t="str">
        <f t="shared" si="1"/>
        <v/>
      </c>
      <c r="Q46" s="93" t="str">
        <f>IF(ISNUMBER(E46)=TRUE,"",IF(HKI!AH46="","",HKI!AH46))</f>
        <v/>
      </c>
      <c r="R46" s="93" t="str">
        <f t="shared" si="2"/>
        <v/>
      </c>
    </row>
    <row r="47" spans="1:18" ht="15.75">
      <c r="A47" s="2" t="str">
        <f>IF(OR($C$6="",$J$6=""),"",IF(B47="","",SUBTOTAL(3,$B$11:B47)))</f>
        <v/>
      </c>
      <c r="B47" s="90" t="str">
        <f>IF(OR($C$6="",$J$6="",$L$6=""),"",IF(HKI!B47="","",HKI!B47))</f>
        <v/>
      </c>
      <c r="C47" s="91" t="str">
        <f>IF($B47="","",VLOOKUP($B47,'DS LOP HKI'!$B$2:$F$2642,2,0))</f>
        <v/>
      </c>
      <c r="D47" s="92" t="str">
        <f>IF($B47="","",VLOOKUP($B47,'DS LOP HKI'!$B$2:$F$2642,3,0))</f>
        <v/>
      </c>
      <c r="E47" s="144"/>
      <c r="F47" s="111"/>
      <c r="G47" s="198"/>
      <c r="H47" s="198"/>
      <c r="I47" s="198"/>
      <c r="J47" s="111"/>
      <c r="K47" s="111"/>
      <c r="L47" s="111"/>
      <c r="M47" s="198"/>
      <c r="N47" s="262"/>
      <c r="O47" s="12" t="str">
        <f t="shared" si="0"/>
        <v/>
      </c>
      <c r="P47" s="7" t="str">
        <f t="shared" si="1"/>
        <v/>
      </c>
      <c r="Q47" s="93" t="str">
        <f>IF(ISNUMBER(E47)=TRUE,"",IF(HKI!AH47="","",HKI!AH47))</f>
        <v/>
      </c>
      <c r="R47" s="93" t="str">
        <f t="shared" si="2"/>
        <v/>
      </c>
    </row>
    <row r="48" spans="1:18" ht="15.75">
      <c r="A48" s="2" t="str">
        <f>IF(OR($C$6="",$J$6=""),"",IF(B48="","",SUBTOTAL(3,$B$11:B48)))</f>
        <v/>
      </c>
      <c r="B48" s="90" t="str">
        <f>IF(OR($C$6="",$J$6="",$L$6=""),"",IF(HKI!B48="","",HKI!B48))</f>
        <v/>
      </c>
      <c r="C48" s="91" t="str">
        <f>IF($B48="","",VLOOKUP($B48,'DS LOP HKI'!$B$2:$F$2642,2,0))</f>
        <v/>
      </c>
      <c r="D48" s="92" t="str">
        <f>IF($B48="","",VLOOKUP($B48,'DS LOP HKI'!$B$2:$F$2642,3,0))</f>
        <v/>
      </c>
      <c r="E48" s="144"/>
      <c r="F48" s="111"/>
      <c r="G48" s="198"/>
      <c r="H48" s="198"/>
      <c r="I48" s="198"/>
      <c r="J48" s="111"/>
      <c r="K48" s="111"/>
      <c r="L48" s="111"/>
      <c r="M48" s="198"/>
      <c r="N48" s="262"/>
      <c r="O48" s="12" t="str">
        <f t="shared" si="0"/>
        <v/>
      </c>
      <c r="P48" s="7" t="str">
        <f t="shared" si="1"/>
        <v/>
      </c>
      <c r="Q48" s="93" t="str">
        <f>IF(ISNUMBER(E48)=TRUE,"",IF(HKI!AH48="","",HKI!AH48))</f>
        <v/>
      </c>
      <c r="R48" s="93" t="str">
        <f t="shared" si="2"/>
        <v/>
      </c>
    </row>
    <row r="49" spans="1:18" ht="15.75">
      <c r="A49" s="2" t="str">
        <f>IF(OR($C$6="",$J$6=""),"",IF(B49="","",SUBTOTAL(3,$B$11:B49)))</f>
        <v/>
      </c>
      <c r="B49" s="90" t="str">
        <f>IF(OR($C$6="",$J$6="",$L$6=""),"",IF(HKI!B49="","",HKI!B49))</f>
        <v/>
      </c>
      <c r="C49" s="91" t="str">
        <f>IF($B49="","",VLOOKUP($B49,'DS LOP HKI'!$B$2:$F$2642,2,0))</f>
        <v/>
      </c>
      <c r="D49" s="92" t="str">
        <f>IF($B49="","",VLOOKUP($B49,'DS LOP HKI'!$B$2:$F$2642,3,0))</f>
        <v/>
      </c>
      <c r="E49" s="144"/>
      <c r="F49" s="111"/>
      <c r="G49" s="198"/>
      <c r="H49" s="198"/>
      <c r="I49" s="198"/>
      <c r="J49" s="111"/>
      <c r="K49" s="111"/>
      <c r="L49" s="111"/>
      <c r="M49" s="198"/>
      <c r="N49" s="262"/>
      <c r="O49" s="12" t="str">
        <f t="shared" si="0"/>
        <v/>
      </c>
      <c r="P49" s="7" t="str">
        <f t="shared" si="1"/>
        <v/>
      </c>
      <c r="Q49" s="93" t="str">
        <f>IF(ISNUMBER(E49)=TRUE,"",IF(HKI!AH49="","",HKI!AH49))</f>
        <v/>
      </c>
      <c r="R49" s="93" t="str">
        <f t="shared" si="2"/>
        <v/>
      </c>
    </row>
    <row r="50" spans="1:18" ht="15.75">
      <c r="A50" s="2" t="str">
        <f>IF(OR($C$6="",$J$6=""),"",IF(B50="","",SUBTOTAL(3,$B$11:B50)))</f>
        <v/>
      </c>
      <c r="B50" s="90" t="str">
        <f>IF(OR($C$6="",$J$6="",$L$6=""),"",IF(HKI!B50="","",HKI!B50))</f>
        <v/>
      </c>
      <c r="C50" s="91" t="str">
        <f>IF($B50="","",VLOOKUP($B50,'DS LOP HKI'!$B$2:$F$2642,2,0))</f>
        <v/>
      </c>
      <c r="D50" s="92" t="str">
        <f>IF($B50="","",VLOOKUP($B50,'DS LOP HKI'!$B$2:$F$2642,3,0))</f>
        <v/>
      </c>
      <c r="E50" s="144"/>
      <c r="F50" s="111"/>
      <c r="G50" s="198"/>
      <c r="H50" s="198"/>
      <c r="I50" s="198"/>
      <c r="J50" s="111"/>
      <c r="K50" s="111"/>
      <c r="L50" s="111"/>
      <c r="M50" s="198"/>
      <c r="N50" s="262"/>
      <c r="O50" s="12" t="str">
        <f t="shared" si="0"/>
        <v/>
      </c>
      <c r="P50" s="7" t="str">
        <f t="shared" si="1"/>
        <v/>
      </c>
      <c r="Q50" s="93" t="str">
        <f>IF(ISNUMBER(E50)=TRUE,"",IF(HKI!AH50="","",HKI!AH50))</f>
        <v/>
      </c>
      <c r="R50" s="93" t="str">
        <f t="shared" si="2"/>
        <v/>
      </c>
    </row>
    <row r="51" spans="1:18" ht="15.75">
      <c r="A51" s="2" t="str">
        <f>IF(OR($C$6="",$J$6=""),"",IF(B51="","",SUBTOTAL(3,$B$11:B51)))</f>
        <v/>
      </c>
      <c r="B51" s="90" t="str">
        <f>IF(OR($C$6="",$J$6="",$L$6=""),"",IF(HKI!B51="","",HKI!B51))</f>
        <v/>
      </c>
      <c r="C51" s="91" t="str">
        <f>IF($B51="","",VLOOKUP($B51,'DS LOP HKI'!$B$2:$F$2642,2,0))</f>
        <v/>
      </c>
      <c r="D51" s="92" t="str">
        <f>IF($B51="","",VLOOKUP($B51,'DS LOP HKI'!$B$2:$F$2642,3,0))</f>
        <v/>
      </c>
      <c r="E51" s="144"/>
      <c r="F51" s="111"/>
      <c r="G51" s="198"/>
      <c r="H51" s="198"/>
      <c r="I51" s="198"/>
      <c r="J51" s="111"/>
      <c r="K51" s="111"/>
      <c r="L51" s="111"/>
      <c r="M51" s="198"/>
      <c r="N51" s="262"/>
      <c r="O51" s="12" t="str">
        <f t="shared" si="0"/>
        <v/>
      </c>
      <c r="P51" s="7" t="str">
        <f t="shared" si="1"/>
        <v/>
      </c>
      <c r="Q51" s="93" t="str">
        <f>IF(ISNUMBER(E51)=TRUE,"",IF(HKI!AH51="","",HKI!AH51))</f>
        <v/>
      </c>
      <c r="R51" s="93" t="str">
        <f t="shared" si="2"/>
        <v/>
      </c>
    </row>
    <row r="52" spans="1:18" ht="15.75">
      <c r="A52" s="2" t="str">
        <f>IF(OR($C$6="",$J$6=""),"",IF(B52="","",SUBTOTAL(3,$B$11:B52)))</f>
        <v/>
      </c>
      <c r="B52" s="90" t="str">
        <f>IF(OR($C$6="",$J$6="",$L$6=""),"",IF(HKI!B52="","",HKI!B52))</f>
        <v/>
      </c>
      <c r="C52" s="91" t="str">
        <f>IF($B52="","",VLOOKUP($B52,'DS LOP HKI'!$B$2:$F$2642,2,0))</f>
        <v/>
      </c>
      <c r="D52" s="92" t="str">
        <f>IF($B52="","",VLOOKUP($B52,'DS LOP HKI'!$B$2:$F$2642,3,0))</f>
        <v/>
      </c>
      <c r="E52" s="144"/>
      <c r="F52" s="111"/>
      <c r="G52" s="198"/>
      <c r="H52" s="198"/>
      <c r="I52" s="198"/>
      <c r="J52" s="111"/>
      <c r="K52" s="111"/>
      <c r="L52" s="111"/>
      <c r="M52" s="198"/>
      <c r="N52" s="262"/>
      <c r="O52" s="12" t="str">
        <f t="shared" si="0"/>
        <v/>
      </c>
      <c r="P52" s="7" t="str">
        <f t="shared" si="1"/>
        <v/>
      </c>
      <c r="Q52" s="93" t="str">
        <f>IF(ISNUMBER(E52)=TRUE,"",IF(HKI!AH52="","",HKI!AH52))</f>
        <v/>
      </c>
      <c r="R52" s="93" t="str">
        <f t="shared" si="2"/>
        <v/>
      </c>
    </row>
    <row r="53" spans="1:18" ht="15.75">
      <c r="A53" s="2" t="str">
        <f>IF(OR($C$6="",$J$6=""),"",IF(B53="","",SUBTOTAL(3,$B$11:B53)))</f>
        <v/>
      </c>
      <c r="B53" s="90" t="str">
        <f>IF(OR($C$6="",$J$6="",$L$6=""),"",IF(HKI!B53="","",HKI!B53))</f>
        <v/>
      </c>
      <c r="C53" s="91" t="str">
        <f>IF($B53="","",VLOOKUP($B53,'DS LOP HKI'!$B$2:$F$2642,2,0))</f>
        <v/>
      </c>
      <c r="D53" s="92" t="str">
        <f>IF($B53="","",VLOOKUP($B53,'DS LOP HKI'!$B$2:$F$2642,3,0))</f>
        <v/>
      </c>
      <c r="E53" s="144"/>
      <c r="F53" s="111"/>
      <c r="G53" s="198"/>
      <c r="H53" s="198"/>
      <c r="I53" s="198"/>
      <c r="J53" s="111"/>
      <c r="K53" s="111"/>
      <c r="L53" s="111"/>
      <c r="M53" s="198"/>
      <c r="N53" s="262"/>
      <c r="O53" s="12" t="str">
        <f t="shared" si="0"/>
        <v/>
      </c>
      <c r="P53" s="7" t="str">
        <f t="shared" si="1"/>
        <v/>
      </c>
      <c r="Q53" s="93" t="str">
        <f>IF(ISNUMBER(E53)=TRUE,"",IF(HKI!AH53="","",HKI!AH53))</f>
        <v/>
      </c>
      <c r="R53" s="93" t="str">
        <f t="shared" si="2"/>
        <v/>
      </c>
    </row>
    <row r="54" spans="1:18" ht="15.75">
      <c r="A54" s="2" t="str">
        <f>IF(OR($C$6="",$J$6=""),"",IF(B54="","",SUBTOTAL(3,$B$11:B54)))</f>
        <v/>
      </c>
      <c r="B54" s="90" t="str">
        <f>IF(OR($C$6="",$J$6="",$L$6=""),"",IF(HKI!B54="","",HKI!B54))</f>
        <v/>
      </c>
      <c r="C54" s="91" t="str">
        <f>IF($B54="","",VLOOKUP($B54,'DS LOP HKI'!$B$2:$F$2642,2,0))</f>
        <v/>
      </c>
      <c r="D54" s="92" t="str">
        <f>IF($B54="","",VLOOKUP($B54,'DS LOP HKI'!$B$2:$F$2642,3,0))</f>
        <v/>
      </c>
      <c r="E54" s="144"/>
      <c r="F54" s="111"/>
      <c r="G54" s="198"/>
      <c r="H54" s="198"/>
      <c r="I54" s="198"/>
      <c r="J54" s="111"/>
      <c r="K54" s="111"/>
      <c r="L54" s="111"/>
      <c r="M54" s="198"/>
      <c r="N54" s="262"/>
      <c r="O54" s="12" t="str">
        <f t="shared" si="0"/>
        <v/>
      </c>
      <c r="P54" s="7" t="str">
        <f t="shared" si="1"/>
        <v/>
      </c>
      <c r="Q54" s="93" t="str">
        <f>IF(ISNUMBER(E54)=TRUE,"",IF(HKI!AH54="","",HKI!AH54))</f>
        <v/>
      </c>
      <c r="R54" s="93" t="str">
        <f t="shared" si="2"/>
        <v/>
      </c>
    </row>
    <row r="55" spans="1:18" ht="15.75">
      <c r="A55" s="2" t="str">
        <f>IF(OR($C$6="",$J$6=""),"",IF(B55="","",SUBTOTAL(3,$B$11:B55)))</f>
        <v/>
      </c>
      <c r="B55" s="90" t="str">
        <f>IF(OR($C$6="",$J$6="",$L$6=""),"",IF(HKI!B55="","",HKI!B55))</f>
        <v/>
      </c>
      <c r="C55" s="91" t="str">
        <f>IF($B55="","",VLOOKUP($B55,'DS LOP HKI'!$B$2:$F$2642,2,0))</f>
        <v/>
      </c>
      <c r="D55" s="92" t="str">
        <f>IF($B55="","",VLOOKUP($B55,'DS LOP HKI'!$B$2:$F$2642,3,0))</f>
        <v/>
      </c>
      <c r="E55" s="144"/>
      <c r="F55" s="111"/>
      <c r="G55" s="198"/>
      <c r="H55" s="198"/>
      <c r="I55" s="198"/>
      <c r="J55" s="111"/>
      <c r="K55" s="111"/>
      <c r="L55" s="111"/>
      <c r="M55" s="198"/>
      <c r="N55" s="262"/>
      <c r="O55" s="12" t="str">
        <f t="shared" si="0"/>
        <v/>
      </c>
      <c r="P55" s="7" t="str">
        <f t="shared" si="1"/>
        <v/>
      </c>
      <c r="Q55" s="93" t="str">
        <f>IF(ISNUMBER(E55)=TRUE,"",IF(HKI!AH55="","",HKI!AH55))</f>
        <v/>
      </c>
      <c r="R55" s="93" t="str">
        <f t="shared" si="2"/>
        <v/>
      </c>
    </row>
    <row r="56" spans="1:18" ht="15.75">
      <c r="A56" s="2" t="str">
        <f>IF(OR($C$6="",$J$6=""),"",IF(B56="","",SUBTOTAL(3,$B$11:B56)))</f>
        <v/>
      </c>
      <c r="B56" s="90" t="str">
        <f>IF(OR($C$6="",$J$6="",$L$6=""),"",IF(HKI!B56="","",HKI!B56))</f>
        <v/>
      </c>
      <c r="C56" s="91" t="str">
        <f>IF($B56="","",VLOOKUP($B56,'DS LOP HKI'!$B$2:$F$2642,2,0))</f>
        <v/>
      </c>
      <c r="D56" s="92" t="str">
        <f>IF($B56="","",VLOOKUP($B56,'DS LOP HKI'!$B$2:$F$2642,3,0))</f>
        <v/>
      </c>
      <c r="E56" s="144"/>
      <c r="F56" s="111"/>
      <c r="G56" s="198"/>
      <c r="H56" s="198"/>
      <c r="I56" s="198"/>
      <c r="J56" s="111"/>
      <c r="K56" s="111"/>
      <c r="L56" s="111"/>
      <c r="M56" s="198"/>
      <c r="N56" s="262"/>
      <c r="O56" s="12" t="str">
        <f t="shared" si="0"/>
        <v/>
      </c>
      <c r="P56" s="7" t="str">
        <f t="shared" si="1"/>
        <v/>
      </c>
      <c r="Q56" s="93" t="str">
        <f>IF(ISNUMBER(E56)=TRUE,"",IF(HKI!AH56="","",HKI!AH56))</f>
        <v/>
      </c>
      <c r="R56" s="93" t="str">
        <f t="shared" si="2"/>
        <v/>
      </c>
    </row>
    <row r="57" spans="1:18" s="4" customFormat="1" ht="15.75">
      <c r="A57" s="2" t="str">
        <f>IF(OR($C$6="",$J$6=""),"",IF(B57="","",SUBTOTAL(3,$B$11:B57)))</f>
        <v/>
      </c>
      <c r="B57" s="90" t="str">
        <f>IF(OR($C$6="",$J$6="",$L$6=""),"",IF(HKI!B57="","",HKI!B57))</f>
        <v/>
      </c>
      <c r="C57" s="91" t="str">
        <f>IF($B57="","",VLOOKUP($B57,'DS LOP HKI'!$B$2:$F$2642,2,0))</f>
        <v/>
      </c>
      <c r="D57" s="92" t="str">
        <f>IF($B57="","",VLOOKUP($B57,'DS LOP HKI'!$B$2:$F$2642,3,0))</f>
        <v/>
      </c>
      <c r="E57" s="144"/>
      <c r="F57" s="111"/>
      <c r="G57" s="198"/>
      <c r="H57" s="198"/>
      <c r="I57" s="198"/>
      <c r="J57" s="111"/>
      <c r="K57" s="111"/>
      <c r="L57" s="111"/>
      <c r="M57" s="198"/>
      <c r="N57" s="262"/>
      <c r="O57" s="12" t="str">
        <f t="shared" si="0"/>
        <v/>
      </c>
      <c r="P57" s="7" t="str">
        <f t="shared" si="1"/>
        <v/>
      </c>
      <c r="Q57" s="93" t="str">
        <f>IF(ISNUMBER(E57)=TRUE,"",IF(HKI!AH57="","",HKI!AH57))</f>
        <v/>
      </c>
      <c r="R57" s="93" t="str">
        <f t="shared" si="2"/>
        <v/>
      </c>
    </row>
    <row r="58" spans="1:18" s="4" customFormat="1" ht="15.75">
      <c r="A58" s="2" t="str">
        <f>IF(OR($C$6="",$J$6=""),"",IF(B58="","",SUBTOTAL(3,$B$11:B58)))</f>
        <v/>
      </c>
      <c r="B58" s="90" t="str">
        <f>IF(OR($C$6="",$J$6="",$L$6=""),"",IF(HKI!B58="","",HKI!B58))</f>
        <v/>
      </c>
      <c r="C58" s="91" t="str">
        <f>IF($B58="","",VLOOKUP($B58,'DS LOP HKI'!$B$2:$F$2642,2,0))</f>
        <v/>
      </c>
      <c r="D58" s="92" t="str">
        <f>IF($B58="","",VLOOKUP($B58,'DS LOP HKI'!$B$2:$F$2642,3,0))</f>
        <v/>
      </c>
      <c r="E58" s="144"/>
      <c r="F58" s="111"/>
      <c r="G58" s="198"/>
      <c r="H58" s="198"/>
      <c r="I58" s="198"/>
      <c r="J58" s="111"/>
      <c r="K58" s="111"/>
      <c r="L58" s="111"/>
      <c r="M58" s="198"/>
      <c r="N58" s="262"/>
      <c r="O58" s="12" t="str">
        <f t="shared" si="0"/>
        <v/>
      </c>
      <c r="P58" s="7" t="str">
        <f t="shared" si="1"/>
        <v/>
      </c>
      <c r="Q58" s="93" t="str">
        <f>IF(ISNUMBER(E58)=TRUE,"",IF(HKI!AH58="","",HKI!AH58))</f>
        <v/>
      </c>
      <c r="R58" s="93" t="str">
        <f t="shared" si="2"/>
        <v/>
      </c>
    </row>
    <row r="59" spans="1:18" ht="15.75">
      <c r="A59" s="2" t="str">
        <f>IF(OR($C$6="",$J$6=""),"",IF(B59="","",SUBTOTAL(3,$B$11:B59)))</f>
        <v/>
      </c>
      <c r="B59" s="90" t="str">
        <f>IF(OR($C$6="",$J$6="",$L$6=""),"",IF(HKI!B59="","",HKI!B59))</f>
        <v/>
      </c>
      <c r="C59" s="91" t="str">
        <f>IF($B59="","",VLOOKUP($B59,'DS LOP HKI'!$B$2:$F$2642,2,0))</f>
        <v/>
      </c>
      <c r="D59" s="92" t="str">
        <f>IF($B59="","",VLOOKUP($B59,'DS LOP HKI'!$B$2:$F$2642,3,0))</f>
        <v/>
      </c>
      <c r="E59" s="144"/>
      <c r="F59" s="111"/>
      <c r="G59" s="198"/>
      <c r="H59" s="198"/>
      <c r="I59" s="198"/>
      <c r="J59" s="111"/>
      <c r="K59" s="111"/>
      <c r="L59" s="111"/>
      <c r="M59" s="198"/>
      <c r="N59" s="262"/>
      <c r="O59" s="12" t="str">
        <f t="shared" si="0"/>
        <v/>
      </c>
      <c r="P59" s="7" t="str">
        <f t="shared" si="1"/>
        <v/>
      </c>
      <c r="Q59" s="93" t="str">
        <f>IF(ISNUMBER(E59)=TRUE,"",IF(HKI!AH59="","",HKI!AH59))</f>
        <v/>
      </c>
      <c r="R59" s="93" t="str">
        <f t="shared" si="2"/>
        <v/>
      </c>
    </row>
    <row r="60" spans="1:18" ht="15.75">
      <c r="A60" s="2" t="str">
        <f>IF(OR($C$6="",$J$6=""),"",IF(B60="","",SUBTOTAL(3,$B$11:B60)))</f>
        <v/>
      </c>
      <c r="B60" s="90" t="str">
        <f>IF(OR($C$6="",$J$6="",$L$6=""),"",IF(HKI!B60="","",HKI!B60))</f>
        <v/>
      </c>
      <c r="C60" s="91" t="str">
        <f>IF($B60="","",VLOOKUP($B60,'DS LOP HKI'!$B$2:$F$2642,2,0))</f>
        <v/>
      </c>
      <c r="D60" s="92" t="str">
        <f>IF($B60="","",VLOOKUP($B60,'DS LOP HKI'!$B$2:$F$2642,3,0))</f>
        <v/>
      </c>
      <c r="E60" s="144"/>
      <c r="F60" s="111"/>
      <c r="G60" s="198"/>
      <c r="H60" s="198"/>
      <c r="I60" s="198"/>
      <c r="J60" s="111"/>
      <c r="K60" s="111"/>
      <c r="L60" s="111"/>
      <c r="M60" s="198"/>
      <c r="N60" s="262"/>
      <c r="O60" s="12" t="str">
        <f t="shared" si="0"/>
        <v/>
      </c>
      <c r="P60" s="7" t="str">
        <f t="shared" si="1"/>
        <v/>
      </c>
      <c r="Q60" s="93" t="str">
        <f>IF(ISNUMBER(E60)=TRUE,"",IF(HKI!AH60="","",HKI!AH60))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IF(ISNUMBER(E61)=TRUE,"",IF(HKI!AH61="","",HKI!AH61))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IF(ISNUMBER(E62)=TRUE,"",IF(HKI!AH62="","",HKI!AH62))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IF(ISNUMBER(E63)=TRUE,"",IF(HKI!AH63="","",HKI!AH63))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IF(ISNUMBER(E64)=TRUE,"",IF(HKI!AH64="","",HKI!AH64))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IF(ISNUMBER(E65)=TRUE,"",IF(HKI!AH65="","",HKI!AH65))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IF(ISNUMBER(E66)=TRUE,"",IF(HKI!AH66="","",HKI!AH66))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IF(ISNUMBER(E67)=TRUE,"",IF(HKI!AH67="","",HKI!AH67))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IF(ISNUMBER(E68)=TRUE,"",IF(HKI!AH68="","",HKI!AH68))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IF(ISNUMBER(E69)=TRUE,"",IF(HKI!AH69="","",HKI!AH69))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IF(ISNUMBER(E70)=TRUE,"",IF(HKI!AH70="","",HKI!AH70))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IF(ISNUMBER(E71)=TRUE,"",IF(HKI!AH71="","",HKI!AH71))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IF(ISNUMBER(E72)=TRUE,"",IF(HKI!AH72="","",HKI!AH72))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IF(ISNUMBER(E73)=TRUE,"",IF(HKI!AH73="","",HKI!AH73))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IF(ISNUMBER(E74)=TRUE,"",IF(HKI!AH74="","",HKI!AH74))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IF(ISNUMBER(E75)=TRUE,"",IF(HKI!AH75="","",HKI!AH75))</f>
        <v/>
      </c>
      <c r="R75" s="93" t="str">
        <f t="shared" si="2"/>
        <v/>
      </c>
    </row>
    <row r="76" spans="1:18" s="38" customFormat="1">
      <c r="A76" s="806" t="s">
        <v>1519</v>
      </c>
      <c r="B76" s="806"/>
      <c r="C76" s="806"/>
      <c r="D76" s="806"/>
      <c r="E76" s="806"/>
      <c r="F76" s="806"/>
      <c r="G76" s="806"/>
      <c r="H76" s="806"/>
      <c r="I76" s="806"/>
      <c r="J76" s="806"/>
      <c r="K76" s="806"/>
      <c r="L76" s="806"/>
      <c r="M76" s="806"/>
      <c r="N76" s="806"/>
      <c r="O76" s="806"/>
      <c r="P76" s="806"/>
    </row>
    <row r="77" spans="1:18" s="38" customFormat="1">
      <c r="A77" s="5"/>
      <c r="B77" s="793" t="str">
        <f>"Tổng danh sách có"</f>
        <v>Tổng danh sách có</v>
      </c>
      <c r="C77" s="793"/>
      <c r="D77" s="793"/>
      <c r="E77" s="793"/>
      <c r="F77" s="804" t="str">
        <f>": "&amp;MAX($A$11:$A$75)&amp;" SV"</f>
        <v>: 0 SV</v>
      </c>
      <c r="G77" s="804"/>
      <c r="L77" s="6"/>
      <c r="M77" s="6"/>
      <c r="N77" s="6"/>
      <c r="O77" s="6"/>
      <c r="P77" s="5"/>
    </row>
    <row r="78" spans="1:18" s="38" customFormat="1" ht="12.75" customHeight="1">
      <c r="A78" s="4"/>
      <c r="B78" s="782" t="str">
        <f>"Tổng số SV có điểm Giỏi từ 8,5 đ đến 10 đ"</f>
        <v>Tổng số SV có điểm Giỏi từ 8,5 đ đến 10 đ</v>
      </c>
      <c r="C78" s="782"/>
      <c r="D78" s="782"/>
      <c r="E78" s="782"/>
      <c r="F78" s="782" t="str">
        <f>": "&amp;COUNTIF($P$11:$P$75,"Giỏi")&amp;" SV"</f>
        <v>: 0 SV</v>
      </c>
      <c r="G78" s="782"/>
      <c r="H78" s="782" t="str">
        <f>IF(B11="","","("&amp;ROUND(COUNTIF($P$11:$P$75,"Giỏi")*100/MAX($A$11:$A$75),2)&amp;"%" &amp;")")</f>
        <v/>
      </c>
      <c r="I78" s="782"/>
      <c r="J78" s="782"/>
      <c r="K78" s="782"/>
      <c r="L78" s="789" t="str">
        <f>IF(B11="","","Tổng số SV có điểm &gt;= 4 đ : "&amp;COUNTIF(O11:O75,"&gt;=4")&amp;" SV"&amp;" ("&amp;ROUND(COUNTIF(O11:O75,"&gt;=4")*100/MAX($A$11:$A$75),2)&amp;"%" &amp;")")</f>
        <v/>
      </c>
      <c r="M78" s="789"/>
      <c r="N78" s="789"/>
      <c r="O78" s="789"/>
      <c r="P78" s="46"/>
    </row>
    <row r="79" spans="1:18" s="38" customFormat="1" ht="12.75" customHeight="1">
      <c r="A79" s="4"/>
      <c r="B79" s="782" t="str">
        <f>"Tổng số SV có điểm Khá từ 7 đ đến &lt;8,5 đ"</f>
        <v>Tổng số SV có điểm Khá từ 7 đ đến &lt;8,5 đ</v>
      </c>
      <c r="C79" s="782"/>
      <c r="D79" s="782"/>
      <c r="E79" s="782"/>
      <c r="F79" s="782" t="str">
        <f>": "&amp;COUNTIF($P$11:$P$75,"Khá")&amp;" SV"</f>
        <v>: 0 SV</v>
      </c>
      <c r="G79" s="782"/>
      <c r="H79" s="782" t="str">
        <f>IF(B11="","","("&amp;ROUND(COUNTIF($P$11:$P$75,"Khá")*100/MAX($A$11:$A$75),2)&amp;"%" &amp;")")</f>
        <v/>
      </c>
      <c r="I79" s="782"/>
      <c r="J79" s="782"/>
      <c r="K79" s="782"/>
      <c r="L79" s="789"/>
      <c r="M79" s="789"/>
      <c r="N79" s="789"/>
      <c r="O79" s="789"/>
      <c r="P79" s="46"/>
    </row>
    <row r="80" spans="1:18" s="38" customFormat="1" ht="12.75" customHeight="1">
      <c r="A80" s="4"/>
      <c r="B80" s="782" t="str">
        <f>"Tổng số SV có điểm Trung bình từ 5,5 đ đến &lt;7 đ"</f>
        <v>Tổng số SV có điểm Trung bình từ 5,5 đ đến &lt;7 đ</v>
      </c>
      <c r="C80" s="782"/>
      <c r="D80" s="782"/>
      <c r="E80" s="782"/>
      <c r="F80" s="782" t="str">
        <f>": "&amp;COUNTIF($P$11:$P$75,"TB")&amp;" SV"</f>
        <v>: 0 SV</v>
      </c>
      <c r="G80" s="782"/>
      <c r="H80" s="782" t="str">
        <f>IF(B11="","","("&amp;ROUND(COUNTIF($P$11:$P$75,"TB")*100/MAX($A$11:$A$75),2)&amp;"%" &amp;")")</f>
        <v/>
      </c>
      <c r="I80" s="782"/>
      <c r="J80" s="782"/>
      <c r="K80" s="782"/>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0 SV</v>
      </c>
      <c r="G81" s="782"/>
      <c r="H81" s="782" t="str">
        <f>IF(B11="","","("&amp;ROUND(COUNTIF($P$11:$P$75,"TBY")*100/MAX($A$11:$A$75),2)&amp;"%" &amp;")")</f>
        <v/>
      </c>
      <c r="I81" s="782"/>
      <c r="J81" s="782"/>
      <c r="K81" s="782"/>
      <c r="L81" s="794" t="str">
        <f>IF(B11="","","Tổng số SV có điểm &lt; 4 đ : "&amp;COUNTIF(O11:O75,"&lt;4")&amp;" SV"&amp;" ("&amp;ROUND(COUNTIF(O11:O75,"&lt;4")*100/MAX($A$11:$A$75),2)&amp;"%" &amp;")")</f>
        <v/>
      </c>
      <c r="M81" s="794"/>
      <c r="N81" s="794"/>
      <c r="O81" s="794"/>
      <c r="P81" s="94"/>
    </row>
    <row r="82" spans="1:16" s="38" customFormat="1" ht="12.75" customHeight="1">
      <c r="A82" s="4"/>
      <c r="B82" s="782" t="str">
        <f>"Tổng số SV có điểm kém &lt;4 đ"</f>
        <v>Tổng số SV có điểm kém &lt;4 đ</v>
      </c>
      <c r="C82" s="782"/>
      <c r="D82" s="782"/>
      <c r="E82" s="782"/>
      <c r="F82" s="782" t="str">
        <f>": "&amp;COUNTIF($P$11:$P$75,"Kém")&amp;" SV"</f>
        <v>: 0 SV</v>
      </c>
      <c r="G82" s="782"/>
      <c r="H82" s="782" t="str">
        <f>IF(B11="","","("&amp;ROUND(COUNTIF($P$11:$P$75,"Kém")*100/MAX($A$11:$A$75),2)&amp;"%"&amp;")")</f>
        <v/>
      </c>
      <c r="I82" s="782"/>
      <c r="J82" s="782"/>
      <c r="K82" s="782"/>
      <c r="L82" s="794"/>
      <c r="M82" s="794"/>
      <c r="N82" s="794"/>
      <c r="O82" s="794"/>
      <c r="P82" s="94"/>
    </row>
    <row r="83" spans="1:16" s="38" customFormat="1" ht="12.75" customHeight="1">
      <c r="A83" s="4"/>
      <c r="B83" s="782" t="str">
        <f>"Tổng số SV không xếp loại vì chưa đủ điều kiện"</f>
        <v>Tổng số SV không xếp loại vì chưa đủ điều kiện</v>
      </c>
      <c r="C83" s="782"/>
      <c r="D83" s="782"/>
      <c r="E83" s="782"/>
      <c r="F83" s="782" t="str">
        <f>": "&amp;COUNTIF($P$11:$P$75,"KXL")&amp;" SV"</f>
        <v>: 0 SV</v>
      </c>
      <c r="G83" s="782"/>
      <c r="H83" s="782" t="str">
        <f>IF(B11="","","("&amp;ROUND(COUNTIF($P$11:$P$75,"KXL")*100/MAX($A$11:$A$75),2)&amp;"%"&amp;")")</f>
        <v/>
      </c>
      <c r="I83" s="782"/>
      <c r="J83" s="782"/>
      <c r="K83" s="782"/>
      <c r="L83" s="794"/>
      <c r="M83" s="794"/>
      <c r="N83" s="794"/>
      <c r="O83" s="794"/>
      <c r="P83" s="94"/>
    </row>
    <row r="84" spans="1:16" ht="15.75">
      <c r="B84" s="47"/>
      <c r="C84" s="47"/>
      <c r="D84" s="47"/>
      <c r="E84" s="47"/>
      <c r="F84" s="47"/>
      <c r="G84" s="47"/>
      <c r="H84" s="47"/>
      <c r="I84" s="47"/>
      <c r="J84" s="47"/>
      <c r="K84" s="47"/>
      <c r="L84" s="47"/>
      <c r="M84" s="47"/>
      <c r="N84" s="47"/>
      <c r="O84" s="47"/>
    </row>
    <row r="85" spans="1:16" ht="15.75" customHeight="1">
      <c r="A85" s="781" t="s">
        <v>1427</v>
      </c>
      <c r="B85" s="781"/>
      <c r="C85" s="781"/>
      <c r="D85" s="781" t="s">
        <v>1515</v>
      </c>
      <c r="E85" s="781"/>
      <c r="F85" s="781"/>
      <c r="G85" s="781"/>
      <c r="H85" s="781"/>
      <c r="I85" s="84"/>
      <c r="J85" s="84"/>
      <c r="K85" s="781" t="s">
        <v>1516</v>
      </c>
      <c r="L85" s="781"/>
      <c r="M85" s="781"/>
      <c r="N85" s="781"/>
      <c r="O85" s="781"/>
      <c r="P85" s="781"/>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F77:G77"/>
    <mergeCell ref="B77:E77"/>
    <mergeCell ref="H82:K82"/>
    <mergeCell ref="B83:E83"/>
    <mergeCell ref="F83:G83"/>
    <mergeCell ref="H83:K83"/>
    <mergeCell ref="H78:K78"/>
    <mergeCell ref="L78:O80"/>
    <mergeCell ref="H79:K79"/>
    <mergeCell ref="H80:K80"/>
    <mergeCell ref="B80:E80"/>
    <mergeCell ref="F80:G80"/>
    <mergeCell ref="B78:E78"/>
    <mergeCell ref="F78:G78"/>
    <mergeCell ref="B79:E79"/>
    <mergeCell ref="F79:G79"/>
    <mergeCell ref="H6:I6"/>
    <mergeCell ref="G7:I7"/>
    <mergeCell ref="C6:G6"/>
    <mergeCell ref="R8:R10"/>
    <mergeCell ref="A76:P76"/>
    <mergeCell ref="J7:L7"/>
    <mergeCell ref="G10:L10"/>
    <mergeCell ref="I8:I9"/>
    <mergeCell ref="J8:J9"/>
    <mergeCell ref="K8:K9"/>
    <mergeCell ref="O8:O10"/>
    <mergeCell ref="P8:P10"/>
    <mergeCell ref="Q8:Q9"/>
    <mergeCell ref="L8:L9"/>
    <mergeCell ref="M8:M9"/>
    <mergeCell ref="N8:N9"/>
    <mergeCell ref="A1:F1"/>
    <mergeCell ref="A2:F2"/>
    <mergeCell ref="A4:M4"/>
    <mergeCell ref="A5:M5"/>
    <mergeCell ref="A3:F3"/>
    <mergeCell ref="H1:N1"/>
    <mergeCell ref="H2:N2"/>
    <mergeCell ref="H3:N3"/>
  </mergeCells>
  <phoneticPr fontId="12" type="noConversion"/>
  <conditionalFormatting sqref="O11:O75">
    <cfRule type="cellIs" dxfId="4" priority="1" stopIfTrue="1" operator="lessThan">
      <formula>4</formula>
    </cfRule>
  </conditionalFormatting>
  <printOptions horizontalCentered="1"/>
  <pageMargins left="0" right="0" top="0.25" bottom="0.5" header="0.25" footer="0.25"/>
  <pageSetup paperSize="9" scale="95" orientation="portrait" horizontalDpi="1200" verticalDpi="1200" r:id="rId1"/>
  <headerFooter alignWithMargins="0"/>
</worksheet>
</file>

<file path=xl/worksheets/sheet16.xml><?xml version="1.0" encoding="utf-8"?>
<worksheet xmlns="http://schemas.openxmlformats.org/spreadsheetml/2006/main" xmlns:r="http://schemas.openxmlformats.org/officeDocument/2006/relationships">
  <sheetPr codeName="Sheet14"/>
  <dimension ref="A1:R85"/>
  <sheetViews>
    <sheetView workbookViewId="0">
      <pane ySplit="10" topLeftCell="A11" activePane="bottomLeft" state="frozen"/>
      <selection activeCell="G25" sqref="G25"/>
      <selection pane="bottomLeft" activeCell="G11" sqref="G11:N60"/>
    </sheetView>
  </sheetViews>
  <sheetFormatPr defaultRowHeight="12.75"/>
  <cols>
    <col min="1" max="1" width="3.85546875" style="5" bestFit="1" customWidth="1"/>
    <col min="2" max="2" width="13.5703125" style="5" bestFit="1" customWidth="1"/>
    <col min="3" max="3" width="26.14062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8" t="s">
        <v>1502</v>
      </c>
      <c r="B1" s="788"/>
      <c r="C1" s="788"/>
      <c r="D1" s="788"/>
      <c r="E1" s="788"/>
      <c r="F1" s="788"/>
      <c r="G1" s="79"/>
      <c r="H1" s="784" t="s">
        <v>1503</v>
      </c>
      <c r="I1" s="784"/>
      <c r="J1" s="784"/>
      <c r="K1" s="784"/>
      <c r="L1" s="784"/>
      <c r="M1" s="784"/>
      <c r="N1" s="784"/>
    </row>
    <row r="2" spans="1:18" ht="15.75">
      <c r="A2" s="787" t="s">
        <v>1504</v>
      </c>
      <c r="B2" s="787"/>
      <c r="C2" s="787"/>
      <c r="D2" s="787"/>
      <c r="E2" s="787"/>
      <c r="F2" s="787"/>
      <c r="G2" s="79"/>
      <c r="H2" s="784" t="s">
        <v>1505</v>
      </c>
      <c r="I2" s="784"/>
      <c r="J2" s="784"/>
      <c r="K2" s="784"/>
      <c r="L2" s="784"/>
      <c r="M2" s="784"/>
      <c r="N2" s="784"/>
    </row>
    <row r="3" spans="1:18" ht="15.75">
      <c r="A3" s="785" t="s">
        <v>1506</v>
      </c>
      <c r="B3" s="785"/>
      <c r="C3" s="785"/>
      <c r="D3" s="785"/>
      <c r="E3" s="785"/>
      <c r="F3" s="785"/>
      <c r="G3" s="80"/>
      <c r="H3" s="785" t="s">
        <v>1507</v>
      </c>
      <c r="I3" s="785"/>
      <c r="J3" s="785"/>
      <c r="K3" s="785"/>
      <c r="L3" s="785"/>
      <c r="M3" s="785"/>
      <c r="N3" s="785"/>
    </row>
    <row r="4" spans="1:18" ht="18.75">
      <c r="A4" s="786" t="s">
        <v>1508</v>
      </c>
      <c r="B4" s="786"/>
      <c r="C4" s="786"/>
      <c r="D4" s="786"/>
      <c r="E4" s="786"/>
      <c r="F4" s="786"/>
      <c r="G4" s="786"/>
      <c r="H4" s="786"/>
      <c r="I4" s="786"/>
      <c r="J4" s="786"/>
      <c r="K4" s="786"/>
      <c r="L4" s="786"/>
      <c r="M4" s="786"/>
    </row>
    <row r="5" spans="1:18" ht="18.75">
      <c r="A5" s="786"/>
      <c r="B5" s="786"/>
      <c r="C5" s="786"/>
      <c r="D5" s="786"/>
      <c r="E5" s="786"/>
      <c r="F5" s="786"/>
      <c r="G5" s="786"/>
      <c r="H5" s="786"/>
      <c r="I5" s="786"/>
      <c r="J5" s="786"/>
      <c r="K5" s="786"/>
      <c r="L5" s="786"/>
      <c r="M5" s="786"/>
    </row>
    <row r="6" spans="1:18" s="81" customFormat="1" ht="15">
      <c r="B6" s="82" t="s">
        <v>1509</v>
      </c>
      <c r="C6" s="780" t="str">
        <f>IF(L6="","",IF(VLOOKUP(L6,'LOP-MON'!$C$2:$N$55,9,FALSE)=0,"",VLOOKUP(L6,'LOP-MON'!$C$2:$N$55,9,FALSE)))</f>
        <v/>
      </c>
      <c r="D6" s="780"/>
      <c r="E6" s="780"/>
      <c r="F6" s="780"/>
      <c r="G6" s="780"/>
      <c r="H6" s="781" t="s">
        <v>1532</v>
      </c>
      <c r="I6" s="781"/>
      <c r="J6" s="83" t="str">
        <f>IF(L6="","",IF(VLOOKUP(CONCATENATE("TC",MID(L6,1,4),MID(L6,6,3)),'LOP-MON'!$C$2:$N$55,9,FALSE)=0,"",VLOOKUP(CONCATENATE("TC",MID(L6,1,4),MID(L6,6,3)),'LOP-MON'!$C$2:$N$55,9,FALSE)))</f>
        <v/>
      </c>
      <c r="K6" s="82" t="s">
        <v>1424</v>
      </c>
      <c r="L6" s="85" t="str">
        <f>HKI!$D$3</f>
        <v>13CĐ-Đ1</v>
      </c>
      <c r="M6" s="82"/>
      <c r="N6" s="82"/>
    </row>
    <row r="7" spans="1:18" s="86" customFormat="1" ht="15">
      <c r="C7" s="45" t="s">
        <v>1510</v>
      </c>
      <c r="D7" s="45" t="s">
        <v>1511</v>
      </c>
      <c r="E7" s="87"/>
      <c r="G7" s="790" t="s">
        <v>1512</v>
      </c>
      <c r="H7" s="790"/>
      <c r="I7" s="790"/>
      <c r="J7" s="790" t="s">
        <v>90</v>
      </c>
      <c r="K7" s="790"/>
      <c r="L7" s="790"/>
      <c r="O7" s="88"/>
      <c r="P7" s="88"/>
    </row>
    <row r="8" spans="1:18" s="81" customFormat="1" ht="15">
      <c r="A8" s="783" t="s">
        <v>1514</v>
      </c>
      <c r="B8" s="783" t="s">
        <v>1425</v>
      </c>
      <c r="C8" s="783" t="s">
        <v>1426</v>
      </c>
      <c r="D8" s="797"/>
      <c r="E8" s="783" t="s">
        <v>1518</v>
      </c>
      <c r="F8" s="791" t="s">
        <v>1521</v>
      </c>
      <c r="G8" s="791" t="s">
        <v>1522</v>
      </c>
      <c r="H8" s="791" t="s">
        <v>1523</v>
      </c>
      <c r="I8" s="791" t="s">
        <v>1524</v>
      </c>
      <c r="J8" s="791" t="s">
        <v>1525</v>
      </c>
      <c r="K8" s="791" t="s">
        <v>1526</v>
      </c>
      <c r="L8" s="791" t="s">
        <v>1527</v>
      </c>
      <c r="M8" s="791" t="s">
        <v>1528</v>
      </c>
      <c r="N8" s="791" t="s">
        <v>1529</v>
      </c>
      <c r="O8" s="791" t="s">
        <v>1520</v>
      </c>
      <c r="P8" s="805" t="s">
        <v>1517</v>
      </c>
      <c r="Q8" s="791" t="s">
        <v>1530</v>
      </c>
      <c r="R8" s="791" t="s">
        <v>1531</v>
      </c>
    </row>
    <row r="9" spans="1:18" s="89" customFormat="1" ht="28.5" customHeight="1">
      <c r="A9" s="783"/>
      <c r="B9" s="783"/>
      <c r="C9" s="783"/>
      <c r="D9" s="797"/>
      <c r="E9" s="783"/>
      <c r="F9" s="791"/>
      <c r="G9" s="791"/>
      <c r="H9" s="791"/>
      <c r="I9" s="791"/>
      <c r="J9" s="791"/>
      <c r="K9" s="791"/>
      <c r="L9" s="791"/>
      <c r="M9" s="791"/>
      <c r="N9" s="791"/>
      <c r="O9" s="791"/>
      <c r="P9" s="805"/>
      <c r="Q9" s="791"/>
      <c r="R9" s="791"/>
    </row>
    <row r="10" spans="1:18" s="89" customFormat="1" ht="15">
      <c r="A10" s="783"/>
      <c r="B10" s="783"/>
      <c r="C10" s="783"/>
      <c r="D10" s="797"/>
      <c r="E10" s="783"/>
      <c r="F10" s="9"/>
      <c r="G10" s="803">
        <v>0.2</v>
      </c>
      <c r="H10" s="791"/>
      <c r="I10" s="791"/>
      <c r="J10" s="791"/>
      <c r="K10" s="791"/>
      <c r="L10" s="791"/>
      <c r="M10" s="9">
        <v>0.3</v>
      </c>
      <c r="N10" s="9">
        <v>0.5</v>
      </c>
      <c r="O10" s="791"/>
      <c r="P10" s="805"/>
      <c r="Q10" s="10">
        <v>0.5</v>
      </c>
      <c r="R10" s="791"/>
    </row>
    <row r="11" spans="1:18" ht="15">
      <c r="A11" s="2" t="str">
        <f>IF(OR($C$6="",$J$6="",L6=""),"",IF(B11="","",SUBTOTAL(3,$B$11:B11)))</f>
        <v/>
      </c>
      <c r="B11" s="90" t="str">
        <f>IF(OR($C$6="",$J$6="",$L$6=""),"",IF(HKI!B11="","",HKI!B11))</f>
        <v/>
      </c>
      <c r="C11" s="91" t="str">
        <f>IF($B11="","",VLOOKUP($B11,'DS LOP HKI'!$B$2:$F$2642,2,0))</f>
        <v/>
      </c>
      <c r="D11" s="92" t="str">
        <f>IF($B11="","",VLOOKUP($B11,'DS LOP HKI'!$B$2:$F$2642,3,0))</f>
        <v/>
      </c>
      <c r="E11" s="144"/>
      <c r="F11" s="200"/>
      <c r="G11" s="536"/>
      <c r="H11" s="536"/>
      <c r="I11" s="536"/>
      <c r="J11" s="200"/>
      <c r="K11" s="200"/>
      <c r="L11" s="200"/>
      <c r="M11" s="536"/>
      <c r="N11" s="536"/>
      <c r="O11" s="12" t="str">
        <f>IF(B11="","",IF(ISNUMBER(E11)=TRUE,E11,IF(COUNT(G11:N11)=0,"",IF(COUNT(G11:L11)=0,ROUND(0.3*M11+0.5*N11,1),ROUND(0.2*(SUM(G11:L11)/COUNT(G11:L11))+0.3*M11+0.5*N11,1)))))</f>
        <v/>
      </c>
      <c r="P11" s="7" t="str">
        <f>IF(B11="","",IF(O11="","KXL",IF(O11&lt;4,"Kém",IF(O11&lt;5.5,"TBY",IF(O11&lt;7,"TB",IF(O11&lt;8.5,"Khá","Giỏi"))))))</f>
        <v/>
      </c>
      <c r="Q11" s="93" t="str">
        <f>IF(ISNUMBER(E11)=TRUE,"",IF(HKI!AL11="","",HKI!AL11))</f>
        <v/>
      </c>
      <c r="R11" s="93" t="str">
        <f>IF(B11="","",IF(Q11="","",IF(COUNT(G11:N11)=0,"",IF(N11&gt;=Q11,O11,IF(COUNT(G11:L11)=0,ROUND(0.3*M11+0.5*Q11,1),ROUND(0.2*(SUM(G11:L11)/COUNT(G11:L11))+0.3*M11+0.5*Q11,1))))))</f>
        <v/>
      </c>
    </row>
    <row r="12" spans="1:18" ht="15">
      <c r="A12" s="2" t="str">
        <f>IF(OR($C$6="",$J$6=""),"",IF(B12="","",SUBTOTAL(3,$B$11:B12)))</f>
        <v/>
      </c>
      <c r="B12" s="90" t="str">
        <f>IF(OR($C$6="",$J$6="",$L$6=""),"",IF(HKI!B12="","",HKI!B12))</f>
        <v/>
      </c>
      <c r="C12" s="91" t="str">
        <f>IF($B12="","",VLOOKUP($B12,'DS LOP HKI'!$B$2:$F$2642,2,0))</f>
        <v/>
      </c>
      <c r="D12" s="92" t="str">
        <f>IF($B12="","",VLOOKUP($B12,'DS LOP HKI'!$B$2:$F$2642,3,0))</f>
        <v/>
      </c>
      <c r="E12" s="144"/>
      <c r="F12" s="201"/>
      <c r="G12" s="536"/>
      <c r="H12" s="536"/>
      <c r="I12" s="536"/>
      <c r="J12" s="201"/>
      <c r="K12" s="201"/>
      <c r="L12" s="201"/>
      <c r="M12" s="536"/>
      <c r="N12" s="536"/>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IF(ISNUMBER(E12)=TRUE,"",IF(HKI!AL12="","",HKI!AL12))</f>
        <v/>
      </c>
      <c r="R12" s="93" t="str">
        <f t="shared" ref="R12:R75" si="2">IF(B12="","",IF(Q12="","",IF(COUNT(G12:N12)=0,"",IF(N12&gt;=Q12,O12,IF(COUNT(G12:L12)=0,ROUND(0.3*M12+0.5*Q12,1),ROUND(0.2*(SUM(G12:L12)/COUNT(G12:L12))+0.3*M12+0.5*Q12,1))))))</f>
        <v/>
      </c>
    </row>
    <row r="13" spans="1:18" ht="15">
      <c r="A13" s="2" t="str">
        <f>IF(OR($C$6="",$J$6=""),"",IF(B13="","",SUBTOTAL(3,$B$11:B13)))</f>
        <v/>
      </c>
      <c r="B13" s="90" t="str">
        <f>IF(OR($C$6="",$J$6="",$L$6=""),"",IF(HKI!B13="","",HKI!B13))</f>
        <v/>
      </c>
      <c r="C13" s="91" t="str">
        <f>IF($B13="","",VLOOKUP($B13,'DS LOP HKI'!$B$2:$F$2642,2,0))</f>
        <v/>
      </c>
      <c r="D13" s="92" t="str">
        <f>IF($B13="","",VLOOKUP($B13,'DS LOP HKI'!$B$2:$F$2642,3,0))</f>
        <v/>
      </c>
      <c r="E13" s="144"/>
      <c r="F13" s="201"/>
      <c r="G13" s="536"/>
      <c r="H13" s="536"/>
      <c r="I13" s="536"/>
      <c r="J13" s="201"/>
      <c r="K13" s="201"/>
      <c r="L13" s="201"/>
      <c r="M13" s="536"/>
      <c r="N13" s="536"/>
      <c r="O13" s="12" t="str">
        <f t="shared" si="0"/>
        <v/>
      </c>
      <c r="P13" s="7" t="str">
        <f t="shared" si="1"/>
        <v/>
      </c>
      <c r="Q13" s="93" t="str">
        <f>IF(ISNUMBER(E13)=TRUE,"",IF(HKI!AL13="","",HKI!AL13))</f>
        <v/>
      </c>
      <c r="R13" s="93" t="str">
        <f t="shared" si="2"/>
        <v/>
      </c>
    </row>
    <row r="14" spans="1:18" ht="15">
      <c r="A14" s="2" t="str">
        <f>IF(OR($C$6="",$J$6=""),"",IF(B14="","",SUBTOTAL(3,$B$11:B14)))</f>
        <v/>
      </c>
      <c r="B14" s="90" t="str">
        <f>IF(OR($C$6="",$J$6="",$L$6=""),"",IF(HKI!B14="","",HKI!B14))</f>
        <v/>
      </c>
      <c r="C14" s="91" t="str">
        <f>IF($B14="","",VLOOKUP($B14,'DS LOP HKI'!$B$2:$F$2642,2,0))</f>
        <v/>
      </c>
      <c r="D14" s="92" t="str">
        <f>IF($B14="","",VLOOKUP($B14,'DS LOP HKI'!$B$2:$F$2642,3,0))</f>
        <v/>
      </c>
      <c r="E14" s="144"/>
      <c r="F14" s="201"/>
      <c r="G14" s="536"/>
      <c r="H14" s="536"/>
      <c r="I14" s="536"/>
      <c r="J14" s="201"/>
      <c r="K14" s="201"/>
      <c r="L14" s="201"/>
      <c r="M14" s="536"/>
      <c r="N14" s="536"/>
      <c r="O14" s="12" t="str">
        <f t="shared" si="0"/>
        <v/>
      </c>
      <c r="P14" s="7" t="str">
        <f t="shared" si="1"/>
        <v/>
      </c>
      <c r="Q14" s="93" t="str">
        <f>IF(ISNUMBER(E14)=TRUE,"",IF(HKI!AL14="","",HKI!AL14))</f>
        <v/>
      </c>
      <c r="R14" s="93" t="str">
        <f t="shared" si="2"/>
        <v/>
      </c>
    </row>
    <row r="15" spans="1:18" ht="15">
      <c r="A15" s="2" t="str">
        <f>IF(OR($C$6="",$J$6=""),"",IF(B15="","",SUBTOTAL(3,$B$11:B15)))</f>
        <v/>
      </c>
      <c r="B15" s="90" t="str">
        <f>IF(OR($C$6="",$J$6="",$L$6=""),"",IF(HKI!B15="","",HKI!B15))</f>
        <v/>
      </c>
      <c r="C15" s="91" t="str">
        <f>IF($B15="","",VLOOKUP($B15,'DS LOP HKI'!$B$2:$F$2642,2,0))</f>
        <v/>
      </c>
      <c r="D15" s="92" t="str">
        <f>IF($B15="","",VLOOKUP($B15,'DS LOP HKI'!$B$2:$F$2642,3,0))</f>
        <v/>
      </c>
      <c r="E15" s="144"/>
      <c r="F15" s="201"/>
      <c r="G15" s="536"/>
      <c r="H15" s="536"/>
      <c r="I15" s="536"/>
      <c r="J15" s="201"/>
      <c r="K15" s="201"/>
      <c r="L15" s="201"/>
      <c r="M15" s="536"/>
      <c r="N15" s="536"/>
      <c r="O15" s="12" t="str">
        <f t="shared" si="0"/>
        <v/>
      </c>
      <c r="P15" s="7" t="str">
        <f t="shared" si="1"/>
        <v/>
      </c>
      <c r="Q15" s="93" t="str">
        <f>IF(ISNUMBER(E15)=TRUE,"",IF(HKI!AL15="","",HKI!AL15))</f>
        <v/>
      </c>
      <c r="R15" s="93" t="str">
        <f t="shared" si="2"/>
        <v/>
      </c>
    </row>
    <row r="16" spans="1:18" ht="15">
      <c r="A16" s="2" t="str">
        <f>IF(OR($C$6="",$J$6=""),"",IF(B16="","",SUBTOTAL(3,$B$11:B16)))</f>
        <v/>
      </c>
      <c r="B16" s="90" t="str">
        <f>IF(OR($C$6="",$J$6="",$L$6=""),"",IF(HKI!B16="","",HKI!B16))</f>
        <v/>
      </c>
      <c r="C16" s="91" t="str">
        <f>IF($B16="","",VLOOKUP($B16,'DS LOP HKI'!$B$2:$F$2642,2,0))</f>
        <v/>
      </c>
      <c r="D16" s="92" t="str">
        <f>IF($B16="","",VLOOKUP($B16,'DS LOP HKI'!$B$2:$F$2642,3,0))</f>
        <v/>
      </c>
      <c r="E16" s="144"/>
      <c r="F16" s="201"/>
      <c r="G16" s="536"/>
      <c r="H16" s="536"/>
      <c r="I16" s="536"/>
      <c r="J16" s="201"/>
      <c r="K16" s="201"/>
      <c r="L16" s="201"/>
      <c r="M16" s="536"/>
      <c r="N16" s="536"/>
      <c r="O16" s="12" t="str">
        <f t="shared" si="0"/>
        <v/>
      </c>
      <c r="P16" s="7" t="str">
        <f t="shared" si="1"/>
        <v/>
      </c>
      <c r="Q16" s="93" t="str">
        <f>IF(ISNUMBER(E16)=TRUE,"",IF(HKI!AL16="","",HKI!AL16))</f>
        <v/>
      </c>
      <c r="R16" s="93" t="str">
        <f t="shared" si="2"/>
        <v/>
      </c>
    </row>
    <row r="17" spans="1:18" ht="15">
      <c r="A17" s="2" t="str">
        <f>IF(OR($C$6="",$J$6=""),"",IF(B17="","",SUBTOTAL(3,$B$11:B17)))</f>
        <v/>
      </c>
      <c r="B17" s="90" t="str">
        <f>IF(OR($C$6="",$J$6="",$L$6=""),"",IF(HKI!B17="","",HKI!B17))</f>
        <v/>
      </c>
      <c r="C17" s="91" t="str">
        <f>IF($B17="","",VLOOKUP($B17,'DS LOP HKI'!$B$2:$F$2642,2,0))</f>
        <v/>
      </c>
      <c r="D17" s="92" t="str">
        <f>IF($B17="","",VLOOKUP($B17,'DS LOP HKI'!$B$2:$F$2642,3,0))</f>
        <v/>
      </c>
      <c r="E17" s="144"/>
      <c r="F17" s="201"/>
      <c r="G17" s="536"/>
      <c r="H17" s="536"/>
      <c r="I17" s="536"/>
      <c r="J17" s="201"/>
      <c r="K17" s="201"/>
      <c r="L17" s="201"/>
      <c r="M17" s="536"/>
      <c r="N17" s="536"/>
      <c r="O17" s="12" t="str">
        <f t="shared" si="0"/>
        <v/>
      </c>
      <c r="P17" s="7" t="str">
        <f t="shared" si="1"/>
        <v/>
      </c>
      <c r="Q17" s="93" t="str">
        <f>IF(ISNUMBER(E17)=TRUE,"",IF(HKI!AL17="","",HKI!AL17))</f>
        <v/>
      </c>
      <c r="R17" s="93" t="str">
        <f t="shared" si="2"/>
        <v/>
      </c>
    </row>
    <row r="18" spans="1:18" ht="15">
      <c r="A18" s="2" t="str">
        <f>IF(OR($C$6="",$J$6=""),"",IF(B18="","",SUBTOTAL(3,$B$11:B18)))</f>
        <v/>
      </c>
      <c r="B18" s="90" t="str">
        <f>IF(OR($C$6="",$J$6="",$L$6=""),"",IF(HKI!B18="","",HKI!B18))</f>
        <v/>
      </c>
      <c r="C18" s="91" t="str">
        <f>IF($B18="","",VLOOKUP($B18,'DS LOP HKI'!$B$2:$F$2642,2,0))</f>
        <v/>
      </c>
      <c r="D18" s="92" t="str">
        <f>IF($B18="","",VLOOKUP($B18,'DS LOP HKI'!$B$2:$F$2642,3,0))</f>
        <v/>
      </c>
      <c r="E18" s="144"/>
      <c r="F18" s="201"/>
      <c r="G18" s="536"/>
      <c r="H18" s="536"/>
      <c r="I18" s="536"/>
      <c r="J18" s="201"/>
      <c r="K18" s="201"/>
      <c r="L18" s="201"/>
      <c r="M18" s="536"/>
      <c r="N18" s="536"/>
      <c r="O18" s="12" t="str">
        <f t="shared" si="0"/>
        <v/>
      </c>
      <c r="P18" s="7" t="str">
        <f t="shared" si="1"/>
        <v/>
      </c>
      <c r="Q18" s="93" t="str">
        <f>IF(ISNUMBER(E18)=TRUE,"",IF(HKI!AL18="","",HKI!AL18))</f>
        <v/>
      </c>
      <c r="R18" s="93" t="str">
        <f t="shared" si="2"/>
        <v/>
      </c>
    </row>
    <row r="19" spans="1:18" ht="15">
      <c r="A19" s="2" t="str">
        <f>IF(OR($C$6="",$J$6=""),"",IF(B19="","",SUBTOTAL(3,$B$11:B19)))</f>
        <v/>
      </c>
      <c r="B19" s="90" t="str">
        <f>IF(OR($C$6="",$J$6="",$L$6=""),"",IF(HKI!B19="","",HKI!B19))</f>
        <v/>
      </c>
      <c r="C19" s="91" t="str">
        <f>IF($B19="","",VLOOKUP($B19,'DS LOP HKI'!$B$2:$F$2642,2,0))</f>
        <v/>
      </c>
      <c r="D19" s="92" t="str">
        <f>IF($B19="","",VLOOKUP($B19,'DS LOP HKI'!$B$2:$F$2642,3,0))</f>
        <v/>
      </c>
      <c r="E19" s="144"/>
      <c r="F19" s="201"/>
      <c r="G19" s="536"/>
      <c r="H19" s="536"/>
      <c r="I19" s="536"/>
      <c r="J19" s="201"/>
      <c r="K19" s="201"/>
      <c r="L19" s="201"/>
      <c r="M19" s="536"/>
      <c r="N19" s="536"/>
      <c r="O19" s="12" t="str">
        <f t="shared" si="0"/>
        <v/>
      </c>
      <c r="P19" s="7" t="str">
        <f t="shared" si="1"/>
        <v/>
      </c>
      <c r="Q19" s="93" t="str">
        <f>IF(ISNUMBER(E19)=TRUE,"",IF(HKI!AL19="","",HKI!AL19))</f>
        <v/>
      </c>
      <c r="R19" s="93" t="str">
        <f t="shared" si="2"/>
        <v/>
      </c>
    </row>
    <row r="20" spans="1:18" ht="15">
      <c r="A20" s="2" t="str">
        <f>IF(OR($C$6="",$J$6=""),"",IF(B20="","",SUBTOTAL(3,$B$11:B20)))</f>
        <v/>
      </c>
      <c r="B20" s="90" t="str">
        <f>IF(OR($C$6="",$J$6="",$L$6=""),"",IF(HKI!B20="","",HKI!B20))</f>
        <v/>
      </c>
      <c r="C20" s="91" t="str">
        <f>IF($B20="","",VLOOKUP($B20,'DS LOP HKI'!$B$2:$F$2642,2,0))</f>
        <v/>
      </c>
      <c r="D20" s="92" t="str">
        <f>IF($B20="","",VLOOKUP($B20,'DS LOP HKI'!$B$2:$F$2642,3,0))</f>
        <v/>
      </c>
      <c r="E20" s="144"/>
      <c r="F20" s="201"/>
      <c r="G20" s="536"/>
      <c r="H20" s="536"/>
      <c r="I20" s="536"/>
      <c r="J20" s="201"/>
      <c r="K20" s="201"/>
      <c r="L20" s="201"/>
      <c r="M20" s="536"/>
      <c r="N20" s="536"/>
      <c r="O20" s="12" t="str">
        <f t="shared" si="0"/>
        <v/>
      </c>
      <c r="P20" s="7" t="str">
        <f t="shared" si="1"/>
        <v/>
      </c>
      <c r="Q20" s="93" t="str">
        <f>IF(ISNUMBER(E20)=TRUE,"",IF(HKI!AL20="","",HKI!AL20))</f>
        <v/>
      </c>
      <c r="R20" s="93" t="str">
        <f t="shared" si="2"/>
        <v/>
      </c>
    </row>
    <row r="21" spans="1:18" ht="15">
      <c r="A21" s="2" t="str">
        <f>IF(OR($C$6="",$J$6=""),"",IF(B21="","",SUBTOTAL(3,$B$11:B21)))</f>
        <v/>
      </c>
      <c r="B21" s="90" t="str">
        <f>IF(OR($C$6="",$J$6="",$L$6=""),"",IF(HKI!B21="","",HKI!B21))</f>
        <v/>
      </c>
      <c r="C21" s="91" t="str">
        <f>IF($B21="","",VLOOKUP($B21,'DS LOP HKI'!$B$2:$F$2642,2,0))</f>
        <v/>
      </c>
      <c r="D21" s="92" t="str">
        <f>IF($B21="","",VLOOKUP($B21,'DS LOP HKI'!$B$2:$F$2642,3,0))</f>
        <v/>
      </c>
      <c r="E21" s="144"/>
      <c r="F21" s="201"/>
      <c r="G21" s="536"/>
      <c r="H21" s="536"/>
      <c r="I21" s="536"/>
      <c r="J21" s="201"/>
      <c r="K21" s="201"/>
      <c r="L21" s="201"/>
      <c r="M21" s="536"/>
      <c r="N21" s="536"/>
      <c r="O21" s="12" t="str">
        <f t="shared" si="0"/>
        <v/>
      </c>
      <c r="P21" s="7" t="str">
        <f t="shared" si="1"/>
        <v/>
      </c>
      <c r="Q21" s="93" t="str">
        <f>IF(ISNUMBER(E21)=TRUE,"",IF(HKI!AL21="","",HKI!AL21))</f>
        <v/>
      </c>
      <c r="R21" s="93" t="str">
        <f t="shared" si="2"/>
        <v/>
      </c>
    </row>
    <row r="22" spans="1:18" ht="15">
      <c r="A22" s="2" t="str">
        <f>IF(OR($C$6="",$J$6=""),"",IF(B22="","",SUBTOTAL(3,$B$11:B22)))</f>
        <v/>
      </c>
      <c r="B22" s="90" t="str">
        <f>IF(OR($C$6="",$J$6="",$L$6=""),"",IF(HKI!B22="","",HKI!B22))</f>
        <v/>
      </c>
      <c r="C22" s="91" t="str">
        <f>IF($B22="","",VLOOKUP($B22,'DS LOP HKI'!$B$2:$F$2642,2,0))</f>
        <v/>
      </c>
      <c r="D22" s="92" t="str">
        <f>IF($B22="","",VLOOKUP($B22,'DS LOP HKI'!$B$2:$F$2642,3,0))</f>
        <v/>
      </c>
      <c r="E22" s="144"/>
      <c r="F22" s="201"/>
      <c r="G22" s="536"/>
      <c r="H22" s="536"/>
      <c r="I22" s="536"/>
      <c r="J22" s="201"/>
      <c r="K22" s="201"/>
      <c r="L22" s="201"/>
      <c r="M22" s="536"/>
      <c r="N22" s="536"/>
      <c r="O22" s="12" t="str">
        <f t="shared" si="0"/>
        <v/>
      </c>
      <c r="P22" s="7" t="str">
        <f t="shared" si="1"/>
        <v/>
      </c>
      <c r="Q22" s="93" t="str">
        <f>IF(ISNUMBER(E22)=TRUE,"",IF(HKI!AL22="","",HKI!AL22))</f>
        <v/>
      </c>
      <c r="R22" s="93" t="str">
        <f t="shared" si="2"/>
        <v/>
      </c>
    </row>
    <row r="23" spans="1:18" ht="15">
      <c r="A23" s="2" t="str">
        <f>IF(OR($C$6="",$J$6=""),"",IF(B23="","",SUBTOTAL(3,$B$11:B23)))</f>
        <v/>
      </c>
      <c r="B23" s="90" t="str">
        <f>IF(OR($C$6="",$J$6="",$L$6=""),"",IF(HKI!B23="","",HKI!B23))</f>
        <v/>
      </c>
      <c r="C23" s="91" t="str">
        <f>IF($B23="","",VLOOKUP($B23,'DS LOP HKI'!$B$2:$F$2642,2,0))</f>
        <v/>
      </c>
      <c r="D23" s="92" t="str">
        <f>IF($B23="","",VLOOKUP($B23,'DS LOP HKI'!$B$2:$F$2642,3,0))</f>
        <v/>
      </c>
      <c r="E23" s="144"/>
      <c r="F23" s="201"/>
      <c r="G23" s="536"/>
      <c r="H23" s="536"/>
      <c r="I23" s="536"/>
      <c r="J23" s="201"/>
      <c r="K23" s="201"/>
      <c r="L23" s="201"/>
      <c r="M23" s="536"/>
      <c r="N23" s="536"/>
      <c r="O23" s="12" t="str">
        <f t="shared" si="0"/>
        <v/>
      </c>
      <c r="P23" s="7" t="str">
        <f t="shared" si="1"/>
        <v/>
      </c>
      <c r="Q23" s="93" t="str">
        <f>IF(ISNUMBER(E23)=TRUE,"",IF(HKI!AL23="","",HKI!AL23))</f>
        <v/>
      </c>
      <c r="R23" s="93" t="str">
        <f t="shared" si="2"/>
        <v/>
      </c>
    </row>
    <row r="24" spans="1:18" ht="15">
      <c r="A24" s="2" t="str">
        <f>IF(OR($C$6="",$J$6=""),"",IF(B24="","",SUBTOTAL(3,$B$11:B24)))</f>
        <v/>
      </c>
      <c r="B24" s="90" t="str">
        <f>IF(OR($C$6="",$J$6="",$L$6=""),"",IF(HKI!B24="","",HKI!B24))</f>
        <v/>
      </c>
      <c r="C24" s="91" t="str">
        <f>IF($B24="","",VLOOKUP($B24,'DS LOP HKI'!$B$2:$F$2642,2,0))</f>
        <v/>
      </c>
      <c r="D24" s="92" t="str">
        <f>IF($B24="","",VLOOKUP($B24,'DS LOP HKI'!$B$2:$F$2642,3,0))</f>
        <v/>
      </c>
      <c r="E24" s="144"/>
      <c r="F24" s="201"/>
      <c r="G24" s="536"/>
      <c r="H24" s="536"/>
      <c r="I24" s="536"/>
      <c r="J24" s="201"/>
      <c r="K24" s="201"/>
      <c r="L24" s="201"/>
      <c r="M24" s="536"/>
      <c r="N24" s="536"/>
      <c r="O24" s="12" t="str">
        <f t="shared" si="0"/>
        <v/>
      </c>
      <c r="P24" s="7" t="str">
        <f t="shared" si="1"/>
        <v/>
      </c>
      <c r="Q24" s="93" t="str">
        <f>IF(ISNUMBER(E24)=TRUE,"",IF(HKI!AL24="","",HKI!AL24))</f>
        <v/>
      </c>
      <c r="R24" s="93" t="str">
        <f t="shared" si="2"/>
        <v/>
      </c>
    </row>
    <row r="25" spans="1:18" ht="15">
      <c r="A25" s="2" t="str">
        <f>IF(OR($C$6="",$J$6=""),"",IF(B25="","",SUBTOTAL(3,$B$11:B25)))</f>
        <v/>
      </c>
      <c r="B25" s="90" t="str">
        <f>IF(OR($C$6="",$J$6="",$L$6=""),"",IF(HKI!B25="","",HKI!B25))</f>
        <v/>
      </c>
      <c r="C25" s="91" t="str">
        <f>IF($B25="","",VLOOKUP($B25,'DS LOP HKI'!$B$2:$F$2642,2,0))</f>
        <v/>
      </c>
      <c r="D25" s="92" t="str">
        <f>IF($B25="","",VLOOKUP($B25,'DS LOP HKI'!$B$2:$F$2642,3,0))</f>
        <v/>
      </c>
      <c r="E25" s="144"/>
      <c r="F25" s="201"/>
      <c r="G25" s="536"/>
      <c r="H25" s="536"/>
      <c r="I25" s="536"/>
      <c r="J25" s="201"/>
      <c r="K25" s="201"/>
      <c r="L25" s="201"/>
      <c r="M25" s="536"/>
      <c r="N25" s="536"/>
      <c r="O25" s="12" t="str">
        <f t="shared" si="0"/>
        <v/>
      </c>
      <c r="P25" s="7" t="str">
        <f t="shared" si="1"/>
        <v/>
      </c>
      <c r="Q25" s="93" t="str">
        <f>IF(ISNUMBER(E25)=TRUE,"",IF(HKI!AL25="","",HKI!AL25))</f>
        <v/>
      </c>
      <c r="R25" s="93" t="str">
        <f t="shared" si="2"/>
        <v/>
      </c>
    </row>
    <row r="26" spans="1:18" ht="15">
      <c r="A26" s="2" t="str">
        <f>IF(OR($C$6="",$J$6=""),"",IF(B26="","",SUBTOTAL(3,$B$11:B26)))</f>
        <v/>
      </c>
      <c r="B26" s="90" t="str">
        <f>IF(OR($C$6="",$J$6="",$L$6=""),"",IF(HKI!B26="","",HKI!B26))</f>
        <v/>
      </c>
      <c r="C26" s="91" t="str">
        <f>IF($B26="","",VLOOKUP($B26,'DS LOP HKI'!$B$2:$F$2642,2,0))</f>
        <v/>
      </c>
      <c r="D26" s="92" t="str">
        <f>IF($B26="","",VLOOKUP($B26,'DS LOP HKI'!$B$2:$F$2642,3,0))</f>
        <v/>
      </c>
      <c r="E26" s="144"/>
      <c r="F26" s="201"/>
      <c r="G26" s="536"/>
      <c r="H26" s="536"/>
      <c r="I26" s="536"/>
      <c r="J26" s="201"/>
      <c r="K26" s="201"/>
      <c r="L26" s="201"/>
      <c r="M26" s="536"/>
      <c r="N26" s="536"/>
      <c r="O26" s="12" t="str">
        <f t="shared" si="0"/>
        <v/>
      </c>
      <c r="P26" s="7" t="str">
        <f t="shared" si="1"/>
        <v/>
      </c>
      <c r="Q26" s="93" t="str">
        <f>IF(ISNUMBER(E26)=TRUE,"",IF(HKI!AL26="","",HKI!AL26))</f>
        <v/>
      </c>
      <c r="R26" s="93" t="str">
        <f t="shared" si="2"/>
        <v/>
      </c>
    </row>
    <row r="27" spans="1:18" ht="15">
      <c r="A27" s="2" t="str">
        <f>IF(OR($C$6="",$J$6=""),"",IF(B27="","",SUBTOTAL(3,$B$11:B27)))</f>
        <v/>
      </c>
      <c r="B27" s="90" t="str">
        <f>IF(OR($C$6="",$J$6="",$L$6=""),"",IF(HKI!B27="","",HKI!B27))</f>
        <v/>
      </c>
      <c r="C27" s="91" t="str">
        <f>IF($B27="","",VLOOKUP($B27,'DS LOP HKI'!$B$2:$F$2642,2,0))</f>
        <v/>
      </c>
      <c r="D27" s="92" t="str">
        <f>IF($B27="","",VLOOKUP($B27,'DS LOP HKI'!$B$2:$F$2642,3,0))</f>
        <v/>
      </c>
      <c r="E27" s="144"/>
      <c r="F27" s="201"/>
      <c r="G27" s="536"/>
      <c r="H27" s="536"/>
      <c r="I27" s="536"/>
      <c r="J27" s="201"/>
      <c r="K27" s="201"/>
      <c r="L27" s="201"/>
      <c r="M27" s="536"/>
      <c r="N27" s="536"/>
      <c r="O27" s="12" t="str">
        <f t="shared" si="0"/>
        <v/>
      </c>
      <c r="P27" s="7" t="str">
        <f t="shared" si="1"/>
        <v/>
      </c>
      <c r="Q27" s="93" t="str">
        <f>IF(ISNUMBER(E27)=TRUE,"",IF(HKI!AL27="","",HKI!AL27))</f>
        <v/>
      </c>
      <c r="R27" s="93" t="str">
        <f t="shared" si="2"/>
        <v/>
      </c>
    </row>
    <row r="28" spans="1:18" ht="15">
      <c r="A28" s="2" t="str">
        <f>IF(OR($C$6="",$J$6=""),"",IF(B28="","",SUBTOTAL(3,$B$11:B28)))</f>
        <v/>
      </c>
      <c r="B28" s="90" t="str">
        <f>IF(OR($C$6="",$J$6="",$L$6=""),"",IF(HKI!B28="","",HKI!B28))</f>
        <v/>
      </c>
      <c r="C28" s="91" t="str">
        <f>IF($B28="","",VLOOKUP($B28,'DS LOP HKI'!$B$2:$F$2642,2,0))</f>
        <v/>
      </c>
      <c r="D28" s="92" t="str">
        <f>IF($B28="","",VLOOKUP($B28,'DS LOP HKI'!$B$2:$F$2642,3,0))</f>
        <v/>
      </c>
      <c r="E28" s="144"/>
      <c r="F28" s="201"/>
      <c r="G28" s="536"/>
      <c r="H28" s="536"/>
      <c r="I28" s="536"/>
      <c r="J28" s="201"/>
      <c r="K28" s="201"/>
      <c r="L28" s="201"/>
      <c r="M28" s="536"/>
      <c r="N28" s="536"/>
      <c r="O28" s="12" t="str">
        <f t="shared" si="0"/>
        <v/>
      </c>
      <c r="P28" s="7" t="str">
        <f t="shared" si="1"/>
        <v/>
      </c>
      <c r="Q28" s="93" t="str">
        <f>IF(ISNUMBER(E28)=TRUE,"",IF(HKI!AL28="","",HKI!AL28))</f>
        <v/>
      </c>
      <c r="R28" s="93" t="str">
        <f t="shared" si="2"/>
        <v/>
      </c>
    </row>
    <row r="29" spans="1:18" ht="15">
      <c r="A29" s="2" t="str">
        <f>IF(OR($C$6="",$J$6=""),"",IF(B29="","",SUBTOTAL(3,$B$11:B29)))</f>
        <v/>
      </c>
      <c r="B29" s="90" t="str">
        <f>IF(OR($C$6="",$J$6="",$L$6=""),"",IF(HKI!B29="","",HKI!B29))</f>
        <v/>
      </c>
      <c r="C29" s="91" t="str">
        <f>IF($B29="","",VLOOKUP($B29,'DS LOP HKI'!$B$2:$F$2642,2,0))</f>
        <v/>
      </c>
      <c r="D29" s="92" t="str">
        <f>IF($B29="","",VLOOKUP($B29,'DS LOP HKI'!$B$2:$F$2642,3,0))</f>
        <v/>
      </c>
      <c r="E29" s="144"/>
      <c r="F29" s="201"/>
      <c r="G29" s="536"/>
      <c r="H29" s="536"/>
      <c r="I29" s="536"/>
      <c r="J29" s="201"/>
      <c r="K29" s="201"/>
      <c r="L29" s="201"/>
      <c r="M29" s="536"/>
      <c r="N29" s="536"/>
      <c r="O29" s="12" t="str">
        <f t="shared" si="0"/>
        <v/>
      </c>
      <c r="P29" s="7" t="str">
        <f t="shared" si="1"/>
        <v/>
      </c>
      <c r="Q29" s="93" t="str">
        <f>IF(ISNUMBER(E29)=TRUE,"",IF(HKI!AL29="","",HKI!AL29))</f>
        <v/>
      </c>
      <c r="R29" s="93" t="str">
        <f t="shared" si="2"/>
        <v/>
      </c>
    </row>
    <row r="30" spans="1:18" ht="15">
      <c r="A30" s="2" t="str">
        <f>IF(OR($C$6="",$J$6=""),"",IF(B30="","",SUBTOTAL(3,$B$11:B30)))</f>
        <v/>
      </c>
      <c r="B30" s="90" t="str">
        <f>IF(OR($C$6="",$J$6="",$L$6=""),"",IF(HKI!B30="","",HKI!B30))</f>
        <v/>
      </c>
      <c r="C30" s="91" t="str">
        <f>IF($B30="","",VLOOKUP($B30,'DS LOP HKI'!$B$2:$F$2642,2,0))</f>
        <v/>
      </c>
      <c r="D30" s="92" t="str">
        <f>IF($B30="","",VLOOKUP($B30,'DS LOP HKI'!$B$2:$F$2642,3,0))</f>
        <v/>
      </c>
      <c r="E30" s="144"/>
      <c r="F30" s="201"/>
      <c r="G30" s="536"/>
      <c r="H30" s="536"/>
      <c r="I30" s="536"/>
      <c r="J30" s="201"/>
      <c r="K30" s="201"/>
      <c r="L30" s="201"/>
      <c r="M30" s="536"/>
      <c r="N30" s="536"/>
      <c r="O30" s="12" t="str">
        <f t="shared" si="0"/>
        <v/>
      </c>
      <c r="P30" s="7" t="str">
        <f t="shared" si="1"/>
        <v/>
      </c>
      <c r="Q30" s="93" t="str">
        <f>IF(ISNUMBER(E30)=TRUE,"",IF(HKI!AL30="","",HKI!AL30))</f>
        <v/>
      </c>
      <c r="R30" s="93" t="str">
        <f t="shared" si="2"/>
        <v/>
      </c>
    </row>
    <row r="31" spans="1:18" ht="15">
      <c r="A31" s="2" t="str">
        <f>IF(OR($C$6="",$J$6=""),"",IF(B31="","",SUBTOTAL(3,$B$11:B31)))</f>
        <v/>
      </c>
      <c r="B31" s="90" t="str">
        <f>IF(OR($C$6="",$J$6="",$L$6=""),"",IF(HKI!B31="","",HKI!B31))</f>
        <v/>
      </c>
      <c r="C31" s="91" t="str">
        <f>IF($B31="","",VLOOKUP($B31,'DS LOP HKI'!$B$2:$F$2642,2,0))</f>
        <v/>
      </c>
      <c r="D31" s="92" t="str">
        <f>IF($B31="","",VLOOKUP($B31,'DS LOP HKI'!$B$2:$F$2642,3,0))</f>
        <v/>
      </c>
      <c r="E31" s="144"/>
      <c r="F31" s="201"/>
      <c r="G31" s="536"/>
      <c r="H31" s="536"/>
      <c r="I31" s="536"/>
      <c r="J31" s="201"/>
      <c r="K31" s="201"/>
      <c r="L31" s="201"/>
      <c r="M31" s="536"/>
      <c r="N31" s="536"/>
      <c r="O31" s="12" t="str">
        <f t="shared" si="0"/>
        <v/>
      </c>
      <c r="P31" s="7" t="str">
        <f t="shared" si="1"/>
        <v/>
      </c>
      <c r="Q31" s="93" t="str">
        <f>IF(ISNUMBER(E31)=TRUE,"",IF(HKI!AL31="","",HKI!AL31))</f>
        <v/>
      </c>
      <c r="R31" s="93" t="str">
        <f t="shared" si="2"/>
        <v/>
      </c>
    </row>
    <row r="32" spans="1:18" ht="15">
      <c r="A32" s="2" t="str">
        <f>IF(OR($C$6="",$J$6=""),"",IF(B32="","",SUBTOTAL(3,$B$11:B32)))</f>
        <v/>
      </c>
      <c r="B32" s="90" t="str">
        <f>IF(OR($C$6="",$J$6="",$L$6=""),"",IF(HKI!B32="","",HKI!B32))</f>
        <v/>
      </c>
      <c r="C32" s="91" t="str">
        <f>IF($B32="","",VLOOKUP($B32,'DS LOP HKI'!$B$2:$F$2642,2,0))</f>
        <v/>
      </c>
      <c r="D32" s="92" t="str">
        <f>IF($B32="","",VLOOKUP($B32,'DS LOP HKI'!$B$2:$F$2642,3,0))</f>
        <v/>
      </c>
      <c r="E32" s="144"/>
      <c r="F32" s="201"/>
      <c r="G32" s="536"/>
      <c r="H32" s="536"/>
      <c r="I32" s="536"/>
      <c r="J32" s="201"/>
      <c r="K32" s="201"/>
      <c r="L32" s="201"/>
      <c r="M32" s="536"/>
      <c r="N32" s="536"/>
      <c r="O32" s="12" t="str">
        <f t="shared" si="0"/>
        <v/>
      </c>
      <c r="P32" s="7" t="str">
        <f t="shared" si="1"/>
        <v/>
      </c>
      <c r="Q32" s="93" t="str">
        <f>IF(ISNUMBER(E32)=TRUE,"",IF(HKI!AL32="","",HKI!AL32))</f>
        <v/>
      </c>
      <c r="R32" s="93" t="str">
        <f t="shared" si="2"/>
        <v/>
      </c>
    </row>
    <row r="33" spans="1:18" ht="15">
      <c r="A33" s="2" t="str">
        <f>IF(OR($C$6="",$J$6=""),"",IF(B33="","",SUBTOTAL(3,$B$11:B33)))</f>
        <v/>
      </c>
      <c r="B33" s="90" t="str">
        <f>IF(OR($C$6="",$J$6="",$L$6=""),"",IF(HKI!B33="","",HKI!B33))</f>
        <v/>
      </c>
      <c r="C33" s="91" t="str">
        <f>IF($B33="","",VLOOKUP($B33,'DS LOP HKI'!$B$2:$F$2642,2,0))</f>
        <v/>
      </c>
      <c r="D33" s="92" t="str">
        <f>IF($B33="","",VLOOKUP($B33,'DS LOP HKI'!$B$2:$F$2642,3,0))</f>
        <v/>
      </c>
      <c r="E33" s="144"/>
      <c r="F33" s="201"/>
      <c r="G33" s="536"/>
      <c r="H33" s="536"/>
      <c r="I33" s="536"/>
      <c r="J33" s="201"/>
      <c r="K33" s="201"/>
      <c r="L33" s="201"/>
      <c r="M33" s="536"/>
      <c r="N33" s="536"/>
      <c r="O33" s="12" t="str">
        <f t="shared" si="0"/>
        <v/>
      </c>
      <c r="P33" s="7" t="str">
        <f t="shared" si="1"/>
        <v/>
      </c>
      <c r="Q33" s="93" t="str">
        <f>IF(ISNUMBER(E33)=TRUE,"",IF(HKI!AL33="","",HKI!AL33))</f>
        <v/>
      </c>
      <c r="R33" s="93" t="str">
        <f t="shared" si="2"/>
        <v/>
      </c>
    </row>
    <row r="34" spans="1:18" ht="15">
      <c r="A34" s="2" t="str">
        <f>IF(OR($C$6="",$J$6=""),"",IF(B34="","",SUBTOTAL(3,$B$11:B34)))</f>
        <v/>
      </c>
      <c r="B34" s="90" t="str">
        <f>IF(OR($C$6="",$J$6="",$L$6=""),"",IF(HKI!B34="","",HKI!B34))</f>
        <v/>
      </c>
      <c r="C34" s="91" t="str">
        <f>IF($B34="","",VLOOKUP($B34,'DS LOP HKI'!$B$2:$F$2642,2,0))</f>
        <v/>
      </c>
      <c r="D34" s="92" t="str">
        <f>IF($B34="","",VLOOKUP($B34,'DS LOP HKI'!$B$2:$F$2642,3,0))</f>
        <v/>
      </c>
      <c r="E34" s="144"/>
      <c r="F34" s="201"/>
      <c r="G34" s="536"/>
      <c r="H34" s="536"/>
      <c r="I34" s="536"/>
      <c r="J34" s="201"/>
      <c r="K34" s="201"/>
      <c r="L34" s="201"/>
      <c r="M34" s="536"/>
      <c r="N34" s="536"/>
      <c r="O34" s="12" t="str">
        <f t="shared" si="0"/>
        <v/>
      </c>
      <c r="P34" s="7" t="str">
        <f t="shared" si="1"/>
        <v/>
      </c>
      <c r="Q34" s="93" t="str">
        <f>IF(ISNUMBER(E34)=TRUE,"",IF(HKI!AL34="","",HKI!AL34))</f>
        <v/>
      </c>
      <c r="R34" s="93" t="str">
        <f t="shared" si="2"/>
        <v/>
      </c>
    </row>
    <row r="35" spans="1:18" ht="15">
      <c r="A35" s="2" t="str">
        <f>IF(OR($C$6="",$J$6=""),"",IF(B35="","",SUBTOTAL(3,$B$11:B35)))</f>
        <v/>
      </c>
      <c r="B35" s="90" t="str">
        <f>IF(OR($C$6="",$J$6="",$L$6=""),"",IF(HKI!B35="","",HKI!B35))</f>
        <v/>
      </c>
      <c r="C35" s="91" t="str">
        <f>IF($B35="","",VLOOKUP($B35,'DS LOP HKI'!$B$2:$F$2642,2,0))</f>
        <v/>
      </c>
      <c r="D35" s="92" t="str">
        <f>IF($B35="","",VLOOKUP($B35,'DS LOP HKI'!$B$2:$F$2642,3,0))</f>
        <v/>
      </c>
      <c r="E35" s="144"/>
      <c r="F35" s="201"/>
      <c r="G35" s="536"/>
      <c r="H35" s="536"/>
      <c r="I35" s="536"/>
      <c r="J35" s="201"/>
      <c r="K35" s="201"/>
      <c r="L35" s="201"/>
      <c r="M35" s="536"/>
      <c r="N35" s="536"/>
      <c r="O35" s="12" t="str">
        <f t="shared" si="0"/>
        <v/>
      </c>
      <c r="P35" s="7" t="str">
        <f t="shared" si="1"/>
        <v/>
      </c>
      <c r="Q35" s="93" t="str">
        <f>IF(ISNUMBER(E35)=TRUE,"",IF(HKI!AL35="","",HKI!AL35))</f>
        <v/>
      </c>
      <c r="R35" s="93" t="str">
        <f t="shared" si="2"/>
        <v/>
      </c>
    </row>
    <row r="36" spans="1:18" ht="15">
      <c r="A36" s="2" t="str">
        <f>IF(OR($C$6="",$J$6=""),"",IF(B36="","",SUBTOTAL(3,$B$11:B36)))</f>
        <v/>
      </c>
      <c r="B36" s="90" t="str">
        <f>IF(OR($C$6="",$J$6="",$L$6=""),"",IF(HKI!B36="","",HKI!B36))</f>
        <v/>
      </c>
      <c r="C36" s="91" t="str">
        <f>IF($B36="","",VLOOKUP($B36,'DS LOP HKI'!$B$2:$F$2642,2,0))</f>
        <v/>
      </c>
      <c r="D36" s="92" t="str">
        <f>IF($B36="","",VLOOKUP($B36,'DS LOP HKI'!$B$2:$F$2642,3,0))</f>
        <v/>
      </c>
      <c r="E36" s="144"/>
      <c r="F36" s="201"/>
      <c r="G36" s="536"/>
      <c r="H36" s="536"/>
      <c r="I36" s="536"/>
      <c r="J36" s="201"/>
      <c r="K36" s="201"/>
      <c r="L36" s="201"/>
      <c r="M36" s="536"/>
      <c r="N36" s="536"/>
      <c r="O36" s="12" t="str">
        <f t="shared" si="0"/>
        <v/>
      </c>
      <c r="P36" s="7" t="str">
        <f t="shared" si="1"/>
        <v/>
      </c>
      <c r="Q36" s="93" t="str">
        <f>IF(ISNUMBER(E36)=TRUE,"",IF(HKI!AL36="","",HKI!AL36))</f>
        <v/>
      </c>
      <c r="R36" s="93" t="str">
        <f t="shared" si="2"/>
        <v/>
      </c>
    </row>
    <row r="37" spans="1:18" ht="15">
      <c r="A37" s="2" t="str">
        <f>IF(OR($C$6="",$J$6=""),"",IF(B37="","",SUBTOTAL(3,$B$11:B37)))</f>
        <v/>
      </c>
      <c r="B37" s="90" t="str">
        <f>IF(OR($C$6="",$J$6="",$L$6=""),"",IF(HKI!B37="","",HKI!B37))</f>
        <v/>
      </c>
      <c r="C37" s="91" t="str">
        <f>IF($B37="","",VLOOKUP($B37,'DS LOP HKI'!$B$2:$F$2642,2,0))</f>
        <v/>
      </c>
      <c r="D37" s="92" t="str">
        <f>IF($B37="","",VLOOKUP($B37,'DS LOP HKI'!$B$2:$F$2642,3,0))</f>
        <v/>
      </c>
      <c r="E37" s="144"/>
      <c r="F37" s="201"/>
      <c r="G37" s="536"/>
      <c r="H37" s="536"/>
      <c r="I37" s="536"/>
      <c r="J37" s="201"/>
      <c r="K37" s="201"/>
      <c r="L37" s="201"/>
      <c r="M37" s="536"/>
      <c r="N37" s="536"/>
      <c r="O37" s="12" t="str">
        <f t="shared" si="0"/>
        <v/>
      </c>
      <c r="P37" s="7" t="str">
        <f t="shared" si="1"/>
        <v/>
      </c>
      <c r="Q37" s="93" t="str">
        <f>IF(ISNUMBER(E37)=TRUE,"",IF(HKI!AL37="","",HKI!AL37))</f>
        <v/>
      </c>
      <c r="R37" s="93" t="str">
        <f t="shared" si="2"/>
        <v/>
      </c>
    </row>
    <row r="38" spans="1:18" ht="15">
      <c r="A38" s="2" t="str">
        <f>IF(OR($C$6="",$J$6=""),"",IF(B38="","",SUBTOTAL(3,$B$11:B38)))</f>
        <v/>
      </c>
      <c r="B38" s="90" t="str">
        <f>IF(OR($C$6="",$J$6="",$L$6=""),"",IF(HKI!B38="","",HKI!B38))</f>
        <v/>
      </c>
      <c r="C38" s="91" t="str">
        <f>IF($B38="","",VLOOKUP($B38,'DS LOP HKI'!$B$2:$F$2642,2,0))</f>
        <v/>
      </c>
      <c r="D38" s="92" t="str">
        <f>IF($B38="","",VLOOKUP($B38,'DS LOP HKI'!$B$2:$F$2642,3,0))</f>
        <v/>
      </c>
      <c r="E38" s="144"/>
      <c r="F38" s="201"/>
      <c r="G38" s="536"/>
      <c r="H38" s="536"/>
      <c r="I38" s="536"/>
      <c r="J38" s="201"/>
      <c r="K38" s="201"/>
      <c r="L38" s="201"/>
      <c r="M38" s="536"/>
      <c r="N38" s="536"/>
      <c r="O38" s="12" t="str">
        <f t="shared" si="0"/>
        <v/>
      </c>
      <c r="P38" s="7" t="str">
        <f t="shared" si="1"/>
        <v/>
      </c>
      <c r="Q38" s="93" t="str">
        <f>IF(ISNUMBER(E38)=TRUE,"",IF(HKI!AL38="","",HKI!AL38))</f>
        <v/>
      </c>
      <c r="R38" s="93" t="str">
        <f t="shared" si="2"/>
        <v/>
      </c>
    </row>
    <row r="39" spans="1:18" ht="15">
      <c r="A39" s="2" t="str">
        <f>IF(OR($C$6="",$J$6=""),"",IF(B39="","",SUBTOTAL(3,$B$11:B39)))</f>
        <v/>
      </c>
      <c r="B39" s="90" t="str">
        <f>IF(OR($C$6="",$J$6="",$L$6=""),"",IF(HKI!B39="","",HKI!B39))</f>
        <v/>
      </c>
      <c r="C39" s="91" t="str">
        <f>IF($B39="","",VLOOKUP($B39,'DS LOP HKI'!$B$2:$F$2642,2,0))</f>
        <v/>
      </c>
      <c r="D39" s="92" t="str">
        <f>IF($B39="","",VLOOKUP($B39,'DS LOP HKI'!$B$2:$F$2642,3,0))</f>
        <v/>
      </c>
      <c r="E39" s="144"/>
      <c r="F39" s="201"/>
      <c r="G39" s="536"/>
      <c r="H39" s="536"/>
      <c r="I39" s="536"/>
      <c r="J39" s="201"/>
      <c r="K39" s="201"/>
      <c r="L39" s="201"/>
      <c r="M39" s="536"/>
      <c r="N39" s="536"/>
      <c r="O39" s="12" t="str">
        <f t="shared" si="0"/>
        <v/>
      </c>
      <c r="P39" s="7" t="str">
        <f t="shared" si="1"/>
        <v/>
      </c>
      <c r="Q39" s="93" t="str">
        <f>IF(ISNUMBER(E39)=TRUE,"",IF(HKI!AL39="","",HKI!AL39))</f>
        <v/>
      </c>
      <c r="R39" s="93" t="str">
        <f t="shared" si="2"/>
        <v/>
      </c>
    </row>
    <row r="40" spans="1:18" ht="15">
      <c r="A40" s="2" t="str">
        <f>IF(OR($C$6="",$J$6=""),"",IF(B40="","",SUBTOTAL(3,$B$11:B40)))</f>
        <v/>
      </c>
      <c r="B40" s="90" t="str">
        <f>IF(OR($C$6="",$J$6="",$L$6=""),"",IF(HKI!B40="","",HKI!B40))</f>
        <v/>
      </c>
      <c r="C40" s="91" t="str">
        <f>IF($B40="","",VLOOKUP($B40,'DS LOP HKI'!$B$2:$F$2642,2,0))</f>
        <v/>
      </c>
      <c r="D40" s="92" t="str">
        <f>IF($B40="","",VLOOKUP($B40,'DS LOP HKI'!$B$2:$F$2642,3,0))</f>
        <v/>
      </c>
      <c r="E40" s="144"/>
      <c r="F40" s="201"/>
      <c r="G40" s="536"/>
      <c r="H40" s="536"/>
      <c r="I40" s="536"/>
      <c r="J40" s="201"/>
      <c r="K40" s="201"/>
      <c r="L40" s="201"/>
      <c r="M40" s="536"/>
      <c r="N40" s="536"/>
      <c r="O40" s="12" t="str">
        <f t="shared" si="0"/>
        <v/>
      </c>
      <c r="P40" s="7" t="str">
        <f t="shared" si="1"/>
        <v/>
      </c>
      <c r="Q40" s="93" t="str">
        <f>IF(ISNUMBER(E40)=TRUE,"",IF(HKI!AL40="","",HKI!AL40))</f>
        <v/>
      </c>
      <c r="R40" s="93" t="str">
        <f t="shared" si="2"/>
        <v/>
      </c>
    </row>
    <row r="41" spans="1:18" ht="15">
      <c r="A41" s="2" t="str">
        <f>IF(OR($C$6="",$J$6=""),"",IF(B41="","",SUBTOTAL(3,$B$11:B41)))</f>
        <v/>
      </c>
      <c r="B41" s="90" t="str">
        <f>IF(OR($C$6="",$J$6="",$L$6=""),"",IF(HKI!B41="","",HKI!B41))</f>
        <v/>
      </c>
      <c r="C41" s="91" t="str">
        <f>IF($B41="","",VLOOKUP($B41,'DS LOP HKI'!$B$2:$F$2642,2,0))</f>
        <v/>
      </c>
      <c r="D41" s="92" t="str">
        <f>IF($B41="","",VLOOKUP($B41,'DS LOP HKI'!$B$2:$F$2642,3,0))</f>
        <v/>
      </c>
      <c r="E41" s="144"/>
      <c r="F41" s="201"/>
      <c r="G41" s="536"/>
      <c r="H41" s="536"/>
      <c r="I41" s="536"/>
      <c r="J41" s="201"/>
      <c r="K41" s="201"/>
      <c r="L41" s="201"/>
      <c r="M41" s="536"/>
      <c r="N41" s="536"/>
      <c r="O41" s="12" t="str">
        <f t="shared" si="0"/>
        <v/>
      </c>
      <c r="P41" s="7" t="str">
        <f t="shared" si="1"/>
        <v/>
      </c>
      <c r="Q41" s="93" t="str">
        <f>IF(ISNUMBER(E41)=TRUE,"",IF(HKI!AL41="","",HKI!AL41))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201"/>
      <c r="G42" s="536"/>
      <c r="H42" s="536"/>
      <c r="I42" s="536"/>
      <c r="J42" s="201"/>
      <c r="K42" s="201"/>
      <c r="L42" s="201"/>
      <c r="M42" s="536"/>
      <c r="N42" s="536"/>
      <c r="O42" s="12" t="str">
        <f t="shared" si="0"/>
        <v/>
      </c>
      <c r="P42" s="7" t="str">
        <f t="shared" si="1"/>
        <v/>
      </c>
      <c r="Q42" s="93" t="str">
        <f>IF(ISNUMBER(E42)=TRUE,"",IF(HKI!AL42="","",HKI!AL42))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201"/>
      <c r="G43" s="536"/>
      <c r="H43" s="536"/>
      <c r="I43" s="536"/>
      <c r="J43" s="201"/>
      <c r="K43" s="201"/>
      <c r="L43" s="201"/>
      <c r="M43" s="536"/>
      <c r="N43" s="536"/>
      <c r="O43" s="12" t="str">
        <f t="shared" si="0"/>
        <v/>
      </c>
      <c r="P43" s="7" t="str">
        <f t="shared" si="1"/>
        <v/>
      </c>
      <c r="Q43" s="93" t="str">
        <f>IF(ISNUMBER(E43)=TRUE,"",IF(HKI!AL43="","",HKI!AL43))</f>
        <v/>
      </c>
      <c r="R43" s="93" t="str">
        <f t="shared" si="2"/>
        <v/>
      </c>
    </row>
    <row r="44" spans="1:18" ht="15">
      <c r="A44" s="2" t="str">
        <f>IF(OR($C$6="",$J$6=""),"",IF(B44="","",SUBTOTAL(3,$B$11:B44)))</f>
        <v/>
      </c>
      <c r="B44" s="90" t="str">
        <f>IF(OR($C$6="",$J$6="",$L$6=""),"",IF(HKI!B44="","",HKI!B44))</f>
        <v/>
      </c>
      <c r="C44" s="91" t="str">
        <f>IF($B44="","",VLOOKUP($B44,'DS LOP HKI'!$B$2:$F$2642,2,0))</f>
        <v/>
      </c>
      <c r="D44" s="92" t="str">
        <f>IF($B44="","",VLOOKUP($B44,'DS LOP HKI'!$B$2:$F$2642,3,0))</f>
        <v/>
      </c>
      <c r="E44" s="144"/>
      <c r="F44" s="201"/>
      <c r="G44" s="536"/>
      <c r="H44" s="536"/>
      <c r="I44" s="536"/>
      <c r="J44" s="201"/>
      <c r="K44" s="201"/>
      <c r="L44" s="201"/>
      <c r="M44" s="536"/>
      <c r="N44" s="536"/>
      <c r="O44" s="12" t="str">
        <f t="shared" si="0"/>
        <v/>
      </c>
      <c r="P44" s="7" t="str">
        <f t="shared" si="1"/>
        <v/>
      </c>
      <c r="Q44" s="93" t="str">
        <f>IF(ISNUMBER(E44)=TRUE,"",IF(HKI!AL44="","",HKI!AL44))</f>
        <v/>
      </c>
      <c r="R44" s="93" t="str">
        <f t="shared" si="2"/>
        <v/>
      </c>
    </row>
    <row r="45" spans="1:18" ht="15">
      <c r="A45" s="2" t="str">
        <f>IF(OR($C$6="",$J$6=""),"",IF(B45="","",SUBTOTAL(3,$B$11:B45)))</f>
        <v/>
      </c>
      <c r="B45" s="90" t="str">
        <f>IF(OR($C$6="",$J$6="",$L$6=""),"",IF(HKI!B45="","",HKI!B45))</f>
        <v/>
      </c>
      <c r="C45" s="91" t="str">
        <f>IF($B45="","",VLOOKUP($B45,'DS LOP HKI'!$B$2:$F$2642,2,0))</f>
        <v/>
      </c>
      <c r="D45" s="92" t="str">
        <f>IF($B45="","",VLOOKUP($B45,'DS LOP HKI'!$B$2:$F$2642,3,0))</f>
        <v/>
      </c>
      <c r="E45" s="144"/>
      <c r="F45" s="201"/>
      <c r="G45" s="536"/>
      <c r="H45" s="536"/>
      <c r="I45" s="536"/>
      <c r="J45" s="201"/>
      <c r="K45" s="201"/>
      <c r="L45" s="201"/>
      <c r="M45" s="536"/>
      <c r="N45" s="536"/>
      <c r="O45" s="12" t="str">
        <f t="shared" si="0"/>
        <v/>
      </c>
      <c r="P45" s="7" t="str">
        <f t="shared" si="1"/>
        <v/>
      </c>
      <c r="Q45" s="93" t="str">
        <f>IF(ISNUMBER(E45)=TRUE,"",IF(HKI!AL45="","",HKI!AL45))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1"/>
      <c r="G46" s="536"/>
      <c r="H46" s="536"/>
      <c r="I46" s="536"/>
      <c r="J46" s="201"/>
      <c r="K46" s="201"/>
      <c r="L46" s="201"/>
      <c r="M46" s="536"/>
      <c r="N46" s="536"/>
      <c r="O46" s="12" t="str">
        <f t="shared" si="0"/>
        <v/>
      </c>
      <c r="P46" s="7" t="str">
        <f t="shared" si="1"/>
        <v/>
      </c>
      <c r="Q46" s="93" t="str">
        <f>IF(ISNUMBER(E46)=TRUE,"",IF(HKI!AL46="","",HKI!AL46))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201"/>
      <c r="G47" s="536"/>
      <c r="H47" s="536"/>
      <c r="I47" s="536"/>
      <c r="J47" s="201"/>
      <c r="K47" s="201"/>
      <c r="L47" s="201"/>
      <c r="M47" s="536"/>
      <c r="N47" s="536"/>
      <c r="O47" s="12" t="str">
        <f t="shared" si="0"/>
        <v/>
      </c>
      <c r="P47" s="7" t="str">
        <f t="shared" si="1"/>
        <v/>
      </c>
      <c r="Q47" s="93" t="str">
        <f>IF(ISNUMBER(E47)=TRUE,"",IF(HKI!AL47="","",HKI!AL47))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201"/>
      <c r="G48" s="536"/>
      <c r="H48" s="536"/>
      <c r="I48" s="536"/>
      <c r="J48" s="201"/>
      <c r="K48" s="201"/>
      <c r="L48" s="201"/>
      <c r="M48" s="536"/>
      <c r="N48" s="536"/>
      <c r="O48" s="12" t="str">
        <f t="shared" si="0"/>
        <v/>
      </c>
      <c r="P48" s="7" t="str">
        <f t="shared" si="1"/>
        <v/>
      </c>
      <c r="Q48" s="93" t="str">
        <f>IF(ISNUMBER(E48)=TRUE,"",IF(HKI!AL48="","",HKI!AL48))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201"/>
      <c r="G49" s="536"/>
      <c r="H49" s="536"/>
      <c r="I49" s="536"/>
      <c r="J49" s="201"/>
      <c r="K49" s="201"/>
      <c r="L49" s="201"/>
      <c r="M49" s="536"/>
      <c r="N49" s="536"/>
      <c r="O49" s="12" t="str">
        <f t="shared" si="0"/>
        <v/>
      </c>
      <c r="P49" s="7" t="str">
        <f t="shared" si="1"/>
        <v/>
      </c>
      <c r="Q49" s="93" t="str">
        <f>IF(ISNUMBER(E49)=TRUE,"",IF(HKI!AL49="","",HKI!AL49))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201"/>
      <c r="G50" s="536"/>
      <c r="H50" s="536"/>
      <c r="I50" s="536"/>
      <c r="J50" s="201"/>
      <c r="K50" s="201"/>
      <c r="L50" s="201"/>
      <c r="M50" s="536"/>
      <c r="N50" s="536"/>
      <c r="O50" s="12" t="str">
        <f t="shared" si="0"/>
        <v/>
      </c>
      <c r="P50" s="7" t="str">
        <f t="shared" si="1"/>
        <v/>
      </c>
      <c r="Q50" s="93" t="str">
        <f>IF(ISNUMBER(E50)=TRUE,"",IF(HKI!AL50="","",HKI!AL50))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201"/>
      <c r="G51" s="536"/>
      <c r="H51" s="536"/>
      <c r="I51" s="536"/>
      <c r="J51" s="201"/>
      <c r="K51" s="201"/>
      <c r="L51" s="201"/>
      <c r="M51" s="536"/>
      <c r="N51" s="536"/>
      <c r="O51" s="12" t="str">
        <f t="shared" si="0"/>
        <v/>
      </c>
      <c r="P51" s="7" t="str">
        <f t="shared" si="1"/>
        <v/>
      </c>
      <c r="Q51" s="93" t="str">
        <f>IF(ISNUMBER(E51)=TRUE,"",IF(HKI!AL51="","",HKI!AL51))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201"/>
      <c r="G52" s="536"/>
      <c r="H52" s="536"/>
      <c r="I52" s="536"/>
      <c r="J52" s="201"/>
      <c r="K52" s="201"/>
      <c r="L52" s="201"/>
      <c r="M52" s="536"/>
      <c r="N52" s="536"/>
      <c r="O52" s="12" t="str">
        <f t="shared" si="0"/>
        <v/>
      </c>
      <c r="P52" s="7" t="str">
        <f t="shared" si="1"/>
        <v/>
      </c>
      <c r="Q52" s="93" t="str">
        <f>IF(ISNUMBER(E52)=TRUE,"",IF(HKI!AL52="","",HKI!AL52))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201"/>
      <c r="G53" s="536"/>
      <c r="H53" s="536"/>
      <c r="I53" s="536"/>
      <c r="J53" s="201"/>
      <c r="K53" s="201"/>
      <c r="L53" s="201"/>
      <c r="M53" s="536"/>
      <c r="N53" s="536"/>
      <c r="O53" s="12" t="str">
        <f t="shared" si="0"/>
        <v/>
      </c>
      <c r="P53" s="7" t="str">
        <f t="shared" si="1"/>
        <v/>
      </c>
      <c r="Q53" s="93" t="str">
        <f>IF(ISNUMBER(E53)=TRUE,"",IF(HKI!AL53="","",HKI!AL53))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201"/>
      <c r="G54" s="536"/>
      <c r="H54" s="536"/>
      <c r="I54" s="536"/>
      <c r="J54" s="201"/>
      <c r="K54" s="201"/>
      <c r="L54" s="201"/>
      <c r="M54" s="536"/>
      <c r="N54" s="536"/>
      <c r="O54" s="12" t="str">
        <f t="shared" si="0"/>
        <v/>
      </c>
      <c r="P54" s="7" t="str">
        <f t="shared" si="1"/>
        <v/>
      </c>
      <c r="Q54" s="93" t="str">
        <f>IF(ISNUMBER(E54)=TRUE,"",IF(HKI!AL54="","",HKI!AL54))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201"/>
      <c r="G55" s="536"/>
      <c r="H55" s="536"/>
      <c r="I55" s="536"/>
      <c r="J55" s="201"/>
      <c r="K55" s="201"/>
      <c r="L55" s="201"/>
      <c r="M55" s="536"/>
      <c r="N55" s="536"/>
      <c r="O55" s="12" t="str">
        <f t="shared" si="0"/>
        <v/>
      </c>
      <c r="P55" s="7" t="str">
        <f t="shared" si="1"/>
        <v/>
      </c>
      <c r="Q55" s="93" t="str">
        <f>IF(ISNUMBER(E55)=TRUE,"",IF(HKI!AL55="","",HKI!AL55))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201"/>
      <c r="G56" s="536"/>
      <c r="H56" s="536"/>
      <c r="I56" s="536"/>
      <c r="J56" s="201"/>
      <c r="K56" s="201"/>
      <c r="L56" s="201"/>
      <c r="M56" s="536"/>
      <c r="N56" s="536"/>
      <c r="O56" s="12" t="str">
        <f t="shared" si="0"/>
        <v/>
      </c>
      <c r="P56" s="7" t="str">
        <f t="shared" si="1"/>
        <v/>
      </c>
      <c r="Q56" s="93" t="str">
        <f>IF(ISNUMBER(E56)=TRUE,"",IF(HKI!AL56="","",HKI!AL56))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536"/>
      <c r="H57" s="536"/>
      <c r="I57" s="536"/>
      <c r="J57" s="111"/>
      <c r="K57" s="111"/>
      <c r="L57" s="111"/>
      <c r="M57" s="536"/>
      <c r="N57" s="536"/>
      <c r="O57" s="12" t="str">
        <f t="shared" si="0"/>
        <v/>
      </c>
      <c r="P57" s="7" t="str">
        <f t="shared" si="1"/>
        <v/>
      </c>
      <c r="Q57" s="93" t="str">
        <f>IF(ISNUMBER(E57)=TRUE,"",IF(HKI!AL57="","",HKI!AL57))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536"/>
      <c r="H58" s="536"/>
      <c r="I58" s="536"/>
      <c r="J58" s="111"/>
      <c r="K58" s="111"/>
      <c r="L58" s="111"/>
      <c r="M58" s="536"/>
      <c r="N58" s="536"/>
      <c r="O58" s="12" t="str">
        <f t="shared" si="0"/>
        <v/>
      </c>
      <c r="P58" s="7" t="str">
        <f t="shared" si="1"/>
        <v/>
      </c>
      <c r="Q58" s="93" t="str">
        <f>IF(ISNUMBER(E58)=TRUE,"",IF(HKI!AL58="","",HKI!AL58))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536"/>
      <c r="H59" s="536"/>
      <c r="I59" s="536"/>
      <c r="J59" s="111"/>
      <c r="K59" s="111"/>
      <c r="L59" s="111"/>
      <c r="M59" s="536"/>
      <c r="N59" s="536"/>
      <c r="O59" s="12" t="str">
        <f t="shared" si="0"/>
        <v/>
      </c>
      <c r="P59" s="7" t="str">
        <f t="shared" si="1"/>
        <v/>
      </c>
      <c r="Q59" s="93" t="str">
        <f>IF(ISNUMBER(E59)=TRUE,"",IF(HKI!AL59="","",HKI!AL59))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536"/>
      <c r="H60" s="536"/>
      <c r="I60" s="536"/>
      <c r="J60" s="111"/>
      <c r="K60" s="111"/>
      <c r="L60" s="111"/>
      <c r="M60" s="536"/>
      <c r="N60" s="536"/>
      <c r="O60" s="12" t="str">
        <f t="shared" si="0"/>
        <v/>
      </c>
      <c r="P60" s="7" t="str">
        <f t="shared" si="1"/>
        <v/>
      </c>
      <c r="Q60" s="93" t="str">
        <f>IF(ISNUMBER(E60)=TRUE,"",IF(HKI!AL60="","",HKI!AL60))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IF(ISNUMBER(E61)=TRUE,"",IF(HKI!AL61="","",HKI!AL61))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IF(ISNUMBER(E62)=TRUE,"",IF(HKI!AL62="","",HKI!AL62))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IF(ISNUMBER(E63)=TRUE,"",IF(HKI!AL63="","",HKI!AL63))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IF(ISNUMBER(E64)=TRUE,"",IF(HKI!AL64="","",HKI!AL64))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IF(ISNUMBER(E65)=TRUE,"",IF(HKI!AL65="","",HKI!AL65))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IF(ISNUMBER(E66)=TRUE,"",IF(HKI!AL66="","",HKI!AL66))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IF(ISNUMBER(E67)=TRUE,"",IF(HKI!AL67="","",HKI!AL67))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IF(ISNUMBER(E68)=TRUE,"",IF(HKI!AL68="","",HKI!AL68))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IF(ISNUMBER(E69)=TRUE,"",IF(HKI!AL69="","",HKI!AL69))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IF(ISNUMBER(E70)=TRUE,"",IF(HKI!AL70="","",HKI!AL70))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IF(ISNUMBER(E71)=TRUE,"",IF(HKI!AL71="","",HKI!AL71))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IF(ISNUMBER(E72)=TRUE,"",IF(HKI!AL72="","",HKI!AL72))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IF(ISNUMBER(E73)=TRUE,"",IF(HKI!AL73="","",HKI!AL73))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IF(ISNUMBER(E74)=TRUE,"",IF(HKI!AL74="","",HKI!AL74))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IF(ISNUMBER(E75)=TRUE,"",IF(HKI!AL75="","",HKI!AL75))</f>
        <v/>
      </c>
      <c r="R75" s="93" t="str">
        <f t="shared" si="2"/>
        <v/>
      </c>
    </row>
    <row r="76" spans="1:18" s="38" customFormat="1">
      <c r="A76" s="806" t="s">
        <v>1519</v>
      </c>
      <c r="B76" s="806"/>
      <c r="C76" s="806"/>
      <c r="D76" s="806"/>
      <c r="E76" s="806"/>
      <c r="F76" s="806"/>
      <c r="G76" s="806"/>
      <c r="H76" s="806"/>
      <c r="I76" s="806"/>
      <c r="J76" s="806"/>
      <c r="K76" s="806"/>
      <c r="L76" s="806"/>
      <c r="M76" s="806"/>
      <c r="N76" s="806"/>
      <c r="O76" s="806"/>
      <c r="P76" s="806"/>
    </row>
    <row r="77" spans="1:18" s="38" customFormat="1">
      <c r="A77" s="5"/>
      <c r="B77" s="793" t="str">
        <f>"Tổng danh sách có"</f>
        <v>Tổng danh sách có</v>
      </c>
      <c r="C77" s="793"/>
      <c r="D77" s="793"/>
      <c r="E77" s="793"/>
      <c r="F77" s="804" t="str">
        <f>": "&amp;MAX($A$11:$A$75)&amp;" SV"</f>
        <v>: 0 SV</v>
      </c>
      <c r="G77" s="804"/>
      <c r="L77" s="6"/>
      <c r="M77" s="6"/>
      <c r="N77" s="6"/>
      <c r="O77" s="6"/>
      <c r="P77" s="5"/>
    </row>
    <row r="78" spans="1:18" s="38" customFormat="1">
      <c r="A78" s="4"/>
      <c r="B78" s="782" t="str">
        <f>"Tổng số SV có điểm Giỏi từ 8,5 đ đến 10 đ"</f>
        <v>Tổng số SV có điểm Giỏi từ 8,5 đ đến 10 đ</v>
      </c>
      <c r="C78" s="782"/>
      <c r="D78" s="782"/>
      <c r="E78" s="782"/>
      <c r="F78" s="782" t="str">
        <f>": "&amp;COUNTIF($P$11:$P$75,"Giỏi")&amp;" SV"</f>
        <v>: 0 SV</v>
      </c>
      <c r="G78" s="782"/>
      <c r="H78" s="782" t="str">
        <f>IF(B11="","","("&amp;ROUND(COUNTIF($P$11:$P$75,"Giỏi")*100/MAX($A$11:$A$75),2)&amp;"%" &amp;")")</f>
        <v/>
      </c>
      <c r="I78" s="782"/>
      <c r="J78" s="782"/>
      <c r="K78" s="782"/>
      <c r="L78" s="789" t="str">
        <f>IF(B11="","","Tổng số SV có điểm &gt;= 4 đ : "&amp;COUNTIF(O11:O75,"&gt;=4")&amp;" SV"&amp;" ("&amp;ROUND(COUNTIF(O11:O75,"&gt;=4")*100/MAX($A$11:$A$75),2)&amp;"%" &amp;")")</f>
        <v/>
      </c>
      <c r="M78" s="789"/>
      <c r="N78" s="789"/>
      <c r="O78" s="789"/>
      <c r="P78" s="46"/>
    </row>
    <row r="79" spans="1:18" s="38" customFormat="1">
      <c r="A79" s="4"/>
      <c r="B79" s="782" t="str">
        <f>"Tổng số SV có điểm Khá từ 7 đ đến &lt;8,5 đ"</f>
        <v>Tổng số SV có điểm Khá từ 7 đ đến &lt;8,5 đ</v>
      </c>
      <c r="C79" s="782"/>
      <c r="D79" s="782"/>
      <c r="E79" s="782"/>
      <c r="F79" s="782" t="str">
        <f>": "&amp;COUNTIF($P$11:$P$75,"Khá")&amp;" SV"</f>
        <v>: 0 SV</v>
      </c>
      <c r="G79" s="782"/>
      <c r="H79" s="782" t="str">
        <f>IF(B11="","","("&amp;ROUND(COUNTIF($P$11:$P$75,"Khá")*100/MAX($A$11:$A$75),2)&amp;"%" &amp;")")</f>
        <v/>
      </c>
      <c r="I79" s="782"/>
      <c r="J79" s="782"/>
      <c r="K79" s="782"/>
      <c r="L79" s="789"/>
      <c r="M79" s="789"/>
      <c r="N79" s="789"/>
      <c r="O79" s="789"/>
      <c r="P79" s="46"/>
    </row>
    <row r="80" spans="1:18" s="38" customFormat="1">
      <c r="A80" s="4"/>
      <c r="B80" s="782" t="str">
        <f>"Tổng số SV có điểm Trung bình từ 5,5 đ đến &lt;7 đ"</f>
        <v>Tổng số SV có điểm Trung bình từ 5,5 đ đến &lt;7 đ</v>
      </c>
      <c r="C80" s="782"/>
      <c r="D80" s="782"/>
      <c r="E80" s="782"/>
      <c r="F80" s="782" t="str">
        <f>": "&amp;COUNTIF($P$11:$P$75,"TB")&amp;" SV"</f>
        <v>: 0 SV</v>
      </c>
      <c r="G80" s="782"/>
      <c r="H80" s="782" t="str">
        <f>IF(B11="","","("&amp;ROUND(COUNTIF($P$11:$P$75,"TB")*100/MAX($A$11:$A$75),2)&amp;"%" &amp;")")</f>
        <v/>
      </c>
      <c r="I80" s="782"/>
      <c r="J80" s="782"/>
      <c r="K80" s="782"/>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0 SV</v>
      </c>
      <c r="G81" s="782"/>
      <c r="H81" s="782" t="str">
        <f>IF(B11="","","("&amp;ROUND(COUNTIF($P$11:$P$75,"TBY")*100/MAX($A$11:$A$75),2)&amp;"%" &amp;")")</f>
        <v/>
      </c>
      <c r="I81" s="782"/>
      <c r="J81" s="782"/>
      <c r="K81" s="782"/>
      <c r="L81" s="794" t="str">
        <f>IF(B11="","","Tổng số SV có điểm &lt; 4 đ : "&amp;COUNTIF(O11:O75,"&lt;4")&amp;" SV"&amp;" ("&amp;ROUND(COUNTIF(O11:O75,"&lt;4")*100/MAX($A$11:$A$75),2)&amp;"%" &amp;")")</f>
        <v/>
      </c>
      <c r="M81" s="794"/>
      <c r="N81" s="794"/>
      <c r="O81" s="794"/>
      <c r="P81" s="94"/>
    </row>
    <row r="82" spans="1:16" s="38" customFormat="1">
      <c r="A82" s="4"/>
      <c r="B82" s="782" t="str">
        <f>"Tổng số SV có điểm kém &lt;4 đ"</f>
        <v>Tổng số SV có điểm kém &lt;4 đ</v>
      </c>
      <c r="C82" s="782"/>
      <c r="D82" s="782"/>
      <c r="E82" s="782"/>
      <c r="F82" s="782" t="str">
        <f>": "&amp;COUNTIF($P$11:$P$75,"Kém")&amp;" SV"</f>
        <v>: 0 SV</v>
      </c>
      <c r="G82" s="782"/>
      <c r="H82" s="782" t="str">
        <f>IF(B11="","","("&amp;ROUND(COUNTIF($P$11:$P$75,"Kém")*100/MAX($A$11:$A$75),2)&amp;"%"&amp;")")</f>
        <v/>
      </c>
      <c r="I82" s="782"/>
      <c r="J82" s="782"/>
      <c r="K82" s="782"/>
      <c r="L82" s="794"/>
      <c r="M82" s="794"/>
      <c r="N82" s="794"/>
      <c r="O82" s="794"/>
      <c r="P82" s="94"/>
    </row>
    <row r="83" spans="1:16" s="38" customFormat="1" ht="12.75" customHeight="1">
      <c r="A83" s="4"/>
      <c r="B83" s="782" t="str">
        <f>"Tổng số SV không xếp loại vì chưa đủ điều kiện"</f>
        <v>Tổng số SV không xếp loại vì chưa đủ điều kiện</v>
      </c>
      <c r="C83" s="782"/>
      <c r="D83" s="782"/>
      <c r="E83" s="782"/>
      <c r="F83" s="782" t="str">
        <f>": "&amp;COUNTIF($P$11:$P$75,"KXL")&amp;" SV"</f>
        <v>: 0 SV</v>
      </c>
      <c r="G83" s="782"/>
      <c r="H83" s="782" t="str">
        <f>IF(B11="","","("&amp;ROUND(COUNTIF($P$11:$P$75,"KXL")*100/MAX($A$11:$A$75),2)&amp;"%"&amp;")")</f>
        <v/>
      </c>
      <c r="I83" s="782"/>
      <c r="J83" s="782"/>
      <c r="K83" s="782"/>
      <c r="L83" s="794"/>
      <c r="M83" s="794"/>
      <c r="N83" s="794"/>
      <c r="O83" s="794"/>
      <c r="P83" s="94"/>
    </row>
    <row r="84" spans="1:16" ht="15.75">
      <c r="B84" s="47"/>
      <c r="C84" s="47"/>
      <c r="D84" s="47"/>
      <c r="E84" s="47"/>
      <c r="F84" s="47"/>
      <c r="G84" s="47"/>
      <c r="H84" s="47"/>
      <c r="I84" s="47"/>
      <c r="J84" s="47"/>
      <c r="K84" s="47"/>
      <c r="L84" s="47"/>
      <c r="M84" s="47"/>
      <c r="N84" s="47"/>
      <c r="O84" s="47"/>
    </row>
    <row r="85" spans="1:16" ht="15.75" customHeight="1">
      <c r="A85" s="781" t="s">
        <v>1427</v>
      </c>
      <c r="B85" s="781"/>
      <c r="C85" s="781"/>
      <c r="D85" s="781" t="s">
        <v>1515</v>
      </c>
      <c r="E85" s="781"/>
      <c r="F85" s="781"/>
      <c r="G85" s="781"/>
      <c r="H85" s="781"/>
      <c r="I85" s="84"/>
      <c r="J85" s="84"/>
      <c r="K85" s="781" t="s">
        <v>1516</v>
      </c>
      <c r="L85" s="781"/>
      <c r="M85" s="781"/>
      <c r="N85" s="781"/>
      <c r="O85" s="781"/>
      <c r="P85" s="781"/>
    </row>
  </sheetData>
  <sheetProtection password="E4CC" sheet="1" objects="1" scenarios="1" formatCells="0" formatRows="0"/>
  <dataConsolidate/>
  <mergeCells count="56">
    <mergeCell ref="K85:P85"/>
    <mergeCell ref="A85:C85"/>
    <mergeCell ref="D85:H85"/>
    <mergeCell ref="A8:A10"/>
    <mergeCell ref="B8:B10"/>
    <mergeCell ref="C8:D10"/>
    <mergeCell ref="E8:E10"/>
    <mergeCell ref="F8:F9"/>
    <mergeCell ref="G8:G9"/>
    <mergeCell ref="H8:H9"/>
    <mergeCell ref="B81:E81"/>
    <mergeCell ref="F81:G81"/>
    <mergeCell ref="H81:K81"/>
    <mergeCell ref="L81:O83"/>
    <mergeCell ref="B82:E82"/>
    <mergeCell ref="F82:G82"/>
    <mergeCell ref="O8:O10"/>
    <mergeCell ref="F80:G80"/>
    <mergeCell ref="H82:K82"/>
    <mergeCell ref="B83:E83"/>
    <mergeCell ref="F83:G83"/>
    <mergeCell ref="H83:K83"/>
    <mergeCell ref="F79:G79"/>
    <mergeCell ref="B80:E80"/>
    <mergeCell ref="Q8:Q9"/>
    <mergeCell ref="R8:R10"/>
    <mergeCell ref="A3:F3"/>
    <mergeCell ref="H6:I6"/>
    <mergeCell ref="A5:M5"/>
    <mergeCell ref="G7:I7"/>
    <mergeCell ref="J7:L7"/>
    <mergeCell ref="I8:I9"/>
    <mergeCell ref="J8:J9"/>
    <mergeCell ref="C6:G6"/>
    <mergeCell ref="P8:P10"/>
    <mergeCell ref="K8:K9"/>
    <mergeCell ref="M8:M9"/>
    <mergeCell ref="N8:N9"/>
    <mergeCell ref="G10:L10"/>
    <mergeCell ref="L8:L9"/>
    <mergeCell ref="B78:E78"/>
    <mergeCell ref="B79:E79"/>
    <mergeCell ref="A1:F1"/>
    <mergeCell ref="A2:F2"/>
    <mergeCell ref="A4:M4"/>
    <mergeCell ref="H1:N1"/>
    <mergeCell ref="H2:N2"/>
    <mergeCell ref="H3:N3"/>
    <mergeCell ref="B77:E77"/>
    <mergeCell ref="F77:G77"/>
    <mergeCell ref="A76:P76"/>
    <mergeCell ref="F78:G78"/>
    <mergeCell ref="H78:K78"/>
    <mergeCell ref="L78:O80"/>
    <mergeCell ref="H79:K79"/>
    <mergeCell ref="H80:K80"/>
  </mergeCells>
  <phoneticPr fontId="12" type="noConversion"/>
  <conditionalFormatting sqref="O11:O75">
    <cfRule type="cellIs" dxfId="3"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7.xml><?xml version="1.0" encoding="utf-8"?>
<worksheet xmlns="http://schemas.openxmlformats.org/spreadsheetml/2006/main" xmlns:r="http://schemas.openxmlformats.org/officeDocument/2006/relationships">
  <sheetPr codeName="Sheet17"/>
  <dimension ref="A1:R85"/>
  <sheetViews>
    <sheetView workbookViewId="0">
      <pane ySplit="10" topLeftCell="A11" activePane="bottomLeft" state="frozen"/>
      <selection activeCell="G25" sqref="G25"/>
      <selection pane="bottomLeft" activeCell="K67" sqref="K67"/>
    </sheetView>
  </sheetViews>
  <sheetFormatPr defaultRowHeight="12.75"/>
  <cols>
    <col min="1" max="1" width="3.85546875" style="5" bestFit="1" customWidth="1"/>
    <col min="2" max="2" width="13.5703125" style="5" bestFit="1" customWidth="1"/>
    <col min="3" max="3" width="26.140625" style="5" bestFit="1" customWidth="1"/>
    <col min="4" max="4" width="7.5703125" style="5" bestFit="1" customWidth="1"/>
    <col min="5" max="5" width="6" style="5" bestFit="1" customWidth="1"/>
    <col min="6" max="6" width="5.42578125" style="5" hidden="1" customWidth="1"/>
    <col min="7" max="7" width="6.5703125" style="5" bestFit="1" customWidth="1"/>
    <col min="8" max="8" width="6.7109375" style="5" bestFit="1" customWidth="1"/>
    <col min="9" max="9" width="6.5703125" style="5" bestFit="1" customWidth="1"/>
    <col min="10" max="10" width="6.7109375" style="5" bestFit="1" customWidth="1"/>
    <col min="11" max="11" width="6.5703125" style="5" bestFit="1" customWidth="1"/>
    <col min="12" max="12" width="6.7109375" style="5" bestFit="1" customWidth="1"/>
    <col min="13" max="13" width="5.5703125" style="5" bestFit="1" customWidth="1"/>
    <col min="14" max="14" width="8.42578125" style="5" bestFit="1" customWidth="1"/>
    <col min="15" max="15" width="6" style="5" bestFit="1" customWidth="1"/>
    <col min="16" max="16" width="5.28515625" style="5" hidden="1" customWidth="1"/>
    <col min="17" max="17" width="5.5703125" style="5" hidden="1" customWidth="1"/>
    <col min="18" max="18" width="6" style="5" hidden="1" customWidth="1"/>
    <col min="19" max="16384" width="9.140625" style="5"/>
  </cols>
  <sheetData>
    <row r="1" spans="1:18" ht="15.75">
      <c r="A1" s="788" t="s">
        <v>1502</v>
      </c>
      <c r="B1" s="788"/>
      <c r="C1" s="788"/>
      <c r="D1" s="788"/>
      <c r="E1" s="788"/>
      <c r="F1" s="788"/>
      <c r="G1" s="79"/>
      <c r="H1" s="784" t="s">
        <v>1503</v>
      </c>
      <c r="I1" s="784"/>
      <c r="J1" s="784"/>
      <c r="K1" s="784"/>
      <c r="L1" s="784"/>
      <c r="M1" s="784"/>
      <c r="N1" s="784"/>
    </row>
    <row r="2" spans="1:18" ht="15.75">
      <c r="A2" s="787" t="s">
        <v>1504</v>
      </c>
      <c r="B2" s="787"/>
      <c r="C2" s="787"/>
      <c r="D2" s="787"/>
      <c r="E2" s="787"/>
      <c r="F2" s="787"/>
      <c r="G2" s="79"/>
      <c r="H2" s="784" t="s">
        <v>1505</v>
      </c>
      <c r="I2" s="784"/>
      <c r="J2" s="784"/>
      <c r="K2" s="784"/>
      <c r="L2" s="784"/>
      <c r="M2" s="784"/>
      <c r="N2" s="784"/>
    </row>
    <row r="3" spans="1:18" ht="15.75">
      <c r="A3" s="785" t="s">
        <v>1506</v>
      </c>
      <c r="B3" s="785"/>
      <c r="C3" s="785"/>
      <c r="D3" s="785"/>
      <c r="E3" s="785"/>
      <c r="F3" s="785"/>
      <c r="G3" s="80"/>
      <c r="H3" s="785" t="s">
        <v>1507</v>
      </c>
      <c r="I3" s="785"/>
      <c r="J3" s="785"/>
      <c r="K3" s="785"/>
      <c r="L3" s="785"/>
      <c r="M3" s="785"/>
      <c r="N3" s="785"/>
    </row>
    <row r="4" spans="1:18" ht="18.75">
      <c r="A4" s="786" t="s">
        <v>1508</v>
      </c>
      <c r="B4" s="786"/>
      <c r="C4" s="786"/>
      <c r="D4" s="786"/>
      <c r="E4" s="786"/>
      <c r="F4" s="786"/>
      <c r="G4" s="786"/>
      <c r="H4" s="786"/>
      <c r="I4" s="786"/>
      <c r="J4" s="786"/>
      <c r="K4" s="786"/>
      <c r="L4" s="786"/>
      <c r="M4" s="786"/>
    </row>
    <row r="5" spans="1:18" ht="18.75">
      <c r="A5" s="786"/>
      <c r="B5" s="786"/>
      <c r="C5" s="786"/>
      <c r="D5" s="786"/>
      <c r="E5" s="786"/>
      <c r="F5" s="786"/>
      <c r="G5" s="786"/>
      <c r="H5" s="786"/>
      <c r="I5" s="786"/>
      <c r="J5" s="786"/>
      <c r="K5" s="786"/>
      <c r="L5" s="786"/>
      <c r="M5" s="786"/>
    </row>
    <row r="6" spans="1:18" s="81" customFormat="1" ht="15">
      <c r="B6" s="82" t="s">
        <v>1509</v>
      </c>
      <c r="C6" s="780" t="str">
        <f>IF(L6="","",IF(VLOOKUP(L6,'LOP-MON'!$C$2:$N$55,10,FALSE)=0,"",VLOOKUP(L6,'LOP-MON'!$C$2:$N$55,10,FALSE)))</f>
        <v/>
      </c>
      <c r="D6" s="780"/>
      <c r="E6" s="780"/>
      <c r="F6" s="780"/>
      <c r="G6" s="780"/>
      <c r="H6" s="781" t="s">
        <v>1532</v>
      </c>
      <c r="I6" s="781"/>
      <c r="J6" s="83" t="str">
        <f>IF(L6="","",IF(VLOOKUP(CONCATENATE("TC",MID(L6,1,4),MID(L6,6,3)),'LOP-MON'!$C$2:$N$55,10,FALSE)=0,"",VLOOKUP(CONCATENATE("TC",MID(L6,1,4),MID(L6,6,3)),'LOP-MON'!$C$2:$N$55,10,FALSE)))</f>
        <v/>
      </c>
      <c r="K6" s="82" t="s">
        <v>1424</v>
      </c>
      <c r="L6" s="85" t="str">
        <f>HKI!$D$3</f>
        <v>13CĐ-Đ1</v>
      </c>
      <c r="M6" s="82"/>
      <c r="N6" s="82"/>
    </row>
    <row r="7" spans="1:18" s="86" customFormat="1" ht="15">
      <c r="C7" s="45" t="s">
        <v>1510</v>
      </c>
      <c r="D7" s="45" t="s">
        <v>1511</v>
      </c>
      <c r="E7" s="87"/>
      <c r="G7" s="790" t="s">
        <v>1512</v>
      </c>
      <c r="H7" s="790"/>
      <c r="I7" s="790"/>
      <c r="J7" s="790" t="s">
        <v>90</v>
      </c>
      <c r="K7" s="790"/>
      <c r="L7" s="790"/>
      <c r="O7" s="88"/>
      <c r="P7" s="88"/>
    </row>
    <row r="8" spans="1:18" s="81" customFormat="1" ht="15">
      <c r="A8" s="783" t="s">
        <v>1514</v>
      </c>
      <c r="B8" s="783" t="s">
        <v>1425</v>
      </c>
      <c r="C8" s="783" t="s">
        <v>1426</v>
      </c>
      <c r="D8" s="797"/>
      <c r="E8" s="783" t="s">
        <v>1518</v>
      </c>
      <c r="F8" s="791" t="s">
        <v>1521</v>
      </c>
      <c r="G8" s="791" t="s">
        <v>1522</v>
      </c>
      <c r="H8" s="791" t="s">
        <v>1523</v>
      </c>
      <c r="I8" s="791" t="s">
        <v>1524</v>
      </c>
      <c r="J8" s="791" t="s">
        <v>1525</v>
      </c>
      <c r="K8" s="791" t="s">
        <v>1526</v>
      </c>
      <c r="L8" s="791" t="s">
        <v>1527</v>
      </c>
      <c r="M8" s="791" t="s">
        <v>1528</v>
      </c>
      <c r="N8" s="791" t="s">
        <v>1529</v>
      </c>
      <c r="O8" s="791" t="s">
        <v>1520</v>
      </c>
      <c r="P8" s="805" t="s">
        <v>1517</v>
      </c>
      <c r="Q8" s="791" t="s">
        <v>1530</v>
      </c>
      <c r="R8" s="791" t="s">
        <v>1531</v>
      </c>
    </row>
    <row r="9" spans="1:18" s="89" customFormat="1" ht="28.5" customHeight="1">
      <c r="A9" s="783"/>
      <c r="B9" s="783"/>
      <c r="C9" s="783"/>
      <c r="D9" s="797"/>
      <c r="E9" s="783"/>
      <c r="F9" s="791"/>
      <c r="G9" s="791"/>
      <c r="H9" s="791"/>
      <c r="I9" s="791"/>
      <c r="J9" s="791"/>
      <c r="K9" s="791"/>
      <c r="L9" s="791"/>
      <c r="M9" s="791"/>
      <c r="N9" s="791"/>
      <c r="O9" s="791"/>
      <c r="P9" s="805"/>
      <c r="Q9" s="791"/>
      <c r="R9" s="791"/>
    </row>
    <row r="10" spans="1:18" s="89" customFormat="1" ht="15">
      <c r="A10" s="783"/>
      <c r="B10" s="783"/>
      <c r="C10" s="783"/>
      <c r="D10" s="797"/>
      <c r="E10" s="783"/>
      <c r="F10" s="9"/>
      <c r="G10" s="803">
        <v>0.2</v>
      </c>
      <c r="H10" s="791"/>
      <c r="I10" s="791"/>
      <c r="J10" s="791"/>
      <c r="K10" s="791"/>
      <c r="L10" s="791"/>
      <c r="M10" s="9">
        <v>0.3</v>
      </c>
      <c r="N10" s="9">
        <v>0.5</v>
      </c>
      <c r="O10" s="791"/>
      <c r="P10" s="805"/>
      <c r="Q10" s="10">
        <v>0.5</v>
      </c>
      <c r="R10" s="791"/>
    </row>
    <row r="11" spans="1:18" ht="15.75">
      <c r="A11" s="2" t="str">
        <f>IF(OR($C$6="",$J$6="",L6=""),"",IF(B11="","",SUBTOTAL(3,$B$11:B11)))</f>
        <v/>
      </c>
      <c r="B11" s="90" t="str">
        <f>IF(OR($C$6="",$J$6="",$L$6=""),"",IF(HKI!B11="","",HKI!B11))</f>
        <v/>
      </c>
      <c r="C11" s="91" t="str">
        <f>IF($B11="","",VLOOKUP($B11,'DS LOP HKI'!$B$2:$F$2642,2,0))</f>
        <v/>
      </c>
      <c r="D11" s="92" t="str">
        <f>IF($B11="","",VLOOKUP($B11,'DS LOP HKI'!$B$2:$F$2642,3,0))</f>
        <v/>
      </c>
      <c r="E11" s="144"/>
      <c r="F11" s="200"/>
      <c r="G11" s="533"/>
      <c r="H11" s="533"/>
      <c r="I11" s="533"/>
      <c r="J11" s="200"/>
      <c r="K11" s="200"/>
      <c r="L11" s="200"/>
      <c r="M11" s="533"/>
      <c r="N11" s="262"/>
      <c r="O11" s="12" t="str">
        <f>IF(B11="","",IF(ISNUMBER(E11)=TRUE,E11,IF(COUNT(G11:N11)=0,"",IF(COUNT(G11:L11)=0,ROUND(0.3*M11+0.5*N11,1),ROUND(0.2*(SUM(G11:L11)/COUNT(G11:L11))+0.3*M11+0.5*N11,1)))))</f>
        <v/>
      </c>
      <c r="P11" s="7" t="str">
        <f>IF(B11="","",IF(O11="","KXL",IF(O11&lt;4,"Kém",IF(O11&lt;5.5,"TBY",IF(O11&lt;7,"TB",IF(O11&lt;8.5,"Khá","Giỏi"))))))</f>
        <v/>
      </c>
      <c r="Q11" s="93" t="str">
        <f>IF(ISNUMBER(E11)=TRUE,"",IF(HKI!AP11="","",HKI!AP11))</f>
        <v/>
      </c>
      <c r="R11" s="93" t="str">
        <f>IF(B11="","",IF(Q11="","",IF(COUNT(G11:N11)=0,"",IF(N11&gt;=Q11,O11,IF(COUNT(G11:L11)=0,ROUND(0.3*M11+0.5*Q11,1),ROUND(0.2*(SUM(G11:L11)/COUNT(G11:L11))+0.3*M11+0.5*Q11,1))))))</f>
        <v/>
      </c>
    </row>
    <row r="12" spans="1:18" ht="15.75">
      <c r="A12" s="2" t="str">
        <f>IF(OR($C$6="",$J$6=""),"",IF(B12="","",SUBTOTAL(3,$B$11:B12)))</f>
        <v/>
      </c>
      <c r="B12" s="90" t="str">
        <f>IF(OR($C$6="",$J$6="",$L$6=""),"",IF(HKI!B12="","",HKI!B12))</f>
        <v/>
      </c>
      <c r="C12" s="91" t="str">
        <f>IF($B12="","",VLOOKUP($B12,'DS LOP HKI'!$B$2:$F$2642,2,0))</f>
        <v/>
      </c>
      <c r="D12" s="92" t="str">
        <f>IF($B12="","",VLOOKUP($B12,'DS LOP HKI'!$B$2:$F$2642,3,0))</f>
        <v/>
      </c>
      <c r="E12" s="144"/>
      <c r="F12" s="201"/>
      <c r="G12" s="533"/>
      <c r="H12" s="533"/>
      <c r="I12" s="533"/>
      <c r="J12" s="201"/>
      <c r="K12" s="201"/>
      <c r="L12" s="201"/>
      <c r="M12" s="533"/>
      <c r="N12" s="262"/>
      <c r="O12" s="12" t="str">
        <f t="shared" ref="O12:O75" si="0">IF(B12="","",IF(ISNUMBER(E12)=TRUE,E12,IF(COUNT(G12:N12)=0,"",IF(COUNT(G12:L12)=0,ROUND(0.3*M12+0.5*N12,1),ROUND(0.2*(SUM(G12:L12)/COUNT(G12:L12))+0.3*M12+0.5*N12,1)))))</f>
        <v/>
      </c>
      <c r="P12" s="7" t="str">
        <f t="shared" ref="P12:P75" si="1">IF(B12="","",IF(O12="","KXL",IF(O12&lt;4,"Kém",IF(O12&lt;5.5,"TBY",IF(O12&lt;7,"TB",IF(O12&lt;8.5,"Khá","Giỏi"))))))</f>
        <v/>
      </c>
      <c r="Q12" s="93" t="str">
        <f>IF(ISNUMBER(E12)=TRUE,"",IF(HKI!AP12="","",HKI!AP12))</f>
        <v/>
      </c>
      <c r="R12" s="93" t="str">
        <f t="shared" ref="R12:R75" si="2">IF(B12="","",IF(Q12="","",IF(COUNT(G12:N12)=0,"",IF(N12&gt;=Q12,O12,IF(COUNT(G12:L12)=0,ROUND(0.3*M12+0.5*Q12,1),ROUND(0.2*(SUM(G12:L12)/COUNT(G12:L12))+0.3*M12+0.5*Q12,1))))))</f>
        <v/>
      </c>
    </row>
    <row r="13" spans="1:18" ht="15.75">
      <c r="A13" s="2" t="str">
        <f>IF(OR($C$6="",$J$6=""),"",IF(B13="","",SUBTOTAL(3,$B$11:B13)))</f>
        <v/>
      </c>
      <c r="B13" s="90" t="str">
        <f>IF(OR($C$6="",$J$6="",$L$6=""),"",IF(HKI!B13="","",HKI!B13))</f>
        <v/>
      </c>
      <c r="C13" s="91" t="str">
        <f>IF($B13="","",VLOOKUP($B13,'DS LOP HKI'!$B$2:$F$2642,2,0))</f>
        <v/>
      </c>
      <c r="D13" s="92" t="str">
        <f>IF($B13="","",VLOOKUP($B13,'DS LOP HKI'!$B$2:$F$2642,3,0))</f>
        <v/>
      </c>
      <c r="E13" s="144"/>
      <c r="F13" s="201"/>
      <c r="G13" s="533"/>
      <c r="H13" s="533"/>
      <c r="I13" s="533"/>
      <c r="J13" s="201"/>
      <c r="K13" s="201"/>
      <c r="L13" s="201"/>
      <c r="M13" s="533"/>
      <c r="N13" s="262"/>
      <c r="O13" s="12" t="str">
        <f t="shared" si="0"/>
        <v/>
      </c>
      <c r="P13" s="7" t="str">
        <f t="shared" si="1"/>
        <v/>
      </c>
      <c r="Q13" s="93" t="str">
        <f>IF(ISNUMBER(E13)=TRUE,"",IF(HKI!AP13="","",HKI!AP13))</f>
        <v/>
      </c>
      <c r="R13" s="93" t="str">
        <f t="shared" si="2"/>
        <v/>
      </c>
    </row>
    <row r="14" spans="1:18" ht="15.75">
      <c r="A14" s="2" t="str">
        <f>IF(OR($C$6="",$J$6=""),"",IF(B14="","",SUBTOTAL(3,$B$11:B14)))</f>
        <v/>
      </c>
      <c r="B14" s="90" t="str">
        <f>IF(OR($C$6="",$J$6="",$L$6=""),"",IF(HKI!B14="","",HKI!B14))</f>
        <v/>
      </c>
      <c r="C14" s="91" t="str">
        <f>IF($B14="","",VLOOKUP($B14,'DS LOP HKI'!$B$2:$F$2642,2,0))</f>
        <v/>
      </c>
      <c r="D14" s="92" t="str">
        <f>IF($B14="","",VLOOKUP($B14,'DS LOP HKI'!$B$2:$F$2642,3,0))</f>
        <v/>
      </c>
      <c r="E14" s="144"/>
      <c r="F14" s="201"/>
      <c r="G14" s="533"/>
      <c r="H14" s="533"/>
      <c r="I14" s="533"/>
      <c r="J14" s="201"/>
      <c r="K14" s="201"/>
      <c r="L14" s="201"/>
      <c r="M14" s="533"/>
      <c r="N14" s="262"/>
      <c r="O14" s="12" t="str">
        <f t="shared" si="0"/>
        <v/>
      </c>
      <c r="P14" s="7" t="str">
        <f t="shared" si="1"/>
        <v/>
      </c>
      <c r="Q14" s="93" t="str">
        <f>IF(ISNUMBER(E14)=TRUE,"",IF(HKI!AP14="","",HKI!AP14))</f>
        <v/>
      </c>
      <c r="R14" s="93" t="str">
        <f t="shared" si="2"/>
        <v/>
      </c>
    </row>
    <row r="15" spans="1:18" ht="15.75">
      <c r="A15" s="2" t="str">
        <f>IF(OR($C$6="",$J$6=""),"",IF(B15="","",SUBTOTAL(3,$B$11:B15)))</f>
        <v/>
      </c>
      <c r="B15" s="90" t="str">
        <f>IF(OR($C$6="",$J$6="",$L$6=""),"",IF(HKI!B15="","",HKI!B15))</f>
        <v/>
      </c>
      <c r="C15" s="91" t="str">
        <f>IF($B15="","",VLOOKUP($B15,'DS LOP HKI'!$B$2:$F$2642,2,0))</f>
        <v/>
      </c>
      <c r="D15" s="92" t="str">
        <f>IF($B15="","",VLOOKUP($B15,'DS LOP HKI'!$B$2:$F$2642,3,0))</f>
        <v/>
      </c>
      <c r="E15" s="144"/>
      <c r="F15" s="201"/>
      <c r="G15" s="533"/>
      <c r="H15" s="533"/>
      <c r="I15" s="533"/>
      <c r="J15" s="201"/>
      <c r="K15" s="201"/>
      <c r="L15" s="201"/>
      <c r="M15" s="533"/>
      <c r="N15" s="262"/>
      <c r="O15" s="12" t="str">
        <f t="shared" si="0"/>
        <v/>
      </c>
      <c r="P15" s="7" t="str">
        <f t="shared" si="1"/>
        <v/>
      </c>
      <c r="Q15" s="93" t="str">
        <f>IF(ISNUMBER(E15)=TRUE,"",IF(HKI!AP15="","",HKI!AP15))</f>
        <v/>
      </c>
      <c r="R15" s="93" t="str">
        <f t="shared" si="2"/>
        <v/>
      </c>
    </row>
    <row r="16" spans="1:18" ht="15.75">
      <c r="A16" s="2" t="str">
        <f>IF(OR($C$6="",$J$6=""),"",IF(B16="","",SUBTOTAL(3,$B$11:B16)))</f>
        <v/>
      </c>
      <c r="B16" s="90" t="str">
        <f>IF(OR($C$6="",$J$6="",$L$6=""),"",IF(HKI!B16="","",HKI!B16))</f>
        <v/>
      </c>
      <c r="C16" s="91" t="str">
        <f>IF($B16="","",VLOOKUP($B16,'DS LOP HKI'!$B$2:$F$2642,2,0))</f>
        <v/>
      </c>
      <c r="D16" s="92" t="str">
        <f>IF($B16="","",VLOOKUP($B16,'DS LOP HKI'!$B$2:$F$2642,3,0))</f>
        <v/>
      </c>
      <c r="E16" s="144"/>
      <c r="F16" s="201"/>
      <c r="G16" s="533"/>
      <c r="H16" s="533"/>
      <c r="I16" s="533"/>
      <c r="J16" s="201"/>
      <c r="K16" s="201"/>
      <c r="L16" s="201"/>
      <c r="M16" s="533"/>
      <c r="N16" s="262"/>
      <c r="O16" s="12" t="str">
        <f t="shared" si="0"/>
        <v/>
      </c>
      <c r="P16" s="7" t="str">
        <f t="shared" si="1"/>
        <v/>
      </c>
      <c r="Q16" s="93" t="str">
        <f>IF(ISNUMBER(E16)=TRUE,"",IF(HKI!AP16="","",HKI!AP16))</f>
        <v/>
      </c>
      <c r="R16" s="93" t="str">
        <f t="shared" si="2"/>
        <v/>
      </c>
    </row>
    <row r="17" spans="1:18" ht="15.75">
      <c r="A17" s="2" t="str">
        <f>IF(OR($C$6="",$J$6=""),"",IF(B17="","",SUBTOTAL(3,$B$11:B17)))</f>
        <v/>
      </c>
      <c r="B17" s="90" t="str">
        <f>IF(OR($C$6="",$J$6="",$L$6=""),"",IF(HKI!B17="","",HKI!B17))</f>
        <v/>
      </c>
      <c r="C17" s="91" t="str">
        <f>IF($B17="","",VLOOKUP($B17,'DS LOP HKI'!$B$2:$F$2642,2,0))</f>
        <v/>
      </c>
      <c r="D17" s="92" t="str">
        <f>IF($B17="","",VLOOKUP($B17,'DS LOP HKI'!$B$2:$F$2642,3,0))</f>
        <v/>
      </c>
      <c r="E17" s="144"/>
      <c r="F17" s="201"/>
      <c r="G17" s="533"/>
      <c r="H17" s="533"/>
      <c r="I17" s="533"/>
      <c r="J17" s="201"/>
      <c r="K17" s="201"/>
      <c r="L17" s="201"/>
      <c r="M17" s="533"/>
      <c r="N17" s="262"/>
      <c r="O17" s="12" t="str">
        <f t="shared" si="0"/>
        <v/>
      </c>
      <c r="P17" s="7" t="str">
        <f t="shared" si="1"/>
        <v/>
      </c>
      <c r="Q17" s="93" t="str">
        <f>IF(ISNUMBER(E17)=TRUE,"",IF(HKI!AP17="","",HKI!AP17))</f>
        <v/>
      </c>
      <c r="R17" s="93" t="str">
        <f t="shared" si="2"/>
        <v/>
      </c>
    </row>
    <row r="18" spans="1:18" ht="15.75">
      <c r="A18" s="2" t="str">
        <f>IF(OR($C$6="",$J$6=""),"",IF(B18="","",SUBTOTAL(3,$B$11:B18)))</f>
        <v/>
      </c>
      <c r="B18" s="90" t="str">
        <f>IF(OR($C$6="",$J$6="",$L$6=""),"",IF(HKI!B18="","",HKI!B18))</f>
        <v/>
      </c>
      <c r="C18" s="91" t="str">
        <f>IF($B18="","",VLOOKUP($B18,'DS LOP HKI'!$B$2:$F$2642,2,0))</f>
        <v/>
      </c>
      <c r="D18" s="92" t="str">
        <f>IF($B18="","",VLOOKUP($B18,'DS LOP HKI'!$B$2:$F$2642,3,0))</f>
        <v/>
      </c>
      <c r="E18" s="144"/>
      <c r="F18" s="201"/>
      <c r="G18" s="533"/>
      <c r="H18" s="533"/>
      <c r="I18" s="533"/>
      <c r="J18" s="201"/>
      <c r="K18" s="201"/>
      <c r="L18" s="201"/>
      <c r="M18" s="533"/>
      <c r="N18" s="262"/>
      <c r="O18" s="12" t="str">
        <f t="shared" si="0"/>
        <v/>
      </c>
      <c r="P18" s="7" t="str">
        <f t="shared" si="1"/>
        <v/>
      </c>
      <c r="Q18" s="93" t="str">
        <f>IF(ISNUMBER(E18)=TRUE,"",IF(HKI!AP18="","",HKI!AP18))</f>
        <v/>
      </c>
      <c r="R18" s="93" t="str">
        <f t="shared" si="2"/>
        <v/>
      </c>
    </row>
    <row r="19" spans="1:18" ht="15.75">
      <c r="A19" s="2" t="str">
        <f>IF(OR($C$6="",$J$6=""),"",IF(B19="","",SUBTOTAL(3,$B$11:B19)))</f>
        <v/>
      </c>
      <c r="B19" s="90" t="str">
        <f>IF(OR($C$6="",$J$6="",$L$6=""),"",IF(HKI!B19="","",HKI!B19))</f>
        <v/>
      </c>
      <c r="C19" s="91" t="str">
        <f>IF($B19="","",VLOOKUP($B19,'DS LOP HKI'!$B$2:$F$2642,2,0))</f>
        <v/>
      </c>
      <c r="D19" s="92" t="str">
        <f>IF($B19="","",VLOOKUP($B19,'DS LOP HKI'!$B$2:$F$2642,3,0))</f>
        <v/>
      </c>
      <c r="E19" s="144"/>
      <c r="F19" s="201"/>
      <c r="G19" s="533"/>
      <c r="H19" s="533"/>
      <c r="I19" s="533"/>
      <c r="J19" s="201"/>
      <c r="K19" s="201"/>
      <c r="L19" s="201"/>
      <c r="M19" s="533"/>
      <c r="N19" s="262"/>
      <c r="O19" s="12" t="str">
        <f t="shared" si="0"/>
        <v/>
      </c>
      <c r="P19" s="7" t="str">
        <f t="shared" si="1"/>
        <v/>
      </c>
      <c r="Q19" s="93" t="str">
        <f>IF(ISNUMBER(E19)=TRUE,"",IF(HKI!AP19="","",HKI!AP19))</f>
        <v/>
      </c>
      <c r="R19" s="93" t="str">
        <f t="shared" si="2"/>
        <v/>
      </c>
    </row>
    <row r="20" spans="1:18" ht="15.75">
      <c r="A20" s="2" t="str">
        <f>IF(OR($C$6="",$J$6=""),"",IF(B20="","",SUBTOTAL(3,$B$11:B20)))</f>
        <v/>
      </c>
      <c r="B20" s="90" t="str">
        <f>IF(OR($C$6="",$J$6="",$L$6=""),"",IF(HKI!B20="","",HKI!B20))</f>
        <v/>
      </c>
      <c r="C20" s="91" t="str">
        <f>IF($B20="","",VLOOKUP($B20,'DS LOP HKI'!$B$2:$F$2642,2,0))</f>
        <v/>
      </c>
      <c r="D20" s="92" t="str">
        <f>IF($B20="","",VLOOKUP($B20,'DS LOP HKI'!$B$2:$F$2642,3,0))</f>
        <v/>
      </c>
      <c r="E20" s="144"/>
      <c r="F20" s="201"/>
      <c r="G20" s="533"/>
      <c r="H20" s="533"/>
      <c r="I20" s="533"/>
      <c r="J20" s="201"/>
      <c r="K20" s="201"/>
      <c r="L20" s="201"/>
      <c r="M20" s="533"/>
      <c r="N20" s="262"/>
      <c r="O20" s="12" t="str">
        <f t="shared" si="0"/>
        <v/>
      </c>
      <c r="P20" s="7" t="str">
        <f t="shared" si="1"/>
        <v/>
      </c>
      <c r="Q20" s="93" t="str">
        <f>IF(ISNUMBER(E20)=TRUE,"",IF(HKI!AP20="","",HKI!AP20))</f>
        <v/>
      </c>
      <c r="R20" s="93" t="str">
        <f t="shared" si="2"/>
        <v/>
      </c>
    </row>
    <row r="21" spans="1:18" ht="15.75">
      <c r="A21" s="2" t="str">
        <f>IF(OR($C$6="",$J$6=""),"",IF(B21="","",SUBTOTAL(3,$B$11:B21)))</f>
        <v/>
      </c>
      <c r="B21" s="90" t="str">
        <f>IF(OR($C$6="",$J$6="",$L$6=""),"",IF(HKI!B21="","",HKI!B21))</f>
        <v/>
      </c>
      <c r="C21" s="91" t="str">
        <f>IF($B21="","",VLOOKUP($B21,'DS LOP HKI'!$B$2:$F$2642,2,0))</f>
        <v/>
      </c>
      <c r="D21" s="92" t="str">
        <f>IF($B21="","",VLOOKUP($B21,'DS LOP HKI'!$B$2:$F$2642,3,0))</f>
        <v/>
      </c>
      <c r="E21" s="144"/>
      <c r="F21" s="201"/>
      <c r="G21" s="533"/>
      <c r="H21" s="533"/>
      <c r="I21" s="533"/>
      <c r="J21" s="201"/>
      <c r="K21" s="201"/>
      <c r="L21" s="201"/>
      <c r="M21" s="533"/>
      <c r="N21" s="262"/>
      <c r="O21" s="12" t="str">
        <f t="shared" si="0"/>
        <v/>
      </c>
      <c r="P21" s="7" t="str">
        <f t="shared" si="1"/>
        <v/>
      </c>
      <c r="Q21" s="93" t="str">
        <f>IF(ISNUMBER(E21)=TRUE,"",IF(HKI!AP21="","",HKI!AP21))</f>
        <v/>
      </c>
      <c r="R21" s="93" t="str">
        <f t="shared" si="2"/>
        <v/>
      </c>
    </row>
    <row r="22" spans="1:18" ht="15.75">
      <c r="A22" s="2" t="str">
        <f>IF(OR($C$6="",$J$6=""),"",IF(B22="","",SUBTOTAL(3,$B$11:B22)))</f>
        <v/>
      </c>
      <c r="B22" s="90" t="str">
        <f>IF(OR($C$6="",$J$6="",$L$6=""),"",IF(HKI!B22="","",HKI!B22))</f>
        <v/>
      </c>
      <c r="C22" s="91" t="str">
        <f>IF($B22="","",VLOOKUP($B22,'DS LOP HKI'!$B$2:$F$2642,2,0))</f>
        <v/>
      </c>
      <c r="D22" s="92" t="str">
        <f>IF($B22="","",VLOOKUP($B22,'DS LOP HKI'!$B$2:$F$2642,3,0))</f>
        <v/>
      </c>
      <c r="E22" s="144"/>
      <c r="F22" s="201"/>
      <c r="G22" s="533"/>
      <c r="H22" s="533"/>
      <c r="I22" s="533"/>
      <c r="J22" s="201"/>
      <c r="K22" s="201"/>
      <c r="L22" s="201"/>
      <c r="M22" s="533"/>
      <c r="N22" s="262"/>
      <c r="O22" s="12" t="str">
        <f t="shared" si="0"/>
        <v/>
      </c>
      <c r="P22" s="7" t="str">
        <f t="shared" si="1"/>
        <v/>
      </c>
      <c r="Q22" s="93" t="str">
        <f>IF(ISNUMBER(E22)=TRUE,"",IF(HKI!AP22="","",HKI!AP22))</f>
        <v/>
      </c>
      <c r="R22" s="93" t="str">
        <f t="shared" si="2"/>
        <v/>
      </c>
    </row>
    <row r="23" spans="1:18" ht="15.75">
      <c r="A23" s="2" t="str">
        <f>IF(OR($C$6="",$J$6=""),"",IF(B23="","",SUBTOTAL(3,$B$11:B23)))</f>
        <v/>
      </c>
      <c r="B23" s="90" t="str">
        <f>IF(OR($C$6="",$J$6="",$L$6=""),"",IF(HKI!B23="","",HKI!B23))</f>
        <v/>
      </c>
      <c r="C23" s="91" t="str">
        <f>IF($B23="","",VLOOKUP($B23,'DS LOP HKI'!$B$2:$F$2642,2,0))</f>
        <v/>
      </c>
      <c r="D23" s="92" t="str">
        <f>IF($B23="","",VLOOKUP($B23,'DS LOP HKI'!$B$2:$F$2642,3,0))</f>
        <v/>
      </c>
      <c r="E23" s="144"/>
      <c r="F23" s="201"/>
      <c r="G23" s="533"/>
      <c r="H23" s="533"/>
      <c r="I23" s="533"/>
      <c r="J23" s="201"/>
      <c r="K23" s="201"/>
      <c r="L23" s="201"/>
      <c r="M23" s="533"/>
      <c r="N23" s="262"/>
      <c r="O23" s="12" t="str">
        <f t="shared" si="0"/>
        <v/>
      </c>
      <c r="P23" s="7" t="str">
        <f t="shared" si="1"/>
        <v/>
      </c>
      <c r="Q23" s="93" t="str">
        <f>IF(ISNUMBER(E23)=TRUE,"",IF(HKI!AP23="","",HKI!AP23))</f>
        <v/>
      </c>
      <c r="R23" s="93" t="str">
        <f t="shared" si="2"/>
        <v/>
      </c>
    </row>
    <row r="24" spans="1:18" ht="15.75">
      <c r="A24" s="2" t="str">
        <f>IF(OR($C$6="",$J$6=""),"",IF(B24="","",SUBTOTAL(3,$B$11:B24)))</f>
        <v/>
      </c>
      <c r="B24" s="90" t="str">
        <f>IF(OR($C$6="",$J$6="",$L$6=""),"",IF(HKI!B24="","",HKI!B24))</f>
        <v/>
      </c>
      <c r="C24" s="91" t="str">
        <f>IF($B24="","",VLOOKUP($B24,'DS LOP HKI'!$B$2:$F$2642,2,0))</f>
        <v/>
      </c>
      <c r="D24" s="92" t="str">
        <f>IF($B24="","",VLOOKUP($B24,'DS LOP HKI'!$B$2:$F$2642,3,0))</f>
        <v/>
      </c>
      <c r="E24" s="144"/>
      <c r="F24" s="201"/>
      <c r="G24" s="533"/>
      <c r="H24" s="533"/>
      <c r="I24" s="533"/>
      <c r="J24" s="201"/>
      <c r="K24" s="201"/>
      <c r="L24" s="201"/>
      <c r="M24" s="533"/>
      <c r="N24" s="262"/>
      <c r="O24" s="12" t="str">
        <f t="shared" si="0"/>
        <v/>
      </c>
      <c r="P24" s="7" t="str">
        <f t="shared" si="1"/>
        <v/>
      </c>
      <c r="Q24" s="93" t="str">
        <f>IF(ISNUMBER(E24)=TRUE,"",IF(HKI!AP24="","",HKI!AP24))</f>
        <v/>
      </c>
      <c r="R24" s="93" t="str">
        <f t="shared" si="2"/>
        <v/>
      </c>
    </row>
    <row r="25" spans="1:18" ht="15.75">
      <c r="A25" s="2" t="str">
        <f>IF(OR($C$6="",$J$6=""),"",IF(B25="","",SUBTOTAL(3,$B$11:B25)))</f>
        <v/>
      </c>
      <c r="B25" s="90" t="str">
        <f>IF(OR($C$6="",$J$6="",$L$6=""),"",IF(HKI!B25="","",HKI!B25))</f>
        <v/>
      </c>
      <c r="C25" s="91" t="str">
        <f>IF($B25="","",VLOOKUP($B25,'DS LOP HKI'!$B$2:$F$2642,2,0))</f>
        <v/>
      </c>
      <c r="D25" s="92" t="str">
        <f>IF($B25="","",VLOOKUP($B25,'DS LOP HKI'!$B$2:$F$2642,3,0))</f>
        <v/>
      </c>
      <c r="E25" s="144"/>
      <c r="F25" s="201"/>
      <c r="G25" s="533"/>
      <c r="H25" s="533"/>
      <c r="I25" s="533"/>
      <c r="J25" s="201"/>
      <c r="K25" s="201"/>
      <c r="L25" s="201"/>
      <c r="M25" s="533"/>
      <c r="N25" s="262"/>
      <c r="O25" s="12" t="str">
        <f t="shared" si="0"/>
        <v/>
      </c>
      <c r="P25" s="7" t="str">
        <f t="shared" si="1"/>
        <v/>
      </c>
      <c r="Q25" s="93" t="str">
        <f>IF(ISNUMBER(E25)=TRUE,"",IF(HKI!AP25="","",HKI!AP25))</f>
        <v/>
      </c>
      <c r="R25" s="93" t="str">
        <f t="shared" si="2"/>
        <v/>
      </c>
    </row>
    <row r="26" spans="1:18" ht="15.75">
      <c r="A26" s="2" t="str">
        <f>IF(OR($C$6="",$J$6=""),"",IF(B26="","",SUBTOTAL(3,$B$11:B26)))</f>
        <v/>
      </c>
      <c r="B26" s="90" t="str">
        <f>IF(OR($C$6="",$J$6="",$L$6=""),"",IF(HKI!B26="","",HKI!B26))</f>
        <v/>
      </c>
      <c r="C26" s="91" t="str">
        <f>IF($B26="","",VLOOKUP($B26,'DS LOP HKI'!$B$2:$F$2642,2,0))</f>
        <v/>
      </c>
      <c r="D26" s="92" t="str">
        <f>IF($B26="","",VLOOKUP($B26,'DS LOP HKI'!$B$2:$F$2642,3,0))</f>
        <v/>
      </c>
      <c r="E26" s="144"/>
      <c r="F26" s="201"/>
      <c r="G26" s="533"/>
      <c r="H26" s="533"/>
      <c r="I26" s="533"/>
      <c r="J26" s="201"/>
      <c r="K26" s="201"/>
      <c r="L26" s="201"/>
      <c r="M26" s="533"/>
      <c r="N26" s="262"/>
      <c r="O26" s="12" t="str">
        <f t="shared" si="0"/>
        <v/>
      </c>
      <c r="P26" s="7" t="str">
        <f t="shared" si="1"/>
        <v/>
      </c>
      <c r="Q26" s="93" t="str">
        <f>IF(ISNUMBER(E26)=TRUE,"",IF(HKI!AP26="","",HKI!AP26))</f>
        <v/>
      </c>
      <c r="R26" s="93" t="str">
        <f t="shared" si="2"/>
        <v/>
      </c>
    </row>
    <row r="27" spans="1:18" ht="15.75">
      <c r="A27" s="2" t="str">
        <f>IF(OR($C$6="",$J$6=""),"",IF(B27="","",SUBTOTAL(3,$B$11:B27)))</f>
        <v/>
      </c>
      <c r="B27" s="90" t="str">
        <f>IF(OR($C$6="",$J$6="",$L$6=""),"",IF(HKI!B27="","",HKI!B27))</f>
        <v/>
      </c>
      <c r="C27" s="91" t="str">
        <f>IF($B27="","",VLOOKUP($B27,'DS LOP HKI'!$B$2:$F$2642,2,0))</f>
        <v/>
      </c>
      <c r="D27" s="92" t="str">
        <f>IF($B27="","",VLOOKUP($B27,'DS LOP HKI'!$B$2:$F$2642,3,0))</f>
        <v/>
      </c>
      <c r="E27" s="144"/>
      <c r="F27" s="201"/>
      <c r="G27" s="533"/>
      <c r="H27" s="533"/>
      <c r="I27" s="533"/>
      <c r="J27" s="201"/>
      <c r="K27" s="201"/>
      <c r="L27" s="201"/>
      <c r="M27" s="533"/>
      <c r="N27" s="262"/>
      <c r="O27" s="12" t="str">
        <f t="shared" si="0"/>
        <v/>
      </c>
      <c r="P27" s="7" t="str">
        <f t="shared" si="1"/>
        <v/>
      </c>
      <c r="Q27" s="93" t="str">
        <f>IF(ISNUMBER(E27)=TRUE,"",IF(HKI!AP27="","",HKI!AP27))</f>
        <v/>
      </c>
      <c r="R27" s="93" t="str">
        <f t="shared" si="2"/>
        <v/>
      </c>
    </row>
    <row r="28" spans="1:18" ht="15.75">
      <c r="A28" s="2" t="str">
        <f>IF(OR($C$6="",$J$6=""),"",IF(B28="","",SUBTOTAL(3,$B$11:B28)))</f>
        <v/>
      </c>
      <c r="B28" s="90" t="str">
        <f>IF(OR($C$6="",$J$6="",$L$6=""),"",IF(HKI!B28="","",HKI!B28))</f>
        <v/>
      </c>
      <c r="C28" s="91" t="str">
        <f>IF($B28="","",VLOOKUP($B28,'DS LOP HKI'!$B$2:$F$2642,2,0))</f>
        <v/>
      </c>
      <c r="D28" s="92" t="str">
        <f>IF($B28="","",VLOOKUP($B28,'DS LOP HKI'!$B$2:$F$2642,3,0))</f>
        <v/>
      </c>
      <c r="E28" s="144"/>
      <c r="F28" s="201"/>
      <c r="G28" s="533"/>
      <c r="H28" s="533"/>
      <c r="I28" s="533"/>
      <c r="J28" s="201"/>
      <c r="K28" s="201"/>
      <c r="L28" s="201"/>
      <c r="M28" s="533"/>
      <c r="N28" s="262"/>
      <c r="O28" s="12" t="str">
        <f t="shared" si="0"/>
        <v/>
      </c>
      <c r="P28" s="7" t="str">
        <f t="shared" si="1"/>
        <v/>
      </c>
      <c r="Q28" s="93" t="str">
        <f>IF(ISNUMBER(E28)=TRUE,"",IF(HKI!AP28="","",HKI!AP28))</f>
        <v/>
      </c>
      <c r="R28" s="93" t="str">
        <f t="shared" si="2"/>
        <v/>
      </c>
    </row>
    <row r="29" spans="1:18" ht="15.75">
      <c r="A29" s="2" t="str">
        <f>IF(OR($C$6="",$J$6=""),"",IF(B29="","",SUBTOTAL(3,$B$11:B29)))</f>
        <v/>
      </c>
      <c r="B29" s="90" t="str">
        <f>IF(OR($C$6="",$J$6="",$L$6=""),"",IF(HKI!B29="","",HKI!B29))</f>
        <v/>
      </c>
      <c r="C29" s="91" t="str">
        <f>IF($B29="","",VLOOKUP($B29,'DS LOP HKI'!$B$2:$F$2642,2,0))</f>
        <v/>
      </c>
      <c r="D29" s="92" t="str">
        <f>IF($B29="","",VLOOKUP($B29,'DS LOP HKI'!$B$2:$F$2642,3,0))</f>
        <v/>
      </c>
      <c r="E29" s="144"/>
      <c r="F29" s="201"/>
      <c r="G29" s="533"/>
      <c r="H29" s="533"/>
      <c r="I29" s="533"/>
      <c r="J29" s="201"/>
      <c r="K29" s="201"/>
      <c r="L29" s="201"/>
      <c r="M29" s="533"/>
      <c r="N29" s="262"/>
      <c r="O29" s="12" t="str">
        <f t="shared" si="0"/>
        <v/>
      </c>
      <c r="P29" s="7" t="str">
        <f t="shared" si="1"/>
        <v/>
      </c>
      <c r="Q29" s="93" t="str">
        <f>IF(ISNUMBER(E29)=TRUE,"",IF(HKI!AP29="","",HKI!AP29))</f>
        <v/>
      </c>
      <c r="R29" s="93" t="str">
        <f t="shared" si="2"/>
        <v/>
      </c>
    </row>
    <row r="30" spans="1:18" ht="15.75">
      <c r="A30" s="2" t="str">
        <f>IF(OR($C$6="",$J$6=""),"",IF(B30="","",SUBTOTAL(3,$B$11:B30)))</f>
        <v/>
      </c>
      <c r="B30" s="90" t="str">
        <f>IF(OR($C$6="",$J$6="",$L$6=""),"",IF(HKI!B30="","",HKI!B30))</f>
        <v/>
      </c>
      <c r="C30" s="91" t="str">
        <f>IF($B30="","",VLOOKUP($B30,'DS LOP HKI'!$B$2:$F$2642,2,0))</f>
        <v/>
      </c>
      <c r="D30" s="92" t="str">
        <f>IF($B30="","",VLOOKUP($B30,'DS LOP HKI'!$B$2:$F$2642,3,0))</f>
        <v/>
      </c>
      <c r="E30" s="144"/>
      <c r="F30" s="201"/>
      <c r="G30" s="533"/>
      <c r="H30" s="533"/>
      <c r="I30" s="533"/>
      <c r="J30" s="201"/>
      <c r="K30" s="201"/>
      <c r="L30" s="201"/>
      <c r="M30" s="533"/>
      <c r="N30" s="262"/>
      <c r="O30" s="12" t="str">
        <f t="shared" si="0"/>
        <v/>
      </c>
      <c r="P30" s="7" t="str">
        <f t="shared" si="1"/>
        <v/>
      </c>
      <c r="Q30" s="93" t="str">
        <f>IF(ISNUMBER(E30)=TRUE,"",IF(HKI!AP30="","",HKI!AP30))</f>
        <v/>
      </c>
      <c r="R30" s="93" t="str">
        <f t="shared" si="2"/>
        <v/>
      </c>
    </row>
    <row r="31" spans="1:18" ht="15.75">
      <c r="A31" s="2" t="str">
        <f>IF(OR($C$6="",$J$6=""),"",IF(B31="","",SUBTOTAL(3,$B$11:B31)))</f>
        <v/>
      </c>
      <c r="B31" s="90" t="str">
        <f>IF(OR($C$6="",$J$6="",$L$6=""),"",IF(HKI!B31="","",HKI!B31))</f>
        <v/>
      </c>
      <c r="C31" s="91" t="str">
        <f>IF($B31="","",VLOOKUP($B31,'DS LOP HKI'!$B$2:$F$2642,2,0))</f>
        <v/>
      </c>
      <c r="D31" s="92" t="str">
        <f>IF($B31="","",VLOOKUP($B31,'DS LOP HKI'!$B$2:$F$2642,3,0))</f>
        <v/>
      </c>
      <c r="E31" s="144"/>
      <c r="F31" s="201"/>
      <c r="G31" s="533"/>
      <c r="H31" s="533"/>
      <c r="I31" s="533"/>
      <c r="J31" s="201"/>
      <c r="K31" s="201"/>
      <c r="L31" s="201"/>
      <c r="M31" s="533"/>
      <c r="N31" s="262"/>
      <c r="O31" s="12" t="str">
        <f t="shared" si="0"/>
        <v/>
      </c>
      <c r="P31" s="7" t="str">
        <f t="shared" si="1"/>
        <v/>
      </c>
      <c r="Q31" s="93" t="str">
        <f>IF(ISNUMBER(E31)=TRUE,"",IF(HKI!AP31="","",HKI!AP31))</f>
        <v/>
      </c>
      <c r="R31" s="93" t="str">
        <f t="shared" si="2"/>
        <v/>
      </c>
    </row>
    <row r="32" spans="1:18" ht="15.75">
      <c r="A32" s="2" t="str">
        <f>IF(OR($C$6="",$J$6=""),"",IF(B32="","",SUBTOTAL(3,$B$11:B32)))</f>
        <v/>
      </c>
      <c r="B32" s="90" t="str">
        <f>IF(OR($C$6="",$J$6="",$L$6=""),"",IF(HKI!B32="","",HKI!B32))</f>
        <v/>
      </c>
      <c r="C32" s="91" t="str">
        <f>IF($B32="","",VLOOKUP($B32,'DS LOP HKI'!$B$2:$F$2642,2,0))</f>
        <v/>
      </c>
      <c r="D32" s="92" t="str">
        <f>IF($B32="","",VLOOKUP($B32,'DS LOP HKI'!$B$2:$F$2642,3,0))</f>
        <v/>
      </c>
      <c r="E32" s="144"/>
      <c r="F32" s="201"/>
      <c r="G32" s="533"/>
      <c r="H32" s="533"/>
      <c r="I32" s="533"/>
      <c r="J32" s="201"/>
      <c r="K32" s="201"/>
      <c r="L32" s="201"/>
      <c r="M32" s="533"/>
      <c r="N32" s="262"/>
      <c r="O32" s="12" t="str">
        <f t="shared" si="0"/>
        <v/>
      </c>
      <c r="P32" s="7" t="str">
        <f t="shared" si="1"/>
        <v/>
      </c>
      <c r="Q32" s="93" t="str">
        <f>IF(ISNUMBER(E32)=TRUE,"",IF(HKI!AP32="","",HKI!AP32))</f>
        <v/>
      </c>
      <c r="R32" s="93" t="str">
        <f t="shared" si="2"/>
        <v/>
      </c>
    </row>
    <row r="33" spans="1:18" ht="15.75">
      <c r="A33" s="2" t="str">
        <f>IF(OR($C$6="",$J$6=""),"",IF(B33="","",SUBTOTAL(3,$B$11:B33)))</f>
        <v/>
      </c>
      <c r="B33" s="90" t="str">
        <f>IF(OR($C$6="",$J$6="",$L$6=""),"",IF(HKI!B33="","",HKI!B33))</f>
        <v/>
      </c>
      <c r="C33" s="91" t="str">
        <f>IF($B33="","",VLOOKUP($B33,'DS LOP HKI'!$B$2:$F$2642,2,0))</f>
        <v/>
      </c>
      <c r="D33" s="92" t="str">
        <f>IF($B33="","",VLOOKUP($B33,'DS LOP HKI'!$B$2:$F$2642,3,0))</f>
        <v/>
      </c>
      <c r="E33" s="144"/>
      <c r="F33" s="201"/>
      <c r="G33" s="533"/>
      <c r="H33" s="533"/>
      <c r="I33" s="533"/>
      <c r="J33" s="201"/>
      <c r="K33" s="201"/>
      <c r="L33" s="201"/>
      <c r="M33" s="533"/>
      <c r="N33" s="262"/>
      <c r="O33" s="12" t="str">
        <f t="shared" si="0"/>
        <v/>
      </c>
      <c r="P33" s="7" t="str">
        <f t="shared" si="1"/>
        <v/>
      </c>
      <c r="Q33" s="93" t="str">
        <f>IF(ISNUMBER(E33)=TRUE,"",IF(HKI!AP33="","",HKI!AP33))</f>
        <v/>
      </c>
      <c r="R33" s="93" t="str">
        <f t="shared" si="2"/>
        <v/>
      </c>
    </row>
    <row r="34" spans="1:18" ht="15.75">
      <c r="A34" s="2" t="str">
        <f>IF(OR($C$6="",$J$6=""),"",IF(B34="","",SUBTOTAL(3,$B$11:B34)))</f>
        <v/>
      </c>
      <c r="B34" s="90" t="str">
        <f>IF(OR($C$6="",$J$6="",$L$6=""),"",IF(HKI!B34="","",HKI!B34))</f>
        <v/>
      </c>
      <c r="C34" s="91" t="str">
        <f>IF($B34="","",VLOOKUP($B34,'DS LOP HKI'!$B$2:$F$2642,2,0))</f>
        <v/>
      </c>
      <c r="D34" s="92" t="str">
        <f>IF($B34="","",VLOOKUP($B34,'DS LOP HKI'!$B$2:$F$2642,3,0))</f>
        <v/>
      </c>
      <c r="E34" s="144"/>
      <c r="F34" s="201"/>
      <c r="G34" s="533"/>
      <c r="H34" s="533"/>
      <c r="I34" s="533"/>
      <c r="J34" s="201"/>
      <c r="K34" s="201"/>
      <c r="L34" s="201"/>
      <c r="M34" s="533"/>
      <c r="N34" s="262"/>
      <c r="O34" s="12" t="str">
        <f t="shared" si="0"/>
        <v/>
      </c>
      <c r="P34" s="7" t="str">
        <f t="shared" si="1"/>
        <v/>
      </c>
      <c r="Q34" s="93" t="str">
        <f>IF(ISNUMBER(E34)=TRUE,"",IF(HKI!AP34="","",HKI!AP34))</f>
        <v/>
      </c>
      <c r="R34" s="93" t="str">
        <f t="shared" si="2"/>
        <v/>
      </c>
    </row>
    <row r="35" spans="1:18" ht="15.75">
      <c r="A35" s="2" t="str">
        <f>IF(OR($C$6="",$J$6=""),"",IF(B35="","",SUBTOTAL(3,$B$11:B35)))</f>
        <v/>
      </c>
      <c r="B35" s="90" t="str">
        <f>IF(OR($C$6="",$J$6="",$L$6=""),"",IF(HKI!B35="","",HKI!B35))</f>
        <v/>
      </c>
      <c r="C35" s="91" t="str">
        <f>IF($B35="","",VLOOKUP($B35,'DS LOP HKI'!$B$2:$F$2642,2,0))</f>
        <v/>
      </c>
      <c r="D35" s="92" t="str">
        <f>IF($B35="","",VLOOKUP($B35,'DS LOP HKI'!$B$2:$F$2642,3,0))</f>
        <v/>
      </c>
      <c r="E35" s="144"/>
      <c r="F35" s="201"/>
      <c r="G35" s="533"/>
      <c r="H35" s="533"/>
      <c r="I35" s="533"/>
      <c r="J35" s="201"/>
      <c r="K35" s="201"/>
      <c r="L35" s="201"/>
      <c r="M35" s="533"/>
      <c r="N35" s="262"/>
      <c r="O35" s="12" t="str">
        <f t="shared" si="0"/>
        <v/>
      </c>
      <c r="P35" s="7" t="str">
        <f t="shared" si="1"/>
        <v/>
      </c>
      <c r="Q35" s="93" t="str">
        <f>IF(ISNUMBER(E35)=TRUE,"",IF(HKI!AP35="","",HKI!AP35))</f>
        <v/>
      </c>
      <c r="R35" s="93" t="str">
        <f t="shared" si="2"/>
        <v/>
      </c>
    </row>
    <row r="36" spans="1:18" ht="15.75">
      <c r="A36" s="2" t="str">
        <f>IF(OR($C$6="",$J$6=""),"",IF(B36="","",SUBTOTAL(3,$B$11:B36)))</f>
        <v/>
      </c>
      <c r="B36" s="90" t="str">
        <f>IF(OR($C$6="",$J$6="",$L$6=""),"",IF(HKI!B36="","",HKI!B36))</f>
        <v/>
      </c>
      <c r="C36" s="91" t="str">
        <f>IF($B36="","",VLOOKUP($B36,'DS LOP HKI'!$B$2:$F$2642,2,0))</f>
        <v/>
      </c>
      <c r="D36" s="92" t="str">
        <f>IF($B36="","",VLOOKUP($B36,'DS LOP HKI'!$B$2:$F$2642,3,0))</f>
        <v/>
      </c>
      <c r="E36" s="144"/>
      <c r="F36" s="201"/>
      <c r="G36" s="533"/>
      <c r="H36" s="533"/>
      <c r="I36" s="533"/>
      <c r="J36" s="201"/>
      <c r="K36" s="201"/>
      <c r="L36" s="201"/>
      <c r="M36" s="533"/>
      <c r="N36" s="262"/>
      <c r="O36" s="12" t="str">
        <f t="shared" si="0"/>
        <v/>
      </c>
      <c r="P36" s="7" t="str">
        <f t="shared" si="1"/>
        <v/>
      </c>
      <c r="Q36" s="93" t="str">
        <f>IF(ISNUMBER(E36)=TRUE,"",IF(HKI!AP36="","",HKI!AP36))</f>
        <v/>
      </c>
      <c r="R36" s="93" t="str">
        <f t="shared" si="2"/>
        <v/>
      </c>
    </row>
    <row r="37" spans="1:18" ht="15.75">
      <c r="A37" s="2" t="str">
        <f>IF(OR($C$6="",$J$6=""),"",IF(B37="","",SUBTOTAL(3,$B$11:B37)))</f>
        <v/>
      </c>
      <c r="B37" s="90" t="str">
        <f>IF(OR($C$6="",$J$6="",$L$6=""),"",IF(HKI!B37="","",HKI!B37))</f>
        <v/>
      </c>
      <c r="C37" s="91" t="str">
        <f>IF($B37="","",VLOOKUP($B37,'DS LOP HKI'!$B$2:$F$2642,2,0))</f>
        <v/>
      </c>
      <c r="D37" s="92" t="str">
        <f>IF($B37="","",VLOOKUP($B37,'DS LOP HKI'!$B$2:$F$2642,3,0))</f>
        <v/>
      </c>
      <c r="E37" s="144"/>
      <c r="F37" s="201"/>
      <c r="G37" s="533"/>
      <c r="H37" s="533"/>
      <c r="I37" s="533"/>
      <c r="J37" s="201"/>
      <c r="K37" s="201"/>
      <c r="L37" s="201"/>
      <c r="M37" s="533"/>
      <c r="N37" s="262"/>
      <c r="O37" s="12" t="str">
        <f t="shared" si="0"/>
        <v/>
      </c>
      <c r="P37" s="7" t="str">
        <f t="shared" si="1"/>
        <v/>
      </c>
      <c r="Q37" s="93" t="str">
        <f>IF(ISNUMBER(E37)=TRUE,"",IF(HKI!AP37="","",HKI!AP37))</f>
        <v/>
      </c>
      <c r="R37" s="93" t="str">
        <f t="shared" si="2"/>
        <v/>
      </c>
    </row>
    <row r="38" spans="1:18" ht="15">
      <c r="A38" s="2" t="str">
        <f>IF(OR($C$6="",$J$6=""),"",IF(B38="","",SUBTOTAL(3,$B$11:B38)))</f>
        <v/>
      </c>
      <c r="B38" s="90" t="str">
        <f>IF(OR($C$6="",$J$6="",$L$6=""),"",IF(HKI!B38="","",HKI!B38))</f>
        <v/>
      </c>
      <c r="C38" s="91" t="str">
        <f>IF($B38="","",VLOOKUP($B38,'DS LOP HKI'!$B$2:$F$2642,2,0))</f>
        <v/>
      </c>
      <c r="D38" s="92" t="str">
        <f>IF($B38="","",VLOOKUP($B38,'DS LOP HKI'!$B$2:$F$2642,3,0))</f>
        <v/>
      </c>
      <c r="E38" s="144"/>
      <c r="F38" s="201"/>
      <c r="G38" s="262"/>
      <c r="H38" s="534"/>
      <c r="I38" s="534"/>
      <c r="J38" s="201"/>
      <c r="K38" s="201"/>
      <c r="L38" s="201"/>
      <c r="M38" s="534"/>
      <c r="N38" s="262"/>
      <c r="O38" s="12" t="str">
        <f t="shared" si="0"/>
        <v/>
      </c>
      <c r="P38" s="7" t="str">
        <f t="shared" si="1"/>
        <v/>
      </c>
      <c r="Q38" s="93" t="str">
        <f>IF(ISNUMBER(E38)=TRUE,"",IF(HKI!AP38="","",HKI!AP38))</f>
        <v/>
      </c>
      <c r="R38" s="93" t="str">
        <f t="shared" si="2"/>
        <v/>
      </c>
    </row>
    <row r="39" spans="1:18" ht="15">
      <c r="A39" s="2" t="str">
        <f>IF(OR($C$6="",$J$6=""),"",IF(B39="","",SUBTOTAL(3,$B$11:B39)))</f>
        <v/>
      </c>
      <c r="B39" s="90" t="str">
        <f>IF(OR($C$6="",$J$6="",$L$6=""),"",IF(HKI!B39="","",HKI!B39))</f>
        <v/>
      </c>
      <c r="C39" s="91" t="str">
        <f>IF($B39="","",VLOOKUP($B39,'DS LOP HKI'!$B$2:$F$2642,2,0))</f>
        <v/>
      </c>
      <c r="D39" s="92" t="str">
        <f>IF($B39="","",VLOOKUP($B39,'DS LOP HKI'!$B$2:$F$2642,3,0))</f>
        <v/>
      </c>
      <c r="E39" s="144"/>
      <c r="F39" s="201"/>
      <c r="G39" s="262"/>
      <c r="H39" s="534"/>
      <c r="I39" s="534"/>
      <c r="J39" s="201"/>
      <c r="K39" s="201"/>
      <c r="L39" s="201"/>
      <c r="M39" s="534"/>
      <c r="N39" s="262"/>
      <c r="O39" s="12" t="str">
        <f t="shared" si="0"/>
        <v/>
      </c>
      <c r="P39" s="7" t="str">
        <f t="shared" si="1"/>
        <v/>
      </c>
      <c r="Q39" s="93" t="str">
        <f>IF(ISNUMBER(E39)=TRUE,"",IF(HKI!AP39="","",HKI!AP39))</f>
        <v/>
      </c>
      <c r="R39" s="93" t="str">
        <f t="shared" si="2"/>
        <v/>
      </c>
    </row>
    <row r="40" spans="1:18" ht="15.75">
      <c r="A40" s="2" t="str">
        <f>IF(OR($C$6="",$J$6=""),"",IF(B40="","",SUBTOTAL(3,$B$11:B40)))</f>
        <v/>
      </c>
      <c r="B40" s="90" t="str">
        <f>IF(OR($C$6="",$J$6="",$L$6=""),"",IF(HKI!B40="","",HKI!B40))</f>
        <v/>
      </c>
      <c r="C40" s="91" t="str">
        <f>IF($B40="","",VLOOKUP($B40,'DS LOP HKI'!$B$2:$F$2642,2,0))</f>
        <v/>
      </c>
      <c r="D40" s="92" t="str">
        <f>IF($B40="","",VLOOKUP($B40,'DS LOP HKI'!$B$2:$F$2642,3,0))</f>
        <v/>
      </c>
      <c r="E40" s="144"/>
      <c r="F40" s="201"/>
      <c r="G40" s="533"/>
      <c r="H40" s="533"/>
      <c r="I40" s="533"/>
      <c r="J40" s="201"/>
      <c r="K40" s="201"/>
      <c r="L40" s="201"/>
      <c r="M40" s="533"/>
      <c r="N40" s="262"/>
      <c r="O40" s="12" t="str">
        <f t="shared" si="0"/>
        <v/>
      </c>
      <c r="P40" s="7" t="str">
        <f t="shared" si="1"/>
        <v/>
      </c>
      <c r="Q40" s="93" t="str">
        <f>IF(ISNUMBER(E40)=TRUE,"",IF(HKI!AP40="","",HKI!AP40))</f>
        <v/>
      </c>
      <c r="R40" s="93" t="str">
        <f t="shared" si="2"/>
        <v/>
      </c>
    </row>
    <row r="41" spans="1:18" ht="15">
      <c r="A41" s="2" t="str">
        <f>IF(OR($C$6="",$J$6=""),"",IF(B41="","",SUBTOTAL(3,$B$11:B41)))</f>
        <v/>
      </c>
      <c r="B41" s="90" t="str">
        <f>IF(OR($C$6="",$J$6="",$L$6=""),"",IF(HKI!B41="","",HKI!B41))</f>
        <v/>
      </c>
      <c r="C41" s="91" t="str">
        <f>IF($B41="","",VLOOKUP($B41,'DS LOP HKI'!$B$2:$F$2642,2,0))</f>
        <v/>
      </c>
      <c r="D41" s="92" t="str">
        <f>IF($B41="","",VLOOKUP($B41,'DS LOP HKI'!$B$2:$F$2642,3,0))</f>
        <v/>
      </c>
      <c r="E41" s="144"/>
      <c r="F41" s="201"/>
      <c r="G41" s="262"/>
      <c r="H41" s="534"/>
      <c r="I41" s="534"/>
      <c r="J41" s="201"/>
      <c r="K41" s="201"/>
      <c r="L41" s="201"/>
      <c r="M41" s="534"/>
      <c r="N41" s="262"/>
      <c r="O41" s="12" t="str">
        <f t="shared" si="0"/>
        <v/>
      </c>
      <c r="P41" s="7" t="str">
        <f t="shared" si="1"/>
        <v/>
      </c>
      <c r="Q41" s="93" t="str">
        <f>IF(ISNUMBER(E41)=TRUE,"",IF(HKI!AP41="","",HKI!AP41))</f>
        <v/>
      </c>
      <c r="R41" s="93" t="str">
        <f t="shared" si="2"/>
        <v/>
      </c>
    </row>
    <row r="42" spans="1:18" ht="15">
      <c r="A42" s="2" t="str">
        <f>IF(OR($C$6="",$J$6=""),"",IF(B42="","",SUBTOTAL(3,$B$11:B42)))</f>
        <v/>
      </c>
      <c r="B42" s="90" t="str">
        <f>IF(OR($C$6="",$J$6="",$L$6=""),"",IF(HKI!B42="","",HKI!B42))</f>
        <v/>
      </c>
      <c r="C42" s="91" t="str">
        <f>IF($B42="","",VLOOKUP($B42,'DS LOP HKI'!$B$2:$F$2642,2,0))</f>
        <v/>
      </c>
      <c r="D42" s="92" t="str">
        <f>IF($B42="","",VLOOKUP($B42,'DS LOP HKI'!$B$2:$F$2642,3,0))</f>
        <v/>
      </c>
      <c r="E42" s="144"/>
      <c r="F42" s="201"/>
      <c r="G42" s="262"/>
      <c r="H42" s="534"/>
      <c r="I42" s="534"/>
      <c r="J42" s="201"/>
      <c r="K42" s="201"/>
      <c r="L42" s="201"/>
      <c r="M42" s="534"/>
      <c r="N42" s="262"/>
      <c r="O42" s="12" t="str">
        <f t="shared" si="0"/>
        <v/>
      </c>
      <c r="P42" s="7" t="str">
        <f t="shared" si="1"/>
        <v/>
      </c>
      <c r="Q42" s="93" t="str">
        <f>IF(ISNUMBER(E42)=TRUE,"",IF(HKI!AP42="","",HKI!AP42))</f>
        <v/>
      </c>
      <c r="R42" s="93" t="str">
        <f t="shared" si="2"/>
        <v/>
      </c>
    </row>
    <row r="43" spans="1:18" ht="15">
      <c r="A43" s="2" t="str">
        <f>IF(OR($C$6="",$J$6=""),"",IF(B43="","",SUBTOTAL(3,$B$11:B43)))</f>
        <v/>
      </c>
      <c r="B43" s="90" t="str">
        <f>IF(OR($C$6="",$J$6="",$L$6=""),"",IF(HKI!B43="","",HKI!B43))</f>
        <v/>
      </c>
      <c r="C43" s="91" t="str">
        <f>IF($B43="","",VLOOKUP($B43,'DS LOP HKI'!$B$2:$F$2642,2,0))</f>
        <v/>
      </c>
      <c r="D43" s="92" t="str">
        <f>IF($B43="","",VLOOKUP($B43,'DS LOP HKI'!$B$2:$F$2642,3,0))</f>
        <v/>
      </c>
      <c r="E43" s="144"/>
      <c r="F43" s="201"/>
      <c r="G43" s="262"/>
      <c r="H43" s="534"/>
      <c r="I43" s="534"/>
      <c r="J43" s="201"/>
      <c r="K43" s="201"/>
      <c r="L43" s="201"/>
      <c r="M43" s="534"/>
      <c r="N43" s="262"/>
      <c r="O43" s="12" t="str">
        <f t="shared" si="0"/>
        <v/>
      </c>
      <c r="P43" s="7" t="str">
        <f t="shared" si="1"/>
        <v/>
      </c>
      <c r="Q43" s="93" t="str">
        <f>IF(ISNUMBER(E43)=TRUE,"",IF(HKI!AP43="","",HKI!AP43))</f>
        <v/>
      </c>
      <c r="R43" s="93" t="str">
        <f t="shared" si="2"/>
        <v/>
      </c>
    </row>
    <row r="44" spans="1:18" ht="15">
      <c r="A44" s="2" t="str">
        <f>IF(OR($C$6="",$J$6=""),"",IF(B44="","",SUBTOTAL(3,$B$11:B44)))</f>
        <v/>
      </c>
      <c r="B44" s="90" t="str">
        <f>IF(OR($C$6="",$J$6="",$L$6=""),"",IF(HKI!B44="","",HKI!B44))</f>
        <v/>
      </c>
      <c r="C44" s="91" t="str">
        <f>IF($B44="","",VLOOKUP($B44,'DS LOP HKI'!$B$2:$F$2642,2,0))</f>
        <v/>
      </c>
      <c r="D44" s="92" t="str">
        <f>IF($B44="","",VLOOKUP($B44,'DS LOP HKI'!$B$2:$F$2642,3,0))</f>
        <v/>
      </c>
      <c r="E44" s="144"/>
      <c r="F44" s="201"/>
      <c r="G44" s="262"/>
      <c r="H44" s="534"/>
      <c r="I44" s="534"/>
      <c r="J44" s="201"/>
      <c r="K44" s="201"/>
      <c r="L44" s="201"/>
      <c r="M44" s="534"/>
      <c r="N44" s="262"/>
      <c r="O44" s="12" t="str">
        <f t="shared" si="0"/>
        <v/>
      </c>
      <c r="P44" s="7" t="str">
        <f t="shared" si="1"/>
        <v/>
      </c>
      <c r="Q44" s="93" t="str">
        <f>IF(ISNUMBER(E44)=TRUE,"",IF(HKI!AP44="","",HKI!AP44))</f>
        <v/>
      </c>
      <c r="R44" s="93" t="str">
        <f t="shared" si="2"/>
        <v/>
      </c>
    </row>
    <row r="45" spans="1:18" ht="15">
      <c r="A45" s="2" t="str">
        <f>IF(OR($C$6="",$J$6=""),"",IF(B45="","",SUBTOTAL(3,$B$11:B45)))</f>
        <v/>
      </c>
      <c r="B45" s="90" t="str">
        <f>IF(OR($C$6="",$J$6="",$L$6=""),"",IF(HKI!B45="","",HKI!B45))</f>
        <v/>
      </c>
      <c r="C45" s="91" t="str">
        <f>IF($B45="","",VLOOKUP($B45,'DS LOP HKI'!$B$2:$F$2642,2,0))</f>
        <v/>
      </c>
      <c r="D45" s="92" t="str">
        <f>IF($B45="","",VLOOKUP($B45,'DS LOP HKI'!$B$2:$F$2642,3,0))</f>
        <v/>
      </c>
      <c r="E45" s="144"/>
      <c r="F45" s="201"/>
      <c r="G45" s="262"/>
      <c r="H45" s="534"/>
      <c r="I45" s="534"/>
      <c r="J45" s="201"/>
      <c r="K45" s="201"/>
      <c r="L45" s="201"/>
      <c r="M45" s="534"/>
      <c r="N45" s="262"/>
      <c r="O45" s="12" t="str">
        <f t="shared" si="0"/>
        <v/>
      </c>
      <c r="P45" s="7" t="str">
        <f t="shared" si="1"/>
        <v/>
      </c>
      <c r="Q45" s="93" t="str">
        <f>IF(ISNUMBER(E45)=TRUE,"",IF(HKI!AP45="","",HKI!AP45))</f>
        <v/>
      </c>
      <c r="R45" s="93" t="str">
        <f t="shared" si="2"/>
        <v/>
      </c>
    </row>
    <row r="46" spans="1:18" ht="15">
      <c r="A46" s="2" t="str">
        <f>IF(OR($C$6="",$J$6=""),"",IF(B46="","",SUBTOTAL(3,$B$11:B46)))</f>
        <v/>
      </c>
      <c r="B46" s="90" t="str">
        <f>IF(OR($C$6="",$J$6="",$L$6=""),"",IF(HKI!B46="","",HKI!B46))</f>
        <v/>
      </c>
      <c r="C46" s="91" t="str">
        <f>IF($B46="","",VLOOKUP($B46,'DS LOP HKI'!$B$2:$F$2642,2,0))</f>
        <v/>
      </c>
      <c r="D46" s="92" t="str">
        <f>IF($B46="","",VLOOKUP($B46,'DS LOP HKI'!$B$2:$F$2642,3,0))</f>
        <v/>
      </c>
      <c r="E46" s="144"/>
      <c r="F46" s="201"/>
      <c r="G46" s="262"/>
      <c r="H46" s="534"/>
      <c r="I46" s="534"/>
      <c r="J46" s="201"/>
      <c r="K46" s="201"/>
      <c r="L46" s="201"/>
      <c r="M46" s="534"/>
      <c r="N46" s="262"/>
      <c r="O46" s="12" t="str">
        <f t="shared" si="0"/>
        <v/>
      </c>
      <c r="P46" s="7" t="str">
        <f t="shared" si="1"/>
        <v/>
      </c>
      <c r="Q46" s="93" t="str">
        <f>IF(ISNUMBER(E46)=TRUE,"",IF(HKI!AP46="","",HKI!AP46))</f>
        <v/>
      </c>
      <c r="R46" s="93" t="str">
        <f t="shared" si="2"/>
        <v/>
      </c>
    </row>
    <row r="47" spans="1:18" ht="15">
      <c r="A47" s="2" t="str">
        <f>IF(OR($C$6="",$J$6=""),"",IF(B47="","",SUBTOTAL(3,$B$11:B47)))</f>
        <v/>
      </c>
      <c r="B47" s="90" t="str">
        <f>IF(OR($C$6="",$J$6="",$L$6=""),"",IF(HKI!B47="","",HKI!B47))</f>
        <v/>
      </c>
      <c r="C47" s="91" t="str">
        <f>IF($B47="","",VLOOKUP($B47,'DS LOP HKI'!$B$2:$F$2642,2,0))</f>
        <v/>
      </c>
      <c r="D47" s="92" t="str">
        <f>IF($B47="","",VLOOKUP($B47,'DS LOP HKI'!$B$2:$F$2642,3,0))</f>
        <v/>
      </c>
      <c r="E47" s="144"/>
      <c r="F47" s="201"/>
      <c r="G47" s="262"/>
      <c r="H47" s="534"/>
      <c r="I47" s="534"/>
      <c r="J47" s="201"/>
      <c r="K47" s="201"/>
      <c r="L47" s="201"/>
      <c r="M47" s="534"/>
      <c r="N47" s="262"/>
      <c r="O47" s="12" t="str">
        <f t="shared" si="0"/>
        <v/>
      </c>
      <c r="P47" s="7" t="str">
        <f t="shared" si="1"/>
        <v/>
      </c>
      <c r="Q47" s="93" t="str">
        <f>IF(ISNUMBER(E47)=TRUE,"",IF(HKI!AP47="","",HKI!AP47))</f>
        <v/>
      </c>
      <c r="R47" s="93" t="str">
        <f t="shared" si="2"/>
        <v/>
      </c>
    </row>
    <row r="48" spans="1:18" ht="15">
      <c r="A48" s="2" t="str">
        <f>IF(OR($C$6="",$J$6=""),"",IF(B48="","",SUBTOTAL(3,$B$11:B48)))</f>
        <v/>
      </c>
      <c r="B48" s="90" t="str">
        <f>IF(OR($C$6="",$J$6="",$L$6=""),"",IF(HKI!B48="","",HKI!B48))</f>
        <v/>
      </c>
      <c r="C48" s="91" t="str">
        <f>IF($B48="","",VLOOKUP($B48,'DS LOP HKI'!$B$2:$F$2642,2,0))</f>
        <v/>
      </c>
      <c r="D48" s="92" t="str">
        <f>IF($B48="","",VLOOKUP($B48,'DS LOP HKI'!$B$2:$F$2642,3,0))</f>
        <v/>
      </c>
      <c r="E48" s="144"/>
      <c r="F48" s="201"/>
      <c r="G48" s="262"/>
      <c r="H48" s="534"/>
      <c r="I48" s="534"/>
      <c r="J48" s="201"/>
      <c r="K48" s="201"/>
      <c r="L48" s="201"/>
      <c r="M48" s="534"/>
      <c r="N48" s="262"/>
      <c r="O48" s="12" t="str">
        <f t="shared" si="0"/>
        <v/>
      </c>
      <c r="P48" s="7" t="str">
        <f t="shared" si="1"/>
        <v/>
      </c>
      <c r="Q48" s="93" t="str">
        <f>IF(ISNUMBER(E48)=TRUE,"",IF(HKI!AP48="","",HKI!AP48))</f>
        <v/>
      </c>
      <c r="R48" s="93" t="str">
        <f t="shared" si="2"/>
        <v/>
      </c>
    </row>
    <row r="49" spans="1:18" ht="15">
      <c r="A49" s="2" t="str">
        <f>IF(OR($C$6="",$J$6=""),"",IF(B49="","",SUBTOTAL(3,$B$11:B49)))</f>
        <v/>
      </c>
      <c r="B49" s="90" t="str">
        <f>IF(OR($C$6="",$J$6="",$L$6=""),"",IF(HKI!B49="","",HKI!B49))</f>
        <v/>
      </c>
      <c r="C49" s="91" t="str">
        <f>IF($B49="","",VLOOKUP($B49,'DS LOP HKI'!$B$2:$F$2642,2,0))</f>
        <v/>
      </c>
      <c r="D49" s="92" t="str">
        <f>IF($B49="","",VLOOKUP($B49,'DS LOP HKI'!$B$2:$F$2642,3,0))</f>
        <v/>
      </c>
      <c r="E49" s="144"/>
      <c r="F49" s="201"/>
      <c r="G49" s="262"/>
      <c r="H49" s="534"/>
      <c r="I49" s="534"/>
      <c r="J49" s="201"/>
      <c r="K49" s="201"/>
      <c r="L49" s="201"/>
      <c r="M49" s="534"/>
      <c r="N49" s="262"/>
      <c r="O49" s="12" t="str">
        <f t="shared" si="0"/>
        <v/>
      </c>
      <c r="P49" s="7" t="str">
        <f t="shared" si="1"/>
        <v/>
      </c>
      <c r="Q49" s="93" t="str">
        <f>IF(ISNUMBER(E49)=TRUE,"",IF(HKI!AP49="","",HKI!AP49))</f>
        <v/>
      </c>
      <c r="R49" s="93" t="str">
        <f t="shared" si="2"/>
        <v/>
      </c>
    </row>
    <row r="50" spans="1:18" ht="15">
      <c r="A50" s="2" t="str">
        <f>IF(OR($C$6="",$J$6=""),"",IF(B50="","",SUBTOTAL(3,$B$11:B50)))</f>
        <v/>
      </c>
      <c r="B50" s="90" t="str">
        <f>IF(OR($C$6="",$J$6="",$L$6=""),"",IF(HKI!B50="","",HKI!B50))</f>
        <v/>
      </c>
      <c r="C50" s="91" t="str">
        <f>IF($B50="","",VLOOKUP($B50,'DS LOP HKI'!$B$2:$F$2642,2,0))</f>
        <v/>
      </c>
      <c r="D50" s="92" t="str">
        <f>IF($B50="","",VLOOKUP($B50,'DS LOP HKI'!$B$2:$F$2642,3,0))</f>
        <v/>
      </c>
      <c r="E50" s="144"/>
      <c r="F50" s="201"/>
      <c r="G50" s="262"/>
      <c r="H50" s="534"/>
      <c r="I50" s="534"/>
      <c r="J50" s="201"/>
      <c r="K50" s="201"/>
      <c r="L50" s="201"/>
      <c r="M50" s="534"/>
      <c r="N50" s="262"/>
      <c r="O50" s="12" t="str">
        <f t="shared" si="0"/>
        <v/>
      </c>
      <c r="P50" s="7" t="str">
        <f t="shared" si="1"/>
        <v/>
      </c>
      <c r="Q50" s="93" t="str">
        <f>IF(ISNUMBER(E50)=TRUE,"",IF(HKI!AP50="","",HKI!AP50))</f>
        <v/>
      </c>
      <c r="R50" s="93" t="str">
        <f t="shared" si="2"/>
        <v/>
      </c>
    </row>
    <row r="51" spans="1:18" ht="15">
      <c r="A51" s="2" t="str">
        <f>IF(OR($C$6="",$J$6=""),"",IF(B51="","",SUBTOTAL(3,$B$11:B51)))</f>
        <v/>
      </c>
      <c r="B51" s="90" t="str">
        <f>IF(OR($C$6="",$J$6="",$L$6=""),"",IF(HKI!B51="","",HKI!B51))</f>
        <v/>
      </c>
      <c r="C51" s="91" t="str">
        <f>IF($B51="","",VLOOKUP($B51,'DS LOP HKI'!$B$2:$F$2642,2,0))</f>
        <v/>
      </c>
      <c r="D51" s="92" t="str">
        <f>IF($B51="","",VLOOKUP($B51,'DS LOP HKI'!$B$2:$F$2642,3,0))</f>
        <v/>
      </c>
      <c r="E51" s="144"/>
      <c r="F51" s="201"/>
      <c r="G51" s="262"/>
      <c r="H51" s="534"/>
      <c r="I51" s="534"/>
      <c r="J51" s="201"/>
      <c r="K51" s="201"/>
      <c r="L51" s="201"/>
      <c r="M51" s="534"/>
      <c r="N51" s="262"/>
      <c r="O51" s="12" t="str">
        <f t="shared" si="0"/>
        <v/>
      </c>
      <c r="P51" s="7" t="str">
        <f t="shared" si="1"/>
        <v/>
      </c>
      <c r="Q51" s="93" t="str">
        <f>IF(ISNUMBER(E51)=TRUE,"",IF(HKI!AP51="","",HKI!AP51))</f>
        <v/>
      </c>
      <c r="R51" s="93" t="str">
        <f t="shared" si="2"/>
        <v/>
      </c>
    </row>
    <row r="52" spans="1:18" ht="15">
      <c r="A52" s="2" t="str">
        <f>IF(OR($C$6="",$J$6=""),"",IF(B52="","",SUBTOTAL(3,$B$11:B52)))</f>
        <v/>
      </c>
      <c r="B52" s="90" t="str">
        <f>IF(OR($C$6="",$J$6="",$L$6=""),"",IF(HKI!B52="","",HKI!B52))</f>
        <v/>
      </c>
      <c r="C52" s="91" t="str">
        <f>IF($B52="","",VLOOKUP($B52,'DS LOP HKI'!$B$2:$F$2642,2,0))</f>
        <v/>
      </c>
      <c r="D52" s="92" t="str">
        <f>IF($B52="","",VLOOKUP($B52,'DS LOP HKI'!$B$2:$F$2642,3,0))</f>
        <v/>
      </c>
      <c r="E52" s="144"/>
      <c r="F52" s="201"/>
      <c r="G52" s="262"/>
      <c r="H52" s="534"/>
      <c r="I52" s="534"/>
      <c r="J52" s="201"/>
      <c r="K52" s="201"/>
      <c r="L52" s="201"/>
      <c r="M52" s="534"/>
      <c r="N52" s="262"/>
      <c r="O52" s="12" t="str">
        <f t="shared" si="0"/>
        <v/>
      </c>
      <c r="P52" s="7" t="str">
        <f t="shared" si="1"/>
        <v/>
      </c>
      <c r="Q52" s="93" t="str">
        <f>IF(ISNUMBER(E52)=TRUE,"",IF(HKI!AP52="","",HKI!AP52))</f>
        <v/>
      </c>
      <c r="R52" s="93" t="str">
        <f t="shared" si="2"/>
        <v/>
      </c>
    </row>
    <row r="53" spans="1:18" ht="15">
      <c r="A53" s="2" t="str">
        <f>IF(OR($C$6="",$J$6=""),"",IF(B53="","",SUBTOTAL(3,$B$11:B53)))</f>
        <v/>
      </c>
      <c r="B53" s="90" t="str">
        <f>IF(OR($C$6="",$J$6="",$L$6=""),"",IF(HKI!B53="","",HKI!B53))</f>
        <v/>
      </c>
      <c r="C53" s="91" t="str">
        <f>IF($B53="","",VLOOKUP($B53,'DS LOP HKI'!$B$2:$F$2642,2,0))</f>
        <v/>
      </c>
      <c r="D53" s="92" t="str">
        <f>IF($B53="","",VLOOKUP($B53,'DS LOP HKI'!$B$2:$F$2642,3,0))</f>
        <v/>
      </c>
      <c r="E53" s="144"/>
      <c r="F53" s="201"/>
      <c r="G53" s="262"/>
      <c r="H53" s="534"/>
      <c r="I53" s="534"/>
      <c r="J53" s="201"/>
      <c r="K53" s="201"/>
      <c r="L53" s="201"/>
      <c r="M53" s="534"/>
      <c r="N53" s="262"/>
      <c r="O53" s="12" t="str">
        <f t="shared" si="0"/>
        <v/>
      </c>
      <c r="P53" s="7" t="str">
        <f t="shared" si="1"/>
        <v/>
      </c>
      <c r="Q53" s="93" t="str">
        <f>IF(ISNUMBER(E53)=TRUE,"",IF(HKI!AP53="","",HKI!AP53))</f>
        <v/>
      </c>
      <c r="R53" s="93" t="str">
        <f t="shared" si="2"/>
        <v/>
      </c>
    </row>
    <row r="54" spans="1:18" ht="15">
      <c r="A54" s="2" t="str">
        <f>IF(OR($C$6="",$J$6=""),"",IF(B54="","",SUBTOTAL(3,$B$11:B54)))</f>
        <v/>
      </c>
      <c r="B54" s="90" t="str">
        <f>IF(OR($C$6="",$J$6="",$L$6=""),"",IF(HKI!B54="","",HKI!B54))</f>
        <v/>
      </c>
      <c r="C54" s="91" t="str">
        <f>IF($B54="","",VLOOKUP($B54,'DS LOP HKI'!$B$2:$F$2642,2,0))</f>
        <v/>
      </c>
      <c r="D54" s="92" t="str">
        <f>IF($B54="","",VLOOKUP($B54,'DS LOP HKI'!$B$2:$F$2642,3,0))</f>
        <v/>
      </c>
      <c r="E54" s="144"/>
      <c r="F54" s="201"/>
      <c r="G54" s="262"/>
      <c r="H54" s="534"/>
      <c r="I54" s="534"/>
      <c r="J54" s="201"/>
      <c r="K54" s="201"/>
      <c r="L54" s="201"/>
      <c r="M54" s="534"/>
      <c r="N54" s="262"/>
      <c r="O54" s="12" t="str">
        <f t="shared" si="0"/>
        <v/>
      </c>
      <c r="P54" s="7" t="str">
        <f t="shared" si="1"/>
        <v/>
      </c>
      <c r="Q54" s="93" t="str">
        <f>IF(ISNUMBER(E54)=TRUE,"",IF(HKI!AP54="","",HKI!AP54))</f>
        <v/>
      </c>
      <c r="R54" s="93" t="str">
        <f t="shared" si="2"/>
        <v/>
      </c>
    </row>
    <row r="55" spans="1:18" ht="15">
      <c r="A55" s="2" t="str">
        <f>IF(OR($C$6="",$J$6=""),"",IF(B55="","",SUBTOTAL(3,$B$11:B55)))</f>
        <v/>
      </c>
      <c r="B55" s="90" t="str">
        <f>IF(OR($C$6="",$J$6="",$L$6=""),"",IF(HKI!B55="","",HKI!B55))</f>
        <v/>
      </c>
      <c r="C55" s="91" t="str">
        <f>IF($B55="","",VLOOKUP($B55,'DS LOP HKI'!$B$2:$F$2642,2,0))</f>
        <v/>
      </c>
      <c r="D55" s="92" t="str">
        <f>IF($B55="","",VLOOKUP($B55,'DS LOP HKI'!$B$2:$F$2642,3,0))</f>
        <v/>
      </c>
      <c r="E55" s="144"/>
      <c r="F55" s="201"/>
      <c r="G55" s="262"/>
      <c r="H55" s="534"/>
      <c r="I55" s="534"/>
      <c r="J55" s="201"/>
      <c r="K55" s="201"/>
      <c r="L55" s="201"/>
      <c r="M55" s="534"/>
      <c r="N55" s="262"/>
      <c r="O55" s="12" t="str">
        <f t="shared" si="0"/>
        <v/>
      </c>
      <c r="P55" s="7" t="str">
        <f t="shared" si="1"/>
        <v/>
      </c>
      <c r="Q55" s="93" t="str">
        <f>IF(ISNUMBER(E55)=TRUE,"",IF(HKI!AP55="","",HKI!AP55))</f>
        <v/>
      </c>
      <c r="R55" s="93" t="str">
        <f t="shared" si="2"/>
        <v/>
      </c>
    </row>
    <row r="56" spans="1:18" ht="15">
      <c r="A56" s="2" t="str">
        <f>IF(OR($C$6="",$J$6=""),"",IF(B56="","",SUBTOTAL(3,$B$11:B56)))</f>
        <v/>
      </c>
      <c r="B56" s="90" t="str">
        <f>IF(OR($C$6="",$J$6="",$L$6=""),"",IF(HKI!B56="","",HKI!B56))</f>
        <v/>
      </c>
      <c r="C56" s="91" t="str">
        <f>IF($B56="","",VLOOKUP($B56,'DS LOP HKI'!$B$2:$F$2642,2,0))</f>
        <v/>
      </c>
      <c r="D56" s="92" t="str">
        <f>IF($B56="","",VLOOKUP($B56,'DS LOP HKI'!$B$2:$F$2642,3,0))</f>
        <v/>
      </c>
      <c r="E56" s="144"/>
      <c r="F56" s="201"/>
      <c r="G56" s="262"/>
      <c r="H56" s="534"/>
      <c r="I56" s="534"/>
      <c r="J56" s="201"/>
      <c r="K56" s="201"/>
      <c r="L56" s="201"/>
      <c r="M56" s="534"/>
      <c r="N56" s="262"/>
      <c r="O56" s="12" t="str">
        <f t="shared" si="0"/>
        <v/>
      </c>
      <c r="P56" s="7" t="str">
        <f t="shared" si="1"/>
        <v/>
      </c>
      <c r="Q56" s="93" t="str">
        <f>IF(ISNUMBER(E56)=TRUE,"",IF(HKI!AP56="","",HKI!AP56))</f>
        <v/>
      </c>
      <c r="R56" s="93" t="str">
        <f t="shared" si="2"/>
        <v/>
      </c>
    </row>
    <row r="57" spans="1:18" s="4" customFormat="1" ht="15">
      <c r="A57" s="2" t="str">
        <f>IF(OR($C$6="",$J$6=""),"",IF(B57="","",SUBTOTAL(3,$B$11:B57)))</f>
        <v/>
      </c>
      <c r="B57" s="90" t="str">
        <f>IF(OR($C$6="",$J$6="",$L$6=""),"",IF(HKI!B57="","",HKI!B57))</f>
        <v/>
      </c>
      <c r="C57" s="91" t="str">
        <f>IF($B57="","",VLOOKUP($B57,'DS LOP HKI'!$B$2:$F$2642,2,0))</f>
        <v/>
      </c>
      <c r="D57" s="92" t="str">
        <f>IF($B57="","",VLOOKUP($B57,'DS LOP HKI'!$B$2:$F$2642,3,0))</f>
        <v/>
      </c>
      <c r="E57" s="144"/>
      <c r="F57" s="111"/>
      <c r="G57" s="262"/>
      <c r="H57" s="534"/>
      <c r="I57" s="534"/>
      <c r="J57" s="111"/>
      <c r="K57" s="111"/>
      <c r="L57" s="111"/>
      <c r="M57" s="534"/>
      <c r="N57" s="262"/>
      <c r="O57" s="12" t="str">
        <f t="shared" si="0"/>
        <v/>
      </c>
      <c r="P57" s="7" t="str">
        <f t="shared" si="1"/>
        <v/>
      </c>
      <c r="Q57" s="93" t="str">
        <f>IF(ISNUMBER(E57)=TRUE,"",IF(HKI!AP57="","",HKI!AP57))</f>
        <v/>
      </c>
      <c r="R57" s="93" t="str">
        <f t="shared" si="2"/>
        <v/>
      </c>
    </row>
    <row r="58" spans="1:18" s="4" customFormat="1" ht="15">
      <c r="A58" s="2" t="str">
        <f>IF(OR($C$6="",$J$6=""),"",IF(B58="","",SUBTOTAL(3,$B$11:B58)))</f>
        <v/>
      </c>
      <c r="B58" s="90" t="str">
        <f>IF(OR($C$6="",$J$6="",$L$6=""),"",IF(HKI!B58="","",HKI!B58))</f>
        <v/>
      </c>
      <c r="C58" s="91" t="str">
        <f>IF($B58="","",VLOOKUP($B58,'DS LOP HKI'!$B$2:$F$2642,2,0))</f>
        <v/>
      </c>
      <c r="D58" s="92" t="str">
        <f>IF($B58="","",VLOOKUP($B58,'DS LOP HKI'!$B$2:$F$2642,3,0))</f>
        <v/>
      </c>
      <c r="E58" s="144"/>
      <c r="F58" s="111"/>
      <c r="G58" s="262"/>
      <c r="H58" s="534"/>
      <c r="I58" s="534"/>
      <c r="J58" s="111"/>
      <c r="K58" s="111"/>
      <c r="L58" s="111"/>
      <c r="M58" s="534"/>
      <c r="N58" s="262"/>
      <c r="O58" s="12" t="str">
        <f t="shared" si="0"/>
        <v/>
      </c>
      <c r="P58" s="7" t="str">
        <f t="shared" si="1"/>
        <v/>
      </c>
      <c r="Q58" s="93" t="str">
        <f>IF(ISNUMBER(E58)=TRUE,"",IF(HKI!AP58="","",HKI!AP58))</f>
        <v/>
      </c>
      <c r="R58" s="93" t="str">
        <f t="shared" si="2"/>
        <v/>
      </c>
    </row>
    <row r="59" spans="1:18" ht="15">
      <c r="A59" s="2" t="str">
        <f>IF(OR($C$6="",$J$6=""),"",IF(B59="","",SUBTOTAL(3,$B$11:B59)))</f>
        <v/>
      </c>
      <c r="B59" s="90" t="str">
        <f>IF(OR($C$6="",$J$6="",$L$6=""),"",IF(HKI!B59="","",HKI!B59))</f>
        <v/>
      </c>
      <c r="C59" s="91" t="str">
        <f>IF($B59="","",VLOOKUP($B59,'DS LOP HKI'!$B$2:$F$2642,2,0))</f>
        <v/>
      </c>
      <c r="D59" s="92" t="str">
        <f>IF($B59="","",VLOOKUP($B59,'DS LOP HKI'!$B$2:$F$2642,3,0))</f>
        <v/>
      </c>
      <c r="E59" s="144"/>
      <c r="F59" s="111"/>
      <c r="G59" s="262"/>
      <c r="H59" s="534"/>
      <c r="I59" s="534"/>
      <c r="J59" s="111"/>
      <c r="K59" s="111"/>
      <c r="L59" s="111"/>
      <c r="M59" s="534"/>
      <c r="N59" s="262"/>
      <c r="O59" s="12" t="str">
        <f t="shared" si="0"/>
        <v/>
      </c>
      <c r="P59" s="7" t="str">
        <f t="shared" si="1"/>
        <v/>
      </c>
      <c r="Q59" s="93" t="str">
        <f>IF(ISNUMBER(E59)=TRUE,"",IF(HKI!AP59="","",HKI!AP59))</f>
        <v/>
      </c>
      <c r="R59" s="93" t="str">
        <f t="shared" si="2"/>
        <v/>
      </c>
    </row>
    <row r="60" spans="1:18" ht="15">
      <c r="A60" s="2" t="str">
        <f>IF(OR($C$6="",$J$6=""),"",IF(B60="","",SUBTOTAL(3,$B$11:B60)))</f>
        <v/>
      </c>
      <c r="B60" s="90" t="str">
        <f>IF(OR($C$6="",$J$6="",$L$6=""),"",IF(HKI!B60="","",HKI!B60))</f>
        <v/>
      </c>
      <c r="C60" s="91" t="str">
        <f>IF($B60="","",VLOOKUP($B60,'DS LOP HKI'!$B$2:$F$2642,2,0))</f>
        <v/>
      </c>
      <c r="D60" s="92" t="str">
        <f>IF($B60="","",VLOOKUP($B60,'DS LOP HKI'!$B$2:$F$2642,3,0))</f>
        <v/>
      </c>
      <c r="E60" s="144"/>
      <c r="F60" s="111"/>
      <c r="G60" s="262"/>
      <c r="H60" s="534"/>
      <c r="I60" s="534"/>
      <c r="J60" s="111"/>
      <c r="K60" s="111"/>
      <c r="L60" s="111"/>
      <c r="M60" s="534"/>
      <c r="N60" s="262"/>
      <c r="O60" s="12" t="str">
        <f t="shared" si="0"/>
        <v/>
      </c>
      <c r="P60" s="7" t="str">
        <f t="shared" si="1"/>
        <v/>
      </c>
      <c r="Q60" s="93" t="str">
        <f>IF(ISNUMBER(E60)=TRUE,"",IF(HKI!AP60="","",HKI!AP60))</f>
        <v/>
      </c>
      <c r="R60" s="93" t="str">
        <f t="shared" si="2"/>
        <v/>
      </c>
    </row>
    <row r="61" spans="1:18" ht="15">
      <c r="A61" s="2" t="str">
        <f>IF(OR($C$6="",$J$6=""),"",IF(B61="","",SUBTOTAL(3,$B$11:B61)))</f>
        <v/>
      </c>
      <c r="B61" s="90" t="str">
        <f>IF(OR($C$6="",$J$6="",$L$6=""),"",IF(HKI!B61="","",HKI!B61))</f>
        <v/>
      </c>
      <c r="C61" s="91" t="str">
        <f>IF($B61="","",VLOOKUP($B61,'DS LOP HKI'!$B$2:$F$2642,2,0))</f>
        <v/>
      </c>
      <c r="D61" s="92" t="str">
        <f>IF($B61="","",VLOOKUP($B61,'DS LOP HKI'!$B$2:$F$2642,3,0))</f>
        <v/>
      </c>
      <c r="E61" s="144"/>
      <c r="F61" s="111"/>
      <c r="G61" s="111"/>
      <c r="H61" s="111"/>
      <c r="I61" s="111"/>
      <c r="J61" s="111"/>
      <c r="K61" s="111"/>
      <c r="L61" s="111"/>
      <c r="M61" s="111"/>
      <c r="N61" s="111"/>
      <c r="O61" s="12" t="str">
        <f t="shared" si="0"/>
        <v/>
      </c>
      <c r="P61" s="7" t="str">
        <f t="shared" si="1"/>
        <v/>
      </c>
      <c r="Q61" s="93" t="str">
        <f>IF(ISNUMBER(E61)=TRUE,"",IF(HKI!AP61="","",HKI!AP61))</f>
        <v/>
      </c>
      <c r="R61" s="93" t="str">
        <f t="shared" si="2"/>
        <v/>
      </c>
    </row>
    <row r="62" spans="1:18" ht="15">
      <c r="A62" s="2" t="str">
        <f>IF(OR($C$6="",$J$6=""),"",IF(B62="","",SUBTOTAL(3,$B$11:B62)))</f>
        <v/>
      </c>
      <c r="B62" s="90" t="str">
        <f>IF(OR($C$6="",$J$6="",$L$6=""),"",IF(HKI!B62="","",HKI!B62))</f>
        <v/>
      </c>
      <c r="C62" s="91" t="str">
        <f>IF($B62="","",VLOOKUP($B62,'DS LOP HKI'!$B$2:$F$2642,2,0))</f>
        <v/>
      </c>
      <c r="D62" s="92" t="str">
        <f>IF($B62="","",VLOOKUP($B62,'DS LOP HKI'!$B$2:$F$2642,3,0))</f>
        <v/>
      </c>
      <c r="E62" s="144"/>
      <c r="F62" s="111"/>
      <c r="G62" s="111"/>
      <c r="H62" s="111"/>
      <c r="I62" s="111"/>
      <c r="J62" s="111"/>
      <c r="K62" s="111"/>
      <c r="L62" s="111"/>
      <c r="M62" s="111"/>
      <c r="N62" s="111"/>
      <c r="O62" s="12" t="str">
        <f t="shared" si="0"/>
        <v/>
      </c>
      <c r="P62" s="7" t="str">
        <f t="shared" si="1"/>
        <v/>
      </c>
      <c r="Q62" s="93" t="str">
        <f>IF(ISNUMBER(E62)=TRUE,"",IF(HKI!AP62="","",HKI!AP62))</f>
        <v/>
      </c>
      <c r="R62" s="93" t="str">
        <f t="shared" si="2"/>
        <v/>
      </c>
    </row>
    <row r="63" spans="1:18" ht="15">
      <c r="A63" s="2" t="str">
        <f>IF(OR($C$6="",$J$6=""),"",IF(B63="","",SUBTOTAL(3,$B$11:B63)))</f>
        <v/>
      </c>
      <c r="B63" s="90" t="str">
        <f>IF(OR($C$6="",$J$6="",$L$6=""),"",IF(HKI!B63="","",HKI!B63))</f>
        <v/>
      </c>
      <c r="C63" s="91" t="str">
        <f>IF($B63="","",VLOOKUP($B63,'DS LOP HKI'!$B$2:$F$2642,2,0))</f>
        <v/>
      </c>
      <c r="D63" s="92" t="str">
        <f>IF($B63="","",VLOOKUP($B63,'DS LOP HKI'!$B$2:$F$2642,3,0))</f>
        <v/>
      </c>
      <c r="E63" s="144"/>
      <c r="F63" s="111"/>
      <c r="G63" s="111"/>
      <c r="H63" s="111"/>
      <c r="I63" s="111"/>
      <c r="J63" s="111"/>
      <c r="K63" s="111"/>
      <c r="L63" s="111"/>
      <c r="M63" s="111"/>
      <c r="N63" s="111"/>
      <c r="O63" s="12" t="str">
        <f t="shared" si="0"/>
        <v/>
      </c>
      <c r="P63" s="7" t="str">
        <f t="shared" si="1"/>
        <v/>
      </c>
      <c r="Q63" s="93" t="str">
        <f>IF(ISNUMBER(E63)=TRUE,"",IF(HKI!AP63="","",HKI!AP63))</f>
        <v/>
      </c>
      <c r="R63" s="93" t="str">
        <f t="shared" si="2"/>
        <v/>
      </c>
    </row>
    <row r="64" spans="1:18" ht="15">
      <c r="A64" s="2" t="str">
        <f>IF(OR($C$6="",$J$6=""),"",IF(B64="","",SUBTOTAL(3,$B$11:B64)))</f>
        <v/>
      </c>
      <c r="B64" s="90" t="str">
        <f>IF(OR($C$6="",$J$6="",$L$6=""),"",IF(HKI!B64="","",HKI!B64))</f>
        <v/>
      </c>
      <c r="C64" s="91" t="str">
        <f>IF($B64="","",VLOOKUP($B64,'DS LOP HKI'!$B$2:$F$2642,2,0))</f>
        <v/>
      </c>
      <c r="D64" s="92" t="str">
        <f>IF($B64="","",VLOOKUP($B64,'DS LOP HKI'!$B$2:$F$2642,3,0))</f>
        <v/>
      </c>
      <c r="E64" s="144"/>
      <c r="F64" s="111"/>
      <c r="G64" s="111"/>
      <c r="H64" s="111"/>
      <c r="I64" s="111"/>
      <c r="J64" s="111"/>
      <c r="K64" s="111"/>
      <c r="L64" s="111"/>
      <c r="M64" s="111"/>
      <c r="N64" s="111"/>
      <c r="O64" s="12" t="str">
        <f t="shared" si="0"/>
        <v/>
      </c>
      <c r="P64" s="7" t="str">
        <f t="shared" si="1"/>
        <v/>
      </c>
      <c r="Q64" s="93" t="str">
        <f>IF(ISNUMBER(E64)=TRUE,"",IF(HKI!AP64="","",HKI!AP64))</f>
        <v/>
      </c>
      <c r="R64" s="93" t="str">
        <f t="shared" si="2"/>
        <v/>
      </c>
    </row>
    <row r="65" spans="1:18" ht="15">
      <c r="A65" s="2" t="str">
        <f>IF(OR($C$6="",$J$6=""),"",IF(B65="","",SUBTOTAL(3,$B$11:B65)))</f>
        <v/>
      </c>
      <c r="B65" s="90" t="str">
        <f>IF(OR($C$6="",$J$6="",$L$6=""),"",IF(HKI!B65="","",HKI!B65))</f>
        <v/>
      </c>
      <c r="C65" s="91" t="str">
        <f>IF($B65="","",VLOOKUP($B65,'DS LOP HKI'!$B$2:$F$2642,2,0))</f>
        <v/>
      </c>
      <c r="D65" s="92" t="str">
        <f>IF($B65="","",VLOOKUP($B65,'DS LOP HKI'!$B$2:$F$2642,3,0))</f>
        <v/>
      </c>
      <c r="E65" s="144"/>
      <c r="F65" s="111"/>
      <c r="G65" s="111"/>
      <c r="H65" s="111"/>
      <c r="I65" s="111"/>
      <c r="J65" s="111"/>
      <c r="K65" s="111"/>
      <c r="L65" s="111"/>
      <c r="M65" s="111"/>
      <c r="N65" s="111"/>
      <c r="O65" s="12" t="str">
        <f t="shared" si="0"/>
        <v/>
      </c>
      <c r="P65" s="7" t="str">
        <f t="shared" si="1"/>
        <v/>
      </c>
      <c r="Q65" s="93" t="str">
        <f>IF(ISNUMBER(E65)=TRUE,"",IF(HKI!AP65="","",HKI!AP65))</f>
        <v/>
      </c>
      <c r="R65" s="93" t="str">
        <f t="shared" si="2"/>
        <v/>
      </c>
    </row>
    <row r="66" spans="1:18" ht="15">
      <c r="A66" s="2" t="str">
        <f>IF(OR($C$6="",$J$6=""),"",IF(B66="","",SUBTOTAL(3,$B$11:B66)))</f>
        <v/>
      </c>
      <c r="B66" s="90" t="str">
        <f>IF(OR($C$6="",$J$6="",$L$6=""),"",IF(HKI!B66="","",HKI!B66))</f>
        <v/>
      </c>
      <c r="C66" s="91" t="str">
        <f>IF($B66="","",VLOOKUP($B66,'DS LOP HKI'!$B$2:$F$2642,2,0))</f>
        <v/>
      </c>
      <c r="D66" s="92" t="str">
        <f>IF($B66="","",VLOOKUP($B66,'DS LOP HKI'!$B$2:$F$2642,3,0))</f>
        <v/>
      </c>
      <c r="E66" s="144"/>
      <c r="F66" s="111"/>
      <c r="G66" s="111"/>
      <c r="H66" s="111"/>
      <c r="I66" s="111"/>
      <c r="J66" s="111"/>
      <c r="K66" s="111"/>
      <c r="L66" s="111"/>
      <c r="M66" s="111"/>
      <c r="N66" s="111"/>
      <c r="O66" s="12" t="str">
        <f t="shared" si="0"/>
        <v/>
      </c>
      <c r="P66" s="7" t="str">
        <f t="shared" si="1"/>
        <v/>
      </c>
      <c r="Q66" s="93" t="str">
        <f>IF(ISNUMBER(E66)=TRUE,"",IF(HKI!AP66="","",HKI!AP66))</f>
        <v/>
      </c>
      <c r="R66" s="93" t="str">
        <f t="shared" si="2"/>
        <v/>
      </c>
    </row>
    <row r="67" spans="1:18" ht="15">
      <c r="A67" s="2" t="str">
        <f>IF(OR($C$6="",$J$6=""),"",IF(B67="","",SUBTOTAL(3,$B$11:B67)))</f>
        <v/>
      </c>
      <c r="B67" s="90" t="str">
        <f>IF(OR($C$6="",$J$6="",$L$6=""),"",IF(HKI!B67="","",HKI!B67))</f>
        <v/>
      </c>
      <c r="C67" s="91" t="str">
        <f>IF($B67="","",VLOOKUP($B67,'DS LOP HKI'!$B$2:$F$2642,2,0))</f>
        <v/>
      </c>
      <c r="D67" s="92" t="str">
        <f>IF($B67="","",VLOOKUP($B67,'DS LOP HKI'!$B$2:$F$2642,3,0))</f>
        <v/>
      </c>
      <c r="E67" s="144"/>
      <c r="F67" s="111"/>
      <c r="G67" s="111"/>
      <c r="H67" s="111"/>
      <c r="I67" s="111"/>
      <c r="J67" s="111"/>
      <c r="K67" s="111"/>
      <c r="L67" s="111"/>
      <c r="M67" s="111"/>
      <c r="N67" s="111"/>
      <c r="O67" s="12" t="str">
        <f t="shared" si="0"/>
        <v/>
      </c>
      <c r="P67" s="7" t="str">
        <f t="shared" si="1"/>
        <v/>
      </c>
      <c r="Q67" s="93" t="str">
        <f>IF(ISNUMBER(E67)=TRUE,"",IF(HKI!AP67="","",HKI!AP67))</f>
        <v/>
      </c>
      <c r="R67" s="93" t="str">
        <f t="shared" si="2"/>
        <v/>
      </c>
    </row>
    <row r="68" spans="1:18" ht="15">
      <c r="A68" s="2" t="str">
        <f>IF(OR($C$6="",$J$6=""),"",IF(B68="","",SUBTOTAL(3,$B$11:B68)))</f>
        <v/>
      </c>
      <c r="B68" s="90" t="str">
        <f>IF(OR($C$6="",$J$6="",$L$6=""),"",IF(HKI!B68="","",HKI!B68))</f>
        <v/>
      </c>
      <c r="C68" s="91" t="str">
        <f>IF($B68="","",VLOOKUP($B68,'DS LOP HKI'!$B$2:$F$2642,2,0))</f>
        <v/>
      </c>
      <c r="D68" s="92" t="str">
        <f>IF($B68="","",VLOOKUP($B68,'DS LOP HKI'!$B$2:$F$2642,3,0))</f>
        <v/>
      </c>
      <c r="E68" s="144"/>
      <c r="F68" s="111"/>
      <c r="G68" s="111"/>
      <c r="H68" s="111"/>
      <c r="I68" s="111"/>
      <c r="J68" s="111"/>
      <c r="K68" s="111"/>
      <c r="L68" s="111"/>
      <c r="M68" s="111"/>
      <c r="N68" s="111"/>
      <c r="O68" s="12" t="str">
        <f t="shared" si="0"/>
        <v/>
      </c>
      <c r="P68" s="7" t="str">
        <f t="shared" si="1"/>
        <v/>
      </c>
      <c r="Q68" s="93" t="str">
        <f>IF(ISNUMBER(E68)=TRUE,"",IF(HKI!AP68="","",HKI!AP68))</f>
        <v/>
      </c>
      <c r="R68" s="93" t="str">
        <f t="shared" si="2"/>
        <v/>
      </c>
    </row>
    <row r="69" spans="1:18" ht="15">
      <c r="A69" s="2" t="str">
        <f>IF(OR($C$6="",$J$6=""),"",IF(B69="","",SUBTOTAL(3,$B$11:B69)))</f>
        <v/>
      </c>
      <c r="B69" s="90" t="str">
        <f>IF(OR($C$6="",$J$6="",$L$6=""),"",IF(HKI!B69="","",HKI!B69))</f>
        <v/>
      </c>
      <c r="C69" s="91" t="str">
        <f>IF($B69="","",VLOOKUP($B69,'DS LOP HKI'!$B$2:$F$2642,2,0))</f>
        <v/>
      </c>
      <c r="D69" s="92" t="str">
        <f>IF($B69="","",VLOOKUP($B69,'DS LOP HKI'!$B$2:$F$2642,3,0))</f>
        <v/>
      </c>
      <c r="E69" s="144"/>
      <c r="F69" s="111"/>
      <c r="G69" s="111"/>
      <c r="H69" s="111"/>
      <c r="I69" s="111"/>
      <c r="J69" s="111"/>
      <c r="K69" s="111"/>
      <c r="L69" s="111"/>
      <c r="M69" s="111"/>
      <c r="N69" s="111"/>
      <c r="O69" s="12" t="str">
        <f t="shared" si="0"/>
        <v/>
      </c>
      <c r="P69" s="7" t="str">
        <f t="shared" si="1"/>
        <v/>
      </c>
      <c r="Q69" s="93" t="str">
        <f>IF(ISNUMBER(E69)=TRUE,"",IF(HKI!AP69="","",HKI!AP69))</f>
        <v/>
      </c>
      <c r="R69" s="93" t="str">
        <f t="shared" si="2"/>
        <v/>
      </c>
    </row>
    <row r="70" spans="1:18" ht="15">
      <c r="A70" s="2" t="str">
        <f>IF(OR($C$6="",$J$6=""),"",IF(B70="","",SUBTOTAL(3,$B$11:B70)))</f>
        <v/>
      </c>
      <c r="B70" s="90" t="str">
        <f>IF(OR($C$6="",$J$6="",$L$6=""),"",IF(HKI!B70="","",HKI!B70))</f>
        <v/>
      </c>
      <c r="C70" s="91" t="str">
        <f>IF($B70="","",VLOOKUP($B70,'DS LOP HKI'!$B$2:$F$2642,2,0))</f>
        <v/>
      </c>
      <c r="D70" s="92" t="str">
        <f>IF($B70="","",VLOOKUP($B70,'DS LOP HKI'!$B$2:$F$2642,3,0))</f>
        <v/>
      </c>
      <c r="E70" s="144"/>
      <c r="F70" s="111"/>
      <c r="G70" s="111"/>
      <c r="H70" s="111"/>
      <c r="I70" s="111"/>
      <c r="J70" s="111"/>
      <c r="K70" s="111"/>
      <c r="L70" s="111"/>
      <c r="M70" s="111"/>
      <c r="N70" s="111"/>
      <c r="O70" s="12" t="str">
        <f t="shared" si="0"/>
        <v/>
      </c>
      <c r="P70" s="7" t="str">
        <f t="shared" si="1"/>
        <v/>
      </c>
      <c r="Q70" s="93" t="str">
        <f>IF(ISNUMBER(E70)=TRUE,"",IF(HKI!AP70="","",HKI!AP70))</f>
        <v/>
      </c>
      <c r="R70" s="93" t="str">
        <f t="shared" si="2"/>
        <v/>
      </c>
    </row>
    <row r="71" spans="1:18" s="38" customFormat="1" ht="12.75" customHeight="1">
      <c r="A71" s="2" t="str">
        <f>IF(OR($C$6="",$J$6=""),"",IF(B71="","",SUBTOTAL(3,$B$11:B71)))</f>
        <v/>
      </c>
      <c r="B71" s="90" t="str">
        <f>IF(OR($C$6="",$J$6="",$L$6=""),"",IF(HKI!B71="","",HKI!B71))</f>
        <v/>
      </c>
      <c r="C71" s="91" t="str">
        <f>IF($B71="","",VLOOKUP($B71,'DS LOP HKI'!$B$2:$F$2642,2,0))</f>
        <v/>
      </c>
      <c r="D71" s="92" t="str">
        <f>IF($B71="","",VLOOKUP($B71,'DS LOP HKI'!$B$2:$F$2642,3,0))</f>
        <v/>
      </c>
      <c r="E71" s="144"/>
      <c r="F71" s="111"/>
      <c r="G71" s="111"/>
      <c r="H71" s="111"/>
      <c r="I71" s="111"/>
      <c r="J71" s="111"/>
      <c r="K71" s="111"/>
      <c r="L71" s="111"/>
      <c r="M71" s="111"/>
      <c r="N71" s="111"/>
      <c r="O71" s="12" t="str">
        <f t="shared" si="0"/>
        <v/>
      </c>
      <c r="P71" s="7" t="str">
        <f t="shared" si="1"/>
        <v/>
      </c>
      <c r="Q71" s="93" t="str">
        <f>IF(ISNUMBER(E71)=TRUE,"",IF(HKI!AP71="","",HKI!AP71))</f>
        <v/>
      </c>
      <c r="R71" s="93" t="str">
        <f t="shared" si="2"/>
        <v/>
      </c>
    </row>
    <row r="72" spans="1:18" s="38" customFormat="1" ht="15">
      <c r="A72" s="2" t="str">
        <f>IF(OR($C$6="",$J$6=""),"",IF(B72="","",SUBTOTAL(3,$B$11:B72)))</f>
        <v/>
      </c>
      <c r="B72" s="90" t="str">
        <f>IF(OR($C$6="",$J$6="",$L$6=""),"",IF(HKI!B72="","",HKI!B72))</f>
        <v/>
      </c>
      <c r="C72" s="91" t="str">
        <f>IF($B72="","",VLOOKUP($B72,'DS LOP HKI'!$B$2:$F$2642,2,0))</f>
        <v/>
      </c>
      <c r="D72" s="92" t="str">
        <f>IF($B72="","",VLOOKUP($B72,'DS LOP HKI'!$B$2:$F$2642,3,0))</f>
        <v/>
      </c>
      <c r="E72" s="144"/>
      <c r="F72" s="111"/>
      <c r="G72" s="111"/>
      <c r="H72" s="111"/>
      <c r="I72" s="111"/>
      <c r="J72" s="111"/>
      <c r="K72" s="111"/>
      <c r="L72" s="111"/>
      <c r="M72" s="111"/>
      <c r="N72" s="111"/>
      <c r="O72" s="12" t="str">
        <f t="shared" si="0"/>
        <v/>
      </c>
      <c r="P72" s="7" t="str">
        <f t="shared" si="1"/>
        <v/>
      </c>
      <c r="Q72" s="93" t="str">
        <f>IF(ISNUMBER(E72)=TRUE,"",IF(HKI!AP72="","",HKI!AP72))</f>
        <v/>
      </c>
      <c r="R72" s="93" t="str">
        <f t="shared" si="2"/>
        <v/>
      </c>
    </row>
    <row r="73" spans="1:18" s="38" customFormat="1" ht="12.75" customHeight="1">
      <c r="A73" s="2" t="str">
        <f>IF(OR($C$6="",$J$6=""),"",IF(B73="","",SUBTOTAL(3,$B$11:B73)))</f>
        <v/>
      </c>
      <c r="B73" s="90" t="str">
        <f>IF(OR($C$6="",$J$6="",$L$6=""),"",IF(HKI!B73="","",HKI!B73))</f>
        <v/>
      </c>
      <c r="C73" s="91" t="str">
        <f>IF($B73="","",VLOOKUP($B73,'DS LOP HKI'!$B$2:$F$2642,2,0))</f>
        <v/>
      </c>
      <c r="D73" s="92" t="str">
        <f>IF($B73="","",VLOOKUP($B73,'DS LOP HKI'!$B$2:$F$2642,3,0))</f>
        <v/>
      </c>
      <c r="E73" s="144"/>
      <c r="F73" s="111"/>
      <c r="G73" s="111"/>
      <c r="H73" s="111"/>
      <c r="I73" s="111"/>
      <c r="J73" s="111"/>
      <c r="K73" s="111"/>
      <c r="L73" s="111"/>
      <c r="M73" s="111"/>
      <c r="N73" s="111"/>
      <c r="O73" s="12" t="str">
        <f t="shared" si="0"/>
        <v/>
      </c>
      <c r="P73" s="7" t="str">
        <f t="shared" si="1"/>
        <v/>
      </c>
      <c r="Q73" s="93" t="str">
        <f>IF(ISNUMBER(E73)=TRUE,"",IF(HKI!AP73="","",HKI!AP73))</f>
        <v/>
      </c>
      <c r="R73" s="93" t="str">
        <f t="shared" si="2"/>
        <v/>
      </c>
    </row>
    <row r="74" spans="1:18" s="38" customFormat="1" ht="12.75" customHeight="1">
      <c r="A74" s="2" t="str">
        <f>IF(OR($C$6="",$J$6=""),"",IF(B74="","",SUBTOTAL(3,$B$11:B74)))</f>
        <v/>
      </c>
      <c r="B74" s="90" t="str">
        <f>IF(OR($C$6="",$J$6="",$L$6=""),"",IF(HKI!B74="","",HKI!B74))</f>
        <v/>
      </c>
      <c r="C74" s="91" t="str">
        <f>IF($B74="","",VLOOKUP($B74,'DS LOP HKI'!$B$2:$F$2642,2,0))</f>
        <v/>
      </c>
      <c r="D74" s="92" t="str">
        <f>IF($B74="","",VLOOKUP($B74,'DS LOP HKI'!$B$2:$F$2642,3,0))</f>
        <v/>
      </c>
      <c r="E74" s="144"/>
      <c r="F74" s="111"/>
      <c r="G74" s="111"/>
      <c r="H74" s="111"/>
      <c r="I74" s="111"/>
      <c r="J74" s="111"/>
      <c r="K74" s="111"/>
      <c r="L74" s="111"/>
      <c r="M74" s="111"/>
      <c r="N74" s="111"/>
      <c r="O74" s="12" t="str">
        <f t="shared" si="0"/>
        <v/>
      </c>
      <c r="P74" s="7" t="str">
        <f t="shared" si="1"/>
        <v/>
      </c>
      <c r="Q74" s="93" t="str">
        <f>IF(ISNUMBER(E74)=TRUE,"",IF(HKI!AP74="","",HKI!AP74))</f>
        <v/>
      </c>
      <c r="R74" s="93" t="str">
        <f t="shared" si="2"/>
        <v/>
      </c>
    </row>
    <row r="75" spans="1:18" s="38" customFormat="1" ht="12.75" customHeight="1">
      <c r="A75" s="2" t="str">
        <f>IF(OR($C$6="",$J$6=""),"",IF(B75="","",SUBTOTAL(3,$B$11:B75)))</f>
        <v/>
      </c>
      <c r="B75" s="90" t="str">
        <f>IF(OR($C$6="",$J$6="",$L$6=""),"",IF(HKI!B75="","",HKI!B75))</f>
        <v/>
      </c>
      <c r="C75" s="91" t="str">
        <f>IF($B75="","",VLOOKUP($B75,'DS LOP HKI'!$B$2:$F$2642,2,0))</f>
        <v/>
      </c>
      <c r="D75" s="92" t="str">
        <f>IF($B75="","",VLOOKUP($B75,'DS LOP HKI'!$B$2:$F$2642,3,0))</f>
        <v/>
      </c>
      <c r="E75" s="144"/>
      <c r="F75" s="111"/>
      <c r="G75" s="111"/>
      <c r="H75" s="111"/>
      <c r="I75" s="111"/>
      <c r="J75" s="111"/>
      <c r="K75" s="111"/>
      <c r="L75" s="111"/>
      <c r="M75" s="111"/>
      <c r="N75" s="111"/>
      <c r="O75" s="12" t="str">
        <f t="shared" si="0"/>
        <v/>
      </c>
      <c r="P75" s="7" t="str">
        <f t="shared" si="1"/>
        <v/>
      </c>
      <c r="Q75" s="93" t="str">
        <f>IF(ISNUMBER(E75)=TRUE,"",IF(HKI!AP75="","",HKI!AP75))</f>
        <v/>
      </c>
      <c r="R75" s="93" t="str">
        <f t="shared" si="2"/>
        <v/>
      </c>
    </row>
    <row r="76" spans="1:18" s="38" customFormat="1">
      <c r="A76" s="806" t="s">
        <v>1519</v>
      </c>
      <c r="B76" s="806"/>
      <c r="C76" s="806"/>
      <c r="D76" s="806"/>
      <c r="E76" s="806"/>
      <c r="F76" s="806"/>
      <c r="G76" s="806"/>
      <c r="H76" s="806"/>
      <c r="I76" s="806"/>
      <c r="J76" s="806"/>
      <c r="K76" s="806"/>
      <c r="L76" s="806"/>
      <c r="M76" s="806"/>
      <c r="N76" s="806"/>
      <c r="O76" s="806"/>
      <c r="P76" s="806"/>
    </row>
    <row r="77" spans="1:18" s="38" customFormat="1">
      <c r="A77" s="5"/>
      <c r="B77" s="793" t="str">
        <f>"Tổng danh sách có"</f>
        <v>Tổng danh sách có</v>
      </c>
      <c r="C77" s="793"/>
      <c r="D77" s="793"/>
      <c r="E77" s="793"/>
      <c r="F77" s="804" t="str">
        <f>": "&amp;MAX($A$11:$A$75)&amp;" SV"</f>
        <v>: 0 SV</v>
      </c>
      <c r="G77" s="804"/>
      <c r="L77" s="6"/>
      <c r="M77" s="6"/>
      <c r="N77" s="6"/>
      <c r="O77" s="6"/>
      <c r="P77" s="5"/>
    </row>
    <row r="78" spans="1:18" s="38" customFormat="1">
      <c r="A78" s="4"/>
      <c r="B78" s="782" t="str">
        <f>"Tổng số SV có điểm Giỏi từ 8,5 đ đến 10 đ"</f>
        <v>Tổng số SV có điểm Giỏi từ 8,5 đ đến 10 đ</v>
      </c>
      <c r="C78" s="782"/>
      <c r="D78" s="782"/>
      <c r="E78" s="782"/>
      <c r="F78" s="782" t="str">
        <f>": "&amp;COUNTIF($P$11:$P$75,"Giỏi")&amp;" SV"</f>
        <v>: 0 SV</v>
      </c>
      <c r="G78" s="782"/>
      <c r="H78" s="782" t="str">
        <f>IF(B11="","","("&amp;ROUND(COUNTIF($P$11:$P$75,"Giỏi")*100/MAX($A$11:$A$75),2)&amp;"%" &amp;")")</f>
        <v/>
      </c>
      <c r="I78" s="782"/>
      <c r="J78" s="782"/>
      <c r="K78" s="782"/>
      <c r="L78" s="789" t="str">
        <f>IF(B11="","","Tổng số SV có điểm &gt;= 4 đ : "&amp;COUNTIF(O11:O75,"&gt;=4")&amp;" SV"&amp;" ("&amp;ROUND(COUNTIF(O11:O75,"&gt;=4")*100/MAX($A$11:$A$75),2)&amp;"%" &amp;")")</f>
        <v/>
      </c>
      <c r="M78" s="789"/>
      <c r="N78" s="789"/>
      <c r="O78" s="789"/>
      <c r="P78" s="46"/>
    </row>
    <row r="79" spans="1:18" s="38" customFormat="1">
      <c r="A79" s="4"/>
      <c r="B79" s="782" t="str">
        <f>"Tổng số SV có điểm Khá từ 7 đ đến &lt;8,5 đ"</f>
        <v>Tổng số SV có điểm Khá từ 7 đ đến &lt;8,5 đ</v>
      </c>
      <c r="C79" s="782"/>
      <c r="D79" s="782"/>
      <c r="E79" s="782"/>
      <c r="F79" s="782" t="str">
        <f>": "&amp;COUNTIF($P$11:$P$75,"Khá")&amp;" SV"</f>
        <v>: 0 SV</v>
      </c>
      <c r="G79" s="782"/>
      <c r="H79" s="782" t="str">
        <f>IF(B11="","","("&amp;ROUND(COUNTIF($P$11:$P$75,"Khá")*100/MAX($A$11:$A$75),2)&amp;"%" &amp;")")</f>
        <v/>
      </c>
      <c r="I79" s="782"/>
      <c r="J79" s="782"/>
      <c r="K79" s="782"/>
      <c r="L79" s="789"/>
      <c r="M79" s="789"/>
      <c r="N79" s="789"/>
      <c r="O79" s="789"/>
      <c r="P79" s="46"/>
    </row>
    <row r="80" spans="1:18" s="38" customFormat="1">
      <c r="A80" s="4"/>
      <c r="B80" s="782" t="str">
        <f>"Tổng số SV có điểm Trung bình từ 5,5 đ đến &lt;7 đ"</f>
        <v>Tổng số SV có điểm Trung bình từ 5,5 đ đến &lt;7 đ</v>
      </c>
      <c r="C80" s="782"/>
      <c r="D80" s="782"/>
      <c r="E80" s="782"/>
      <c r="F80" s="782" t="str">
        <f>": "&amp;COUNTIF($P$11:$P$75,"TB")&amp;" SV"</f>
        <v>: 0 SV</v>
      </c>
      <c r="G80" s="782"/>
      <c r="H80" s="782" t="str">
        <f>IF(B11="","","("&amp;ROUND(COUNTIF($P$11:$P$75,"TB")*100/MAX($A$11:$A$75),2)&amp;"%" &amp;")")</f>
        <v/>
      </c>
      <c r="I80" s="782"/>
      <c r="J80" s="782"/>
      <c r="K80" s="782"/>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0 SV</v>
      </c>
      <c r="G81" s="782"/>
      <c r="H81" s="782" t="str">
        <f>IF(B11="","","("&amp;ROUND(COUNTIF($P$11:$P$75,"TBY")*100/MAX($A$11:$A$75),2)&amp;"%" &amp;")")</f>
        <v/>
      </c>
      <c r="I81" s="782"/>
      <c r="J81" s="782"/>
      <c r="K81" s="782"/>
      <c r="L81" s="794" t="str">
        <f>IF(B11="","","Tổng số SV có điểm &lt; 4 đ : "&amp;COUNTIF(O11:O75,"&lt;4")&amp;" SV"&amp;" ("&amp;ROUND(COUNTIF(O11:O75,"&lt;4")*100/MAX($A$11:$A$75),2)&amp;"%" &amp;")")</f>
        <v/>
      </c>
      <c r="M81" s="794"/>
      <c r="N81" s="794"/>
      <c r="O81" s="794"/>
      <c r="P81" s="94"/>
    </row>
    <row r="82" spans="1:16" s="38" customFormat="1">
      <c r="A82" s="4"/>
      <c r="B82" s="782" t="str">
        <f>"Tổng số SV có điểm kém &lt;4 đ"</f>
        <v>Tổng số SV có điểm kém &lt;4 đ</v>
      </c>
      <c r="C82" s="782"/>
      <c r="D82" s="782"/>
      <c r="E82" s="782"/>
      <c r="F82" s="782" t="str">
        <f>": "&amp;COUNTIF($P$11:$P$75,"Kém")&amp;" SV"</f>
        <v>: 0 SV</v>
      </c>
      <c r="G82" s="782"/>
      <c r="H82" s="782" t="str">
        <f>IF(B11="","","("&amp;ROUND(COUNTIF($P$11:$P$75,"Kém")*100/MAX($A$11:$A$75),2)&amp;"%"&amp;")")</f>
        <v/>
      </c>
      <c r="I82" s="782"/>
      <c r="J82" s="782"/>
      <c r="K82" s="782"/>
      <c r="L82" s="794"/>
      <c r="M82" s="794"/>
      <c r="N82" s="794"/>
      <c r="O82" s="794"/>
      <c r="P82" s="94"/>
    </row>
    <row r="83" spans="1:16" s="38" customFormat="1" ht="12.75" customHeight="1">
      <c r="A83" s="4"/>
      <c r="B83" s="782" t="str">
        <f>"Tổng số SV không xếp loại vì chưa đủ điều kiện"</f>
        <v>Tổng số SV không xếp loại vì chưa đủ điều kiện</v>
      </c>
      <c r="C83" s="782"/>
      <c r="D83" s="782"/>
      <c r="E83" s="782"/>
      <c r="F83" s="782" t="str">
        <f>": "&amp;COUNTIF($P$11:$P$75,"KXL")&amp;" SV"</f>
        <v>: 0 SV</v>
      </c>
      <c r="G83" s="782"/>
      <c r="H83" s="782" t="str">
        <f>IF(B11="","","("&amp;ROUND(COUNTIF($P$11:$P$75,"KXL")*100/MAX($A$11:$A$75),2)&amp;"%"&amp;")")</f>
        <v/>
      </c>
      <c r="I83" s="782"/>
      <c r="J83" s="782"/>
      <c r="K83" s="782"/>
      <c r="L83" s="794"/>
      <c r="M83" s="794"/>
      <c r="N83" s="794"/>
      <c r="O83" s="794"/>
      <c r="P83" s="94"/>
    </row>
    <row r="84" spans="1:16" ht="15.75">
      <c r="B84" s="47"/>
      <c r="C84" s="47"/>
      <c r="D84" s="47"/>
      <c r="E84" s="47"/>
      <c r="F84" s="47"/>
      <c r="G84" s="47"/>
      <c r="H84" s="47"/>
      <c r="I84" s="47"/>
      <c r="J84" s="47"/>
      <c r="K84" s="47"/>
      <c r="L84" s="47"/>
      <c r="M84" s="47"/>
      <c r="N84" s="47"/>
      <c r="O84" s="47"/>
    </row>
    <row r="85" spans="1:16" ht="15.75" customHeight="1">
      <c r="A85" s="781" t="s">
        <v>1427</v>
      </c>
      <c r="B85" s="781"/>
      <c r="C85" s="781"/>
      <c r="D85" s="781" t="s">
        <v>1515</v>
      </c>
      <c r="E85" s="781"/>
      <c r="F85" s="781"/>
      <c r="G85" s="781"/>
      <c r="H85" s="781"/>
      <c r="I85" s="84"/>
      <c r="J85" s="84"/>
      <c r="K85" s="781" t="s">
        <v>1516</v>
      </c>
      <c r="L85" s="781"/>
      <c r="M85" s="781"/>
      <c r="N85" s="781"/>
      <c r="O85" s="781"/>
      <c r="P85" s="781"/>
    </row>
  </sheetData>
  <sheetProtection password="E4CC" sheet="1" objects="1" scenarios="1" formatCells="0" formatRows="0"/>
  <dataConsolidate/>
  <mergeCells count="56">
    <mergeCell ref="B80:E80"/>
    <mergeCell ref="F80:G80"/>
    <mergeCell ref="A1:F1"/>
    <mergeCell ref="A2:F2"/>
    <mergeCell ref="A4:M4"/>
    <mergeCell ref="H1:N1"/>
    <mergeCell ref="H2:N2"/>
    <mergeCell ref="H3:N3"/>
    <mergeCell ref="B78:E78"/>
    <mergeCell ref="B79:E79"/>
    <mergeCell ref="B77:E77"/>
    <mergeCell ref="F77:G77"/>
    <mergeCell ref="A76:P76"/>
    <mergeCell ref="F79:G79"/>
    <mergeCell ref="F78:G78"/>
    <mergeCell ref="L8:L9"/>
    <mergeCell ref="Q8:Q9"/>
    <mergeCell ref="R8:R10"/>
    <mergeCell ref="A3:F3"/>
    <mergeCell ref="H6:I6"/>
    <mergeCell ref="A5:M5"/>
    <mergeCell ref="G7:I7"/>
    <mergeCell ref="J7:L7"/>
    <mergeCell ref="I8:I9"/>
    <mergeCell ref="J8:J9"/>
    <mergeCell ref="C6:G6"/>
    <mergeCell ref="O8:O10"/>
    <mergeCell ref="P8:P10"/>
    <mergeCell ref="K8:K9"/>
    <mergeCell ref="M8:M9"/>
    <mergeCell ref="N8:N9"/>
    <mergeCell ref="G10:L10"/>
    <mergeCell ref="H81:K81"/>
    <mergeCell ref="L81:O83"/>
    <mergeCell ref="B82:E82"/>
    <mergeCell ref="F82:G82"/>
    <mergeCell ref="H82:K82"/>
    <mergeCell ref="B83:E83"/>
    <mergeCell ref="F83:G83"/>
    <mergeCell ref="H83:K83"/>
    <mergeCell ref="K85:P85"/>
    <mergeCell ref="A85:C85"/>
    <mergeCell ref="D85:H85"/>
    <mergeCell ref="A8:A10"/>
    <mergeCell ref="B8:B10"/>
    <mergeCell ref="C8:D10"/>
    <mergeCell ref="E8:E10"/>
    <mergeCell ref="F8:F9"/>
    <mergeCell ref="G8:G9"/>
    <mergeCell ref="H8:H9"/>
    <mergeCell ref="H78:K78"/>
    <mergeCell ref="L78:O80"/>
    <mergeCell ref="H79:K79"/>
    <mergeCell ref="H80:K80"/>
    <mergeCell ref="B81:E81"/>
    <mergeCell ref="F81:G81"/>
  </mergeCells>
  <phoneticPr fontId="12" type="noConversion"/>
  <conditionalFormatting sqref="O11:O75">
    <cfRule type="cellIs" dxfId="2" priority="1" stopIfTrue="1" operator="lessThan">
      <formula>4</formula>
    </cfRule>
  </conditionalFormatting>
  <printOptions horizontalCentered="1"/>
  <pageMargins left="0" right="0" top="0.25" bottom="0.25" header="0.25" footer="0.25"/>
  <pageSetup paperSize="9" scale="90" orientation="portrait" horizontalDpi="1200" verticalDpi="1200" r:id="rId1"/>
  <headerFooter alignWithMargins="0"/>
</worksheet>
</file>

<file path=xl/worksheets/sheet18.xml><?xml version="1.0" encoding="utf-8"?>
<worksheet xmlns="http://schemas.openxmlformats.org/spreadsheetml/2006/main" xmlns:r="http://schemas.openxmlformats.org/officeDocument/2006/relationships">
  <sheetPr codeName="Sheet15"/>
  <dimension ref="A1:P91"/>
  <sheetViews>
    <sheetView topLeftCell="A28" workbookViewId="0">
      <selection activeCell="R53" sqref="R53"/>
    </sheetView>
  </sheetViews>
  <sheetFormatPr defaultRowHeight="12.75"/>
  <cols>
    <col min="1" max="1" width="4.28515625" style="5" customWidth="1"/>
    <col min="2" max="2" width="14.7109375" style="5" customWidth="1"/>
    <col min="3" max="3" width="19.140625" style="5" bestFit="1" customWidth="1"/>
    <col min="4" max="4" width="8.140625" style="5" bestFit="1" customWidth="1"/>
    <col min="5" max="5" width="6" style="5" bestFit="1" customWidth="1"/>
    <col min="6" max="9" width="5" style="5" bestFit="1" customWidth="1"/>
    <col min="10" max="10" width="5.42578125" style="5" bestFit="1" customWidth="1"/>
    <col min="11" max="14" width="5" style="5" bestFit="1" customWidth="1"/>
    <col min="15" max="15" width="6.140625" style="5" bestFit="1" customWidth="1"/>
    <col min="16" max="16" width="4.5703125" style="5" hidden="1" customWidth="1"/>
    <col min="17" max="16384" width="9.140625" style="5"/>
  </cols>
  <sheetData>
    <row r="1" spans="1:16" s="38" customFormat="1" ht="15">
      <c r="A1" s="809" t="s">
        <v>1295</v>
      </c>
      <c r="B1" s="809"/>
      <c r="C1" s="809"/>
      <c r="D1" s="809"/>
      <c r="E1" s="809"/>
      <c r="F1" s="809"/>
      <c r="G1" s="807" t="s">
        <v>1296</v>
      </c>
      <c r="H1" s="807"/>
      <c r="I1" s="807"/>
      <c r="J1" s="807"/>
      <c r="K1" s="807"/>
      <c r="L1" s="807"/>
      <c r="M1" s="807"/>
      <c r="N1" s="807"/>
      <c r="O1" s="807"/>
    </row>
    <row r="2" spans="1:16" s="38" customFormat="1" ht="14.25">
      <c r="A2" s="807" t="s">
        <v>1297</v>
      </c>
      <c r="B2" s="807"/>
      <c r="C2" s="807"/>
      <c r="D2" s="807"/>
      <c r="E2" s="807"/>
      <c r="F2" s="807"/>
      <c r="G2" s="807" t="s">
        <v>1298</v>
      </c>
      <c r="H2" s="807"/>
      <c r="I2" s="807"/>
      <c r="J2" s="807"/>
      <c r="K2" s="807"/>
      <c r="L2" s="807"/>
      <c r="M2" s="807"/>
      <c r="N2" s="807"/>
      <c r="O2" s="807"/>
    </row>
    <row r="3" spans="1:16" s="38" customFormat="1" ht="15.75">
      <c r="A3" s="810" t="s">
        <v>1299</v>
      </c>
      <c r="B3" s="810"/>
      <c r="C3" s="810"/>
      <c r="D3" s="810"/>
      <c r="E3" s="810"/>
      <c r="F3" s="810"/>
      <c r="G3" s="808" t="s">
        <v>1299</v>
      </c>
      <c r="H3" s="808"/>
      <c r="I3" s="808"/>
      <c r="J3" s="808"/>
      <c r="K3" s="808"/>
      <c r="L3" s="808"/>
      <c r="M3" s="808"/>
      <c r="N3" s="808"/>
      <c r="O3" s="808"/>
    </row>
    <row r="4" spans="1:16" ht="18.75">
      <c r="A4" s="786" t="s">
        <v>1300</v>
      </c>
      <c r="B4" s="786"/>
      <c r="C4" s="786"/>
      <c r="D4" s="786"/>
      <c r="E4" s="786"/>
      <c r="F4" s="786"/>
      <c r="G4" s="786"/>
      <c r="H4" s="786"/>
      <c r="I4" s="786"/>
      <c r="J4" s="786"/>
      <c r="K4" s="786"/>
      <c r="L4" s="786"/>
      <c r="M4" s="786"/>
      <c r="N4" s="786"/>
      <c r="O4" s="786"/>
    </row>
    <row r="5" spans="1:16" ht="18.75">
      <c r="A5" s="786"/>
      <c r="B5" s="786"/>
      <c r="C5" s="786"/>
      <c r="D5" s="786"/>
      <c r="E5" s="786"/>
      <c r="F5" s="786"/>
      <c r="G5" s="786"/>
      <c r="H5" s="786"/>
      <c r="I5" s="786"/>
      <c r="J5" s="786"/>
      <c r="K5" s="786"/>
      <c r="L5" s="786"/>
      <c r="M5" s="786"/>
      <c r="N5" s="786"/>
      <c r="O5" s="786"/>
    </row>
    <row r="6" spans="1:16" s="81" customFormat="1" ht="15">
      <c r="B6" s="82" t="s">
        <v>1509</v>
      </c>
      <c r="C6" s="780" t="str">
        <f>IF(M6="","",IF(VLOOKUP(M6,'LOP-MON'!$C$2:$N$55,11,FALSE)=0,"",VLOOKUP(M6,'LOP-MON'!$C$2:$N$55,11,FALSE)))</f>
        <v xml:space="preserve">Thực tập Điện tử cơ bản </v>
      </c>
      <c r="D6" s="780"/>
      <c r="E6" s="780"/>
      <c r="F6" s="780"/>
      <c r="G6" s="781" t="s">
        <v>1532</v>
      </c>
      <c r="H6" s="781"/>
      <c r="I6" s="781"/>
      <c r="J6" s="83">
        <f>IF(M6="","",IF(VLOOKUP(CONCATENATE("TC",MID(M6,1,4),MID(M6,6,3)),'LOP-MON'!$C$2:$N$55,11,FALSE)=0,"",VLOOKUP(CONCATENATE("TC",MID(M6,1,4),MID(M6,6,3)),'LOP-MON'!$C$2:$N$55,11,FALSE)))</f>
        <v>2</v>
      </c>
      <c r="K6" s="779" t="s">
        <v>1424</v>
      </c>
      <c r="L6" s="779"/>
      <c r="M6" s="780" t="str">
        <f>HKI!$D$3</f>
        <v>13CĐ-Đ1</v>
      </c>
      <c r="N6" s="780"/>
      <c r="O6" s="780"/>
    </row>
    <row r="7" spans="1:16" s="86" customFormat="1" ht="15">
      <c r="C7" s="45" t="s">
        <v>1510</v>
      </c>
      <c r="D7" s="45" t="s">
        <v>1511</v>
      </c>
      <c r="E7" s="87"/>
      <c r="G7" s="790" t="s">
        <v>1512</v>
      </c>
      <c r="H7" s="790"/>
      <c r="I7" s="790"/>
      <c r="J7" s="790" t="s">
        <v>90</v>
      </c>
      <c r="K7" s="790"/>
      <c r="L7" s="790"/>
      <c r="O7" s="88"/>
      <c r="P7" s="88"/>
    </row>
    <row r="8" spans="1:16" s="112" customFormat="1" ht="15.75">
      <c r="A8" s="812" t="s">
        <v>1514</v>
      </c>
      <c r="B8" s="812" t="s">
        <v>1425</v>
      </c>
      <c r="C8" s="815" t="s">
        <v>1426</v>
      </c>
      <c r="D8" s="816"/>
      <c r="E8" s="798" t="s">
        <v>1518</v>
      </c>
      <c r="F8" s="822" t="s">
        <v>1301</v>
      </c>
      <c r="G8" s="823"/>
      <c r="H8" s="823"/>
      <c r="I8" s="823"/>
      <c r="J8" s="823"/>
      <c r="K8" s="823"/>
      <c r="L8" s="823"/>
      <c r="M8" s="823"/>
      <c r="N8" s="824"/>
      <c r="O8" s="812" t="s">
        <v>1520</v>
      </c>
      <c r="P8" s="811" t="s">
        <v>1517</v>
      </c>
    </row>
    <row r="9" spans="1:16" s="112" customFormat="1" ht="15.75">
      <c r="A9" s="813"/>
      <c r="B9" s="813"/>
      <c r="C9" s="817"/>
      <c r="D9" s="818"/>
      <c r="E9" s="799"/>
      <c r="F9" s="821" t="s">
        <v>1302</v>
      </c>
      <c r="G9" s="821" t="s">
        <v>1303</v>
      </c>
      <c r="H9" s="821" t="s">
        <v>1304</v>
      </c>
      <c r="I9" s="821" t="s">
        <v>1305</v>
      </c>
      <c r="J9" s="821" t="s">
        <v>1306</v>
      </c>
      <c r="K9" s="821" t="s">
        <v>1307</v>
      </c>
      <c r="L9" s="821" t="s">
        <v>1308</v>
      </c>
      <c r="M9" s="821" t="s">
        <v>1309</v>
      </c>
      <c r="N9" s="821" t="s">
        <v>1310</v>
      </c>
      <c r="O9" s="813"/>
      <c r="P9" s="811"/>
    </row>
    <row r="10" spans="1:16">
      <c r="A10" s="814"/>
      <c r="B10" s="814"/>
      <c r="C10" s="819"/>
      <c r="D10" s="820"/>
      <c r="E10" s="800"/>
      <c r="F10" s="821"/>
      <c r="G10" s="821"/>
      <c r="H10" s="821"/>
      <c r="I10" s="821"/>
      <c r="J10" s="821"/>
      <c r="K10" s="821"/>
      <c r="L10" s="821"/>
      <c r="M10" s="821"/>
      <c r="N10" s="821"/>
      <c r="O10" s="814"/>
      <c r="P10" s="811"/>
    </row>
    <row r="11" spans="1:16" ht="15">
      <c r="A11" s="2">
        <f>IF(OR($C$6="",$J$6="",M6=""),"",IF(B11="","",SUBTOTAL(3,$B$11:B11)))</f>
        <v>1</v>
      </c>
      <c r="B11" s="90" t="str">
        <f>IF(OR($C$6="",$J$6="",$M$6=""),"",IF(HKI!B11="","",HKI!B11))</f>
        <v>13D301Đ001</v>
      </c>
      <c r="C11" s="91" t="str">
        <f>IF($B11="","",VLOOKUP($B11,'DS LOP HKI'!$B$2:$F$2642,2,0))</f>
        <v>Lương Hoàng Thuận</v>
      </c>
      <c r="D11" s="92" t="str">
        <f>IF($B11="","",VLOOKUP($B11,'DS LOP HKI'!$B$2:$F$2642,3,0))</f>
        <v>An</v>
      </c>
      <c r="E11" s="143"/>
      <c r="F11" s="201">
        <v>7</v>
      </c>
      <c r="G11" s="201">
        <v>7</v>
      </c>
      <c r="H11" s="201">
        <v>7</v>
      </c>
      <c r="I11" s="201">
        <v>4</v>
      </c>
      <c r="J11" s="201"/>
      <c r="K11" s="201"/>
      <c r="L11" s="201"/>
      <c r="M11" s="111"/>
      <c r="N11" s="201"/>
      <c r="O11" s="145">
        <f>IF(OR(B11="",$C$6="",$J$6="",$M$6=""),"",IF(ISNUMBER(E11)=TRUE,E11,IF(COUNT(F11:N11)=0,"",ROUND(SUM(F11:N11)/COUNT(F11:N11),1))))</f>
        <v>6.3</v>
      </c>
      <c r="P11" s="113" t="str">
        <f>IF(OR(B11="",$C$6="",$J$6="",$M$6=""),"",IF(O11="","KXL",IF(O11&lt;4,"Kém",IF(O11&lt;5.5,"TBY",IF(O11&lt;7,"TB",IF(O11&lt;8.5,"Khá","Giỏi"))))))</f>
        <v>TB</v>
      </c>
    </row>
    <row r="12" spans="1:16" ht="15">
      <c r="A12" s="2">
        <f>IF(OR($C$6="",$J$6=""),"",IF(B12="","",SUBTOTAL(3,$B$11:B12)))</f>
        <v>2</v>
      </c>
      <c r="B12" s="90" t="str">
        <f>IF(OR($C$6="",$J$6="",$M$6=""),"",IF(HKI!B12="","",HKI!B12))</f>
        <v>13D301Đ009</v>
      </c>
      <c r="C12" s="91" t="str">
        <f>IF($B12="","",VLOOKUP($B12,'DS LOP HKI'!$B$2:$F$2642,2,0))</f>
        <v>Võ Thành</v>
      </c>
      <c r="D12" s="92" t="str">
        <f>IF($B12="","",VLOOKUP($B12,'DS LOP HKI'!$B$2:$F$2642,3,0))</f>
        <v>Bảo</v>
      </c>
      <c r="E12" s="143"/>
      <c r="F12" s="201">
        <v>5</v>
      </c>
      <c r="G12" s="201">
        <v>6</v>
      </c>
      <c r="H12" s="201">
        <v>5</v>
      </c>
      <c r="I12" s="201">
        <v>4</v>
      </c>
      <c r="J12" s="201"/>
      <c r="K12" s="201"/>
      <c r="L12" s="201"/>
      <c r="M12" s="111"/>
      <c r="N12" s="201"/>
      <c r="O12" s="145">
        <f t="shared" ref="O12:O75" si="0">IF(OR(B12="",$C$6="",$J$6="",$M$6=""),"",IF(ISNUMBER(E12)=TRUE,E12,IF(COUNT(F12:N12)=0,"",ROUND(SUM(F12:N12)/COUNT(F12:N12),1))))</f>
        <v>5</v>
      </c>
      <c r="P12" s="113" t="str">
        <f t="shared" ref="P12:P75" si="1">IF(OR(B12="",$C$6="",$J$6="",$M$6=""),"",IF(O12="","KXL",IF(O12&lt;4,"Kém",IF(O12&lt;5.5,"TBY",IF(O12&lt;7,"TB",IF(O12&lt;8.5,"Khá","Giỏi"))))))</f>
        <v>TBY</v>
      </c>
    </row>
    <row r="13" spans="1:16" ht="15">
      <c r="A13" s="2">
        <f>IF(OR($C$6="",$J$6=""),"",IF(B13="","",SUBTOTAL(3,$B$11:B13)))</f>
        <v>3</v>
      </c>
      <c r="B13" s="90" t="str">
        <f>IF(OR($C$6="",$J$6="",$M$6=""),"",IF(HKI!B13="","",HKI!B13))</f>
        <v>13D301Đ013</v>
      </c>
      <c r="C13" s="91" t="str">
        <f>IF($B13="","",VLOOKUP($B13,'DS LOP HKI'!$B$2:$F$2642,2,0))</f>
        <v>Nguyễn Chí</v>
      </c>
      <c r="D13" s="92" t="str">
        <f>IF($B13="","",VLOOKUP($B13,'DS LOP HKI'!$B$2:$F$2642,3,0))</f>
        <v>Bình</v>
      </c>
      <c r="E13" s="143"/>
      <c r="F13" s="201">
        <v>7</v>
      </c>
      <c r="G13" s="201">
        <v>6</v>
      </c>
      <c r="H13" s="201">
        <v>4</v>
      </c>
      <c r="I13" s="201">
        <v>4</v>
      </c>
      <c r="J13" s="201"/>
      <c r="K13" s="201"/>
      <c r="L13" s="201"/>
      <c r="M13" s="111"/>
      <c r="N13" s="201"/>
      <c r="O13" s="145">
        <f t="shared" si="0"/>
        <v>5.3</v>
      </c>
      <c r="P13" s="113" t="str">
        <f t="shared" si="1"/>
        <v>TBY</v>
      </c>
    </row>
    <row r="14" spans="1:16" ht="15">
      <c r="A14" s="2">
        <f>IF(OR($C$6="",$J$6=""),"",IF(B14="","",SUBTOTAL(3,$B$11:B14)))</f>
        <v>4</v>
      </c>
      <c r="B14" s="90" t="str">
        <f>IF(OR($C$6="",$J$6="",$M$6=""),"",IF(HKI!B14="","",HKI!B14))</f>
        <v>13D301Đ017</v>
      </c>
      <c r="C14" s="91" t="str">
        <f>IF($B14="","",VLOOKUP($B14,'DS LOP HKI'!$B$2:$F$2642,2,0))</f>
        <v>Trần Văn</v>
      </c>
      <c r="D14" s="92" t="str">
        <f>IF($B14="","",VLOOKUP($B14,'DS LOP HKI'!$B$2:$F$2642,3,0))</f>
        <v>Chinh</v>
      </c>
      <c r="E14" s="143"/>
      <c r="F14" s="201">
        <v>7</v>
      </c>
      <c r="G14" s="201">
        <v>7</v>
      </c>
      <c r="H14" s="201">
        <v>5</v>
      </c>
      <c r="I14" s="201">
        <v>7</v>
      </c>
      <c r="J14" s="201"/>
      <c r="K14" s="201"/>
      <c r="L14" s="201"/>
      <c r="M14" s="111"/>
      <c r="N14" s="201"/>
      <c r="O14" s="145">
        <f t="shared" si="0"/>
        <v>6.5</v>
      </c>
      <c r="P14" s="113" t="str">
        <f t="shared" si="1"/>
        <v>TB</v>
      </c>
    </row>
    <row r="15" spans="1:16" ht="15">
      <c r="A15" s="2">
        <f>IF(OR($C$6="",$J$6=""),"",IF(B15="","",SUBTOTAL(3,$B$11:B15)))</f>
        <v>5</v>
      </c>
      <c r="B15" s="90" t="str">
        <f>IF(OR($C$6="",$J$6="",$M$6=""),"",IF(HKI!B15="","",HKI!B15))</f>
        <v>13D301Đ021</v>
      </c>
      <c r="C15" s="91" t="str">
        <f>IF($B15="","",VLOOKUP($B15,'DS LOP HKI'!$B$2:$F$2642,2,0))</f>
        <v>Nguyễn Chí</v>
      </c>
      <c r="D15" s="92" t="str">
        <f>IF($B15="","",VLOOKUP($B15,'DS LOP HKI'!$B$2:$F$2642,3,0))</f>
        <v>Cường</v>
      </c>
      <c r="E15" s="143"/>
      <c r="F15" s="201">
        <v>7</v>
      </c>
      <c r="G15" s="201">
        <v>7</v>
      </c>
      <c r="H15" s="201">
        <v>3</v>
      </c>
      <c r="I15" s="201">
        <v>5</v>
      </c>
      <c r="J15" s="201"/>
      <c r="K15" s="201"/>
      <c r="L15" s="201"/>
      <c r="M15" s="111"/>
      <c r="N15" s="201"/>
      <c r="O15" s="145">
        <f t="shared" si="0"/>
        <v>5.5</v>
      </c>
      <c r="P15" s="113" t="str">
        <f t="shared" si="1"/>
        <v>TB</v>
      </c>
    </row>
    <row r="16" spans="1:16" ht="15">
      <c r="A16" s="2">
        <f>IF(OR($C$6="",$J$6=""),"",IF(B16="","",SUBTOTAL(3,$B$11:B16)))</f>
        <v>6</v>
      </c>
      <c r="B16" s="90" t="str">
        <f>IF(OR($C$6="",$J$6="",$M$6=""),"",IF(HKI!B16="","",HKI!B16))</f>
        <v>13D301Đ025</v>
      </c>
      <c r="C16" s="91" t="str">
        <f>IF($B16="","",VLOOKUP($B16,'DS LOP HKI'!$B$2:$F$2642,2,0))</f>
        <v>Nguyễn Ngọc</v>
      </c>
      <c r="D16" s="92" t="str">
        <f>IF($B16="","",VLOOKUP($B16,'DS LOP HKI'!$B$2:$F$2642,3,0))</f>
        <v>Dũng</v>
      </c>
      <c r="E16" s="143"/>
      <c r="F16" s="201">
        <v>8</v>
      </c>
      <c r="G16" s="201">
        <v>5</v>
      </c>
      <c r="H16" s="201">
        <v>6</v>
      </c>
      <c r="I16" s="201">
        <v>7</v>
      </c>
      <c r="J16" s="201"/>
      <c r="K16" s="201"/>
      <c r="L16" s="201"/>
      <c r="M16" s="111"/>
      <c r="N16" s="201"/>
      <c r="O16" s="145">
        <f t="shared" si="0"/>
        <v>6.5</v>
      </c>
      <c r="P16" s="113" t="str">
        <f t="shared" si="1"/>
        <v>TB</v>
      </c>
    </row>
    <row r="17" spans="1:16" ht="15">
      <c r="A17" s="2">
        <f>IF(OR($C$6="",$J$6=""),"",IF(B17="","",SUBTOTAL(3,$B$11:B17)))</f>
        <v>7</v>
      </c>
      <c r="B17" s="90" t="str">
        <f>IF(OR($C$6="",$J$6="",$M$6=""),"",IF(HKI!B17="","",HKI!B17))</f>
        <v>13D301Đ033</v>
      </c>
      <c r="C17" s="91" t="str">
        <f>IF($B17="","",VLOOKUP($B17,'DS LOP HKI'!$B$2:$F$2642,2,0))</f>
        <v xml:space="preserve">Trương Văn </v>
      </c>
      <c r="D17" s="92" t="str">
        <f>IF($B17="","",VLOOKUP($B17,'DS LOP HKI'!$B$2:$F$2642,3,0))</f>
        <v>Đạt</v>
      </c>
      <c r="E17" s="143"/>
      <c r="F17" s="201">
        <v>7</v>
      </c>
      <c r="G17" s="201">
        <v>5</v>
      </c>
      <c r="H17" s="201">
        <v>6</v>
      </c>
      <c r="I17" s="201">
        <v>6</v>
      </c>
      <c r="J17" s="201"/>
      <c r="K17" s="201"/>
      <c r="L17" s="201"/>
      <c r="M17" s="111"/>
      <c r="N17" s="201"/>
      <c r="O17" s="145">
        <f t="shared" si="0"/>
        <v>6</v>
      </c>
      <c r="P17" s="113" t="str">
        <f t="shared" si="1"/>
        <v>TB</v>
      </c>
    </row>
    <row r="18" spans="1:16" ht="15">
      <c r="A18" s="2">
        <f>IF(OR($C$6="",$J$6=""),"",IF(B18="","",SUBTOTAL(3,$B$11:B18)))</f>
        <v>8</v>
      </c>
      <c r="B18" s="90" t="str">
        <f>IF(OR($C$6="",$J$6="",$M$6=""),"",IF(HKI!B18="","",HKI!B18))</f>
        <v>13D301Đ037</v>
      </c>
      <c r="C18" s="91" t="str">
        <f>IF($B18="","",VLOOKUP($B18,'DS LOP HKI'!$B$2:$F$2642,2,0))</f>
        <v>Nguyễn Thành</v>
      </c>
      <c r="D18" s="92" t="str">
        <f>IF($B18="","",VLOOKUP($B18,'DS LOP HKI'!$B$2:$F$2642,3,0))</f>
        <v>Đông</v>
      </c>
      <c r="E18" s="143"/>
      <c r="F18" s="201">
        <v>7</v>
      </c>
      <c r="G18" s="201">
        <v>8</v>
      </c>
      <c r="H18" s="201">
        <v>7</v>
      </c>
      <c r="I18" s="201">
        <v>4</v>
      </c>
      <c r="J18" s="201"/>
      <c r="K18" s="201"/>
      <c r="L18" s="201"/>
      <c r="M18" s="111"/>
      <c r="N18" s="201"/>
      <c r="O18" s="145">
        <f t="shared" si="0"/>
        <v>6.5</v>
      </c>
      <c r="P18" s="113" t="str">
        <f t="shared" si="1"/>
        <v>TB</v>
      </c>
    </row>
    <row r="19" spans="1:16" ht="15">
      <c r="A19" s="2">
        <f>IF(OR($C$6="",$J$6=""),"",IF(B19="","",SUBTOTAL(3,$B$11:B19)))</f>
        <v>9</v>
      </c>
      <c r="B19" s="90" t="str">
        <f>IF(OR($C$6="",$J$6="",$M$6=""),"",IF(HKI!B19="","",HKI!B19))</f>
        <v>13D301Đ041</v>
      </c>
      <c r="C19" s="91" t="str">
        <f>IF($B19="","",VLOOKUP($B19,'DS LOP HKI'!$B$2:$F$2642,2,0))</f>
        <v>Lê Hoàng</v>
      </c>
      <c r="D19" s="92" t="str">
        <f>IF($B19="","",VLOOKUP($B19,'DS LOP HKI'!$B$2:$F$2642,3,0))</f>
        <v>Giang</v>
      </c>
      <c r="E19" s="143"/>
      <c r="F19" s="201">
        <v>6</v>
      </c>
      <c r="G19" s="201">
        <v>6</v>
      </c>
      <c r="H19" s="201">
        <v>3</v>
      </c>
      <c r="I19" s="201">
        <v>3</v>
      </c>
      <c r="J19" s="201"/>
      <c r="K19" s="201"/>
      <c r="L19" s="201"/>
      <c r="M19" s="111"/>
      <c r="N19" s="201"/>
      <c r="O19" s="145">
        <f t="shared" si="0"/>
        <v>4.5</v>
      </c>
      <c r="P19" s="113" t="str">
        <f t="shared" si="1"/>
        <v>TBY</v>
      </c>
    </row>
    <row r="20" spans="1:16" ht="15">
      <c r="A20" s="2">
        <f>IF(OR($C$6="",$J$6=""),"",IF(B20="","",SUBTOTAL(3,$B$11:B20)))</f>
        <v>10</v>
      </c>
      <c r="B20" s="90" t="str">
        <f>IF(OR($C$6="",$J$6="",$M$6=""),"",IF(HKI!B20="","",HKI!B20))</f>
        <v>13D301Đ045</v>
      </c>
      <c r="C20" s="91" t="str">
        <f>IF($B20="","",VLOOKUP($B20,'DS LOP HKI'!$B$2:$F$2642,2,0))</f>
        <v>Lê Công</v>
      </c>
      <c r="D20" s="92" t="str">
        <f>IF($B20="","",VLOOKUP($B20,'DS LOP HKI'!$B$2:$F$2642,3,0))</f>
        <v>Hậu</v>
      </c>
      <c r="E20" s="143"/>
      <c r="F20" s="201">
        <v>7</v>
      </c>
      <c r="G20" s="201">
        <v>7</v>
      </c>
      <c r="H20" s="201">
        <v>7</v>
      </c>
      <c r="I20" s="201">
        <v>6</v>
      </c>
      <c r="J20" s="201"/>
      <c r="K20" s="201"/>
      <c r="L20" s="201"/>
      <c r="M20" s="111"/>
      <c r="N20" s="201"/>
      <c r="O20" s="145">
        <f t="shared" si="0"/>
        <v>6.8</v>
      </c>
      <c r="P20" s="113" t="str">
        <f t="shared" si="1"/>
        <v>TB</v>
      </c>
    </row>
    <row r="21" spans="1:16" ht="15">
      <c r="A21" s="2">
        <f>IF(OR($C$6="",$J$6=""),"",IF(B21="","",SUBTOTAL(3,$B$11:B21)))</f>
        <v>11</v>
      </c>
      <c r="B21" s="90" t="str">
        <f>IF(OR($C$6="",$J$6="",$M$6=""),"",IF(HKI!B21="","",HKI!B21))</f>
        <v>13D301Đ049</v>
      </c>
      <c r="C21" s="91" t="str">
        <f>IF($B21="","",VLOOKUP($B21,'DS LOP HKI'!$B$2:$F$2642,2,0))</f>
        <v>Lê Minh</v>
      </c>
      <c r="D21" s="92" t="str">
        <f>IF($B21="","",VLOOKUP($B21,'DS LOP HKI'!$B$2:$F$2642,3,0))</f>
        <v>Hiếu</v>
      </c>
      <c r="E21" s="143"/>
      <c r="F21" s="201">
        <v>6</v>
      </c>
      <c r="G21" s="201">
        <v>6</v>
      </c>
      <c r="H21" s="201">
        <v>6</v>
      </c>
      <c r="I21" s="201">
        <v>2</v>
      </c>
      <c r="J21" s="201"/>
      <c r="K21" s="201"/>
      <c r="L21" s="201"/>
      <c r="M21" s="111"/>
      <c r="N21" s="201"/>
      <c r="O21" s="145">
        <f t="shared" si="0"/>
        <v>5</v>
      </c>
      <c r="P21" s="113" t="str">
        <f t="shared" si="1"/>
        <v>TBY</v>
      </c>
    </row>
    <row r="22" spans="1:16" ht="15">
      <c r="A22" s="2">
        <f>IF(OR($C$6="",$J$6=""),"",IF(B22="","",SUBTOTAL(3,$B$11:B22)))</f>
        <v>12</v>
      </c>
      <c r="B22" s="90" t="str">
        <f>IF(OR($C$6="",$J$6="",$M$6=""),"",IF(HKI!B22="","",HKI!B22))</f>
        <v>13D301Đ053</v>
      </c>
      <c r="C22" s="91" t="str">
        <f>IF($B22="","",VLOOKUP($B22,'DS LOP HKI'!$B$2:$F$2642,2,0))</f>
        <v>Nguyễn Ngọc</v>
      </c>
      <c r="D22" s="92" t="str">
        <f>IF($B22="","",VLOOKUP($B22,'DS LOP HKI'!$B$2:$F$2642,3,0))</f>
        <v>Hoài</v>
      </c>
      <c r="E22" s="143"/>
      <c r="F22" s="201">
        <v>8</v>
      </c>
      <c r="G22" s="201">
        <v>7</v>
      </c>
      <c r="H22" s="201">
        <v>6</v>
      </c>
      <c r="I22" s="201">
        <v>7</v>
      </c>
      <c r="J22" s="201"/>
      <c r="K22" s="201"/>
      <c r="L22" s="201"/>
      <c r="M22" s="111"/>
      <c r="N22" s="201"/>
      <c r="O22" s="145">
        <f t="shared" si="0"/>
        <v>7</v>
      </c>
      <c r="P22" s="113" t="str">
        <f t="shared" si="1"/>
        <v>Khá</v>
      </c>
    </row>
    <row r="23" spans="1:16" ht="15">
      <c r="A23" s="2">
        <f>IF(OR($C$6="",$J$6=""),"",IF(B23="","",SUBTOTAL(3,$B$11:B23)))</f>
        <v>13</v>
      </c>
      <c r="B23" s="90" t="str">
        <f>IF(OR($C$6="",$J$6="",$M$6=""),"",IF(HKI!B23="","",HKI!B23))</f>
        <v>13D301Đ057</v>
      </c>
      <c r="C23" s="91" t="str">
        <f>IF($B23="","",VLOOKUP($B23,'DS LOP HKI'!$B$2:$F$2642,2,0))</f>
        <v>Trịnh Thanh</v>
      </c>
      <c r="D23" s="92" t="str">
        <f>IF($B23="","",VLOOKUP($B23,'DS LOP HKI'!$B$2:$F$2642,3,0))</f>
        <v>Hoàng</v>
      </c>
      <c r="E23" s="143"/>
      <c r="F23" s="201">
        <v>8</v>
      </c>
      <c r="G23" s="201">
        <v>6</v>
      </c>
      <c r="H23" s="201">
        <v>5</v>
      </c>
      <c r="I23" s="201">
        <v>4</v>
      </c>
      <c r="J23" s="201"/>
      <c r="K23" s="201"/>
      <c r="L23" s="201"/>
      <c r="M23" s="111"/>
      <c r="N23" s="201"/>
      <c r="O23" s="145">
        <f t="shared" si="0"/>
        <v>5.8</v>
      </c>
      <c r="P23" s="113" t="str">
        <f t="shared" si="1"/>
        <v>TB</v>
      </c>
    </row>
    <row r="24" spans="1:16" ht="15">
      <c r="A24" s="2">
        <f>IF(OR($C$6="",$J$6=""),"",IF(B24="","",SUBTOTAL(3,$B$11:B24)))</f>
        <v>14</v>
      </c>
      <c r="B24" s="90" t="str">
        <f>IF(OR($C$6="",$J$6="",$M$6=""),"",IF(HKI!B24="","",HKI!B24))</f>
        <v>13D301Đ061</v>
      </c>
      <c r="C24" s="91" t="str">
        <f>IF($B24="","",VLOOKUP($B24,'DS LOP HKI'!$B$2:$F$2642,2,0))</f>
        <v>Huỳnh Thanh</v>
      </c>
      <c r="D24" s="92" t="str">
        <f>IF($B24="","",VLOOKUP($B24,'DS LOP HKI'!$B$2:$F$2642,3,0))</f>
        <v>Hùng</v>
      </c>
      <c r="E24" s="143"/>
      <c r="F24" s="201">
        <v>6</v>
      </c>
      <c r="G24" s="201">
        <v>6</v>
      </c>
      <c r="H24" s="201">
        <v>4</v>
      </c>
      <c r="I24" s="201">
        <v>5</v>
      </c>
      <c r="J24" s="201"/>
      <c r="K24" s="201"/>
      <c r="L24" s="201"/>
      <c r="M24" s="111"/>
      <c r="N24" s="201"/>
      <c r="O24" s="145">
        <f t="shared" si="0"/>
        <v>5.3</v>
      </c>
      <c r="P24" s="113" t="str">
        <f t="shared" si="1"/>
        <v>TBY</v>
      </c>
    </row>
    <row r="25" spans="1:16" ht="15">
      <c r="A25" s="2">
        <f>IF(OR($C$6="",$J$6=""),"",IF(B25="","",SUBTOTAL(3,$B$11:B25)))</f>
        <v>15</v>
      </c>
      <c r="B25" s="90" t="str">
        <f>IF(OR($C$6="",$J$6="",$M$6=""),"",IF(HKI!B25="","",HKI!B25))</f>
        <v>13D301Đ065</v>
      </c>
      <c r="C25" s="91" t="str">
        <f>IF($B25="","",VLOOKUP($B25,'DS LOP HKI'!$B$2:$F$2642,2,0))</f>
        <v>Đoàn Lê Xuân</v>
      </c>
      <c r="D25" s="92" t="str">
        <f>IF($B25="","",VLOOKUP($B25,'DS LOP HKI'!$B$2:$F$2642,3,0))</f>
        <v>Huy</v>
      </c>
      <c r="E25" s="143"/>
      <c r="F25" s="201">
        <v>7</v>
      </c>
      <c r="G25" s="201">
        <v>6</v>
      </c>
      <c r="H25" s="201">
        <v>6</v>
      </c>
      <c r="I25" s="201">
        <v>5</v>
      </c>
      <c r="J25" s="201"/>
      <c r="K25" s="201"/>
      <c r="L25" s="201"/>
      <c r="M25" s="111"/>
      <c r="N25" s="201"/>
      <c r="O25" s="145">
        <f t="shared" si="0"/>
        <v>6</v>
      </c>
      <c r="P25" s="113" t="str">
        <f t="shared" si="1"/>
        <v>TB</v>
      </c>
    </row>
    <row r="26" spans="1:16" ht="15">
      <c r="A26" s="2">
        <f>IF(OR($C$6="",$J$6=""),"",IF(B26="","",SUBTOTAL(3,$B$11:B26)))</f>
        <v>16</v>
      </c>
      <c r="B26" s="90" t="str">
        <f>IF(OR($C$6="",$J$6="",$M$6=""),"",IF(HKI!B26="","",HKI!B26))</f>
        <v>13D301Đ073</v>
      </c>
      <c r="C26" s="91" t="str">
        <f>IF($B26="","",VLOOKUP($B26,'DS LOP HKI'!$B$2:$F$2642,2,0))</f>
        <v>Trịnh Đại</v>
      </c>
      <c r="D26" s="92" t="str">
        <f>IF($B26="","",VLOOKUP($B26,'DS LOP HKI'!$B$2:$F$2642,3,0))</f>
        <v>Lăng</v>
      </c>
      <c r="E26" s="143"/>
      <c r="F26" s="201">
        <v>6</v>
      </c>
      <c r="G26" s="201">
        <v>4</v>
      </c>
      <c r="H26" s="201">
        <v>6</v>
      </c>
      <c r="I26" s="201">
        <v>2</v>
      </c>
      <c r="J26" s="201"/>
      <c r="K26" s="201"/>
      <c r="L26" s="201"/>
      <c r="M26" s="111"/>
      <c r="N26" s="201"/>
      <c r="O26" s="145">
        <f t="shared" si="0"/>
        <v>4.5</v>
      </c>
      <c r="P26" s="113" t="str">
        <f t="shared" si="1"/>
        <v>TBY</v>
      </c>
    </row>
    <row r="27" spans="1:16" ht="15">
      <c r="A27" s="2">
        <f>IF(OR($C$6="",$J$6=""),"",IF(B27="","",SUBTOTAL(3,$B$11:B27)))</f>
        <v>17</v>
      </c>
      <c r="B27" s="90" t="str">
        <f>IF(OR($C$6="",$J$6="",$M$6=""),"",IF(HKI!B27="","",HKI!B27))</f>
        <v>13D301Đ204</v>
      </c>
      <c r="C27" s="91" t="str">
        <f>IF($B27="","",VLOOKUP($B27,'DS LOP HKI'!$B$2:$F$2642,2,0))</f>
        <v>Nguyễn Khánh</v>
      </c>
      <c r="D27" s="92" t="str">
        <f>IF($B27="","",VLOOKUP($B27,'DS LOP HKI'!$B$2:$F$2642,3,0))</f>
        <v>Linh</v>
      </c>
      <c r="E27" s="143"/>
      <c r="F27" s="201">
        <v>8</v>
      </c>
      <c r="G27" s="201">
        <v>7</v>
      </c>
      <c r="H27" s="201">
        <v>7</v>
      </c>
      <c r="I27" s="201">
        <v>5</v>
      </c>
      <c r="J27" s="201"/>
      <c r="K27" s="201"/>
      <c r="L27" s="201"/>
      <c r="M27" s="111"/>
      <c r="N27" s="201"/>
      <c r="O27" s="145">
        <f t="shared" si="0"/>
        <v>6.8</v>
      </c>
      <c r="P27" s="113" t="str">
        <f t="shared" si="1"/>
        <v>TB</v>
      </c>
    </row>
    <row r="28" spans="1:16" ht="15">
      <c r="A28" s="2">
        <f>IF(OR($C$6="",$J$6=""),"",IF(B28="","",SUBTOTAL(3,$B$11:B28)))</f>
        <v>18</v>
      </c>
      <c r="B28" s="90" t="str">
        <f>IF(OR($C$6="",$J$6="",$M$6=""),"",IF(HKI!B28="","",HKI!B28))</f>
        <v>13D301Đ162</v>
      </c>
      <c r="C28" s="91" t="str">
        <f>IF($B28="","",VLOOKUP($B28,'DS LOP HKI'!$B$2:$F$2642,2,0))</f>
        <v>Đỗ Văn</v>
      </c>
      <c r="D28" s="92" t="str">
        <f>IF($B28="","",VLOOKUP($B28,'DS LOP HKI'!$B$2:$F$2642,3,0))</f>
        <v>Lượng</v>
      </c>
      <c r="E28" s="143"/>
      <c r="F28" s="201">
        <v>7</v>
      </c>
      <c r="G28" s="201">
        <v>6</v>
      </c>
      <c r="H28" s="201">
        <v>6</v>
      </c>
      <c r="I28" s="201">
        <v>5</v>
      </c>
      <c r="J28" s="201"/>
      <c r="K28" s="201"/>
      <c r="L28" s="201"/>
      <c r="M28" s="111"/>
      <c r="N28" s="201"/>
      <c r="O28" s="145">
        <f t="shared" si="0"/>
        <v>6</v>
      </c>
      <c r="P28" s="113" t="str">
        <f t="shared" si="1"/>
        <v>TB</v>
      </c>
    </row>
    <row r="29" spans="1:16" ht="15">
      <c r="A29" s="2">
        <f>IF(OR($C$6="",$J$6=""),"",IF(B29="","",SUBTOTAL(3,$B$11:B29)))</f>
        <v>19</v>
      </c>
      <c r="B29" s="90" t="str">
        <f>IF(OR($C$6="",$J$6="",$M$6=""),"",IF(HKI!B29="","",HKI!B29))</f>
        <v>13D301Đ081</v>
      </c>
      <c r="C29" s="91" t="str">
        <f>IF($B29="","",VLOOKUP($B29,'DS LOP HKI'!$B$2:$F$2642,2,0))</f>
        <v>Mai Đình</v>
      </c>
      <c r="D29" s="92" t="str">
        <f>IF($B29="","",VLOOKUP($B29,'DS LOP HKI'!$B$2:$F$2642,3,0))</f>
        <v>Luyện</v>
      </c>
      <c r="E29" s="143"/>
      <c r="F29" s="201">
        <v>6</v>
      </c>
      <c r="G29" s="201">
        <v>6</v>
      </c>
      <c r="H29" s="201">
        <v>4</v>
      </c>
      <c r="I29" s="201">
        <v>4</v>
      </c>
      <c r="J29" s="201"/>
      <c r="K29" s="201"/>
      <c r="L29" s="201"/>
      <c r="M29" s="111"/>
      <c r="N29" s="201"/>
      <c r="O29" s="145">
        <f t="shared" si="0"/>
        <v>5</v>
      </c>
      <c r="P29" s="113" t="str">
        <f t="shared" si="1"/>
        <v>TBY</v>
      </c>
    </row>
    <row r="30" spans="1:16" ht="15">
      <c r="A30" s="2">
        <f>IF(OR($C$6="",$J$6=""),"",IF(B30="","",SUBTOTAL(3,$B$11:B30)))</f>
        <v>20</v>
      </c>
      <c r="B30" s="90" t="str">
        <f>IF(OR($C$6="",$J$6="",$M$6=""),"",IF(HKI!B30="","",HKI!B30))</f>
        <v>13D301Đ085</v>
      </c>
      <c r="C30" s="91" t="str">
        <f>IF($B30="","",VLOOKUP($B30,'DS LOP HKI'!$B$2:$F$2642,2,0))</f>
        <v>Võ Hoài</v>
      </c>
      <c r="D30" s="92" t="str">
        <f>IF($B30="","",VLOOKUP($B30,'DS LOP HKI'!$B$2:$F$2642,3,0))</f>
        <v>Nam</v>
      </c>
      <c r="E30" s="143"/>
      <c r="F30" s="201">
        <v>7</v>
      </c>
      <c r="G30" s="201">
        <v>6</v>
      </c>
      <c r="H30" s="201">
        <v>6</v>
      </c>
      <c r="I30" s="201">
        <v>5</v>
      </c>
      <c r="J30" s="201"/>
      <c r="K30" s="201"/>
      <c r="L30" s="201"/>
      <c r="M30" s="111"/>
      <c r="N30" s="201"/>
      <c r="O30" s="145">
        <f t="shared" si="0"/>
        <v>6</v>
      </c>
      <c r="P30" s="113" t="str">
        <f t="shared" si="1"/>
        <v>TB</v>
      </c>
    </row>
    <row r="31" spans="1:16" ht="15">
      <c r="A31" s="2">
        <f>IF(OR($C$6="",$J$6=""),"",IF(B31="","",SUBTOTAL(3,$B$11:B31)))</f>
        <v>21</v>
      </c>
      <c r="B31" s="90" t="str">
        <f>IF(OR($C$6="",$J$6="",$M$6=""),"",IF(HKI!B31="","",HKI!B31))</f>
        <v>13D301Đ089</v>
      </c>
      <c r="C31" s="91" t="str">
        <f>IF($B31="","",VLOOKUP($B31,'DS LOP HKI'!$B$2:$F$2642,2,0))</f>
        <v>Nguyễn Hữu</v>
      </c>
      <c r="D31" s="92" t="str">
        <f>IF($B31="","",VLOOKUP($B31,'DS LOP HKI'!$B$2:$F$2642,3,0))</f>
        <v>Nghĩa</v>
      </c>
      <c r="E31" s="143"/>
      <c r="F31" s="201">
        <v>8</v>
      </c>
      <c r="G31" s="201">
        <v>7</v>
      </c>
      <c r="H31" s="201">
        <v>7</v>
      </c>
      <c r="I31" s="201">
        <v>5</v>
      </c>
      <c r="J31" s="201"/>
      <c r="K31" s="201"/>
      <c r="L31" s="201"/>
      <c r="M31" s="111"/>
      <c r="N31" s="201"/>
      <c r="O31" s="145">
        <f t="shared" si="0"/>
        <v>6.8</v>
      </c>
      <c r="P31" s="113" t="str">
        <f t="shared" si="1"/>
        <v>TB</v>
      </c>
    </row>
    <row r="32" spans="1:16" ht="15">
      <c r="A32" s="2">
        <f>IF(OR($C$6="",$J$6=""),"",IF(B32="","",SUBTOTAL(3,$B$11:B32)))</f>
        <v>22</v>
      </c>
      <c r="B32" s="90" t="str">
        <f>IF(OR($C$6="",$J$6="",$M$6=""),"",IF(HKI!B32="","",HKI!B32))</f>
        <v>13D301Đ097</v>
      </c>
      <c r="C32" s="91" t="str">
        <f>IF($B32="","",VLOOKUP($B32,'DS LOP HKI'!$B$2:$F$2642,2,0))</f>
        <v>Nguyễn Thành</v>
      </c>
      <c r="D32" s="92" t="str">
        <f>IF($B32="","",VLOOKUP($B32,'DS LOP HKI'!$B$2:$F$2642,3,0))</f>
        <v>Phát</v>
      </c>
      <c r="E32" s="143"/>
      <c r="F32" s="201">
        <v>7</v>
      </c>
      <c r="G32" s="201">
        <v>7</v>
      </c>
      <c r="H32" s="201">
        <v>9</v>
      </c>
      <c r="I32" s="201">
        <v>8</v>
      </c>
      <c r="J32" s="201"/>
      <c r="K32" s="201"/>
      <c r="L32" s="201"/>
      <c r="M32" s="111"/>
      <c r="N32" s="201"/>
      <c r="O32" s="145">
        <f t="shared" si="0"/>
        <v>7.8</v>
      </c>
      <c r="P32" s="113" t="str">
        <f t="shared" si="1"/>
        <v>Khá</v>
      </c>
    </row>
    <row r="33" spans="1:16" ht="15">
      <c r="A33" s="2">
        <f>IF(OR($C$6="",$J$6=""),"",IF(B33="","",SUBTOTAL(3,$B$11:B33)))</f>
        <v>23</v>
      </c>
      <c r="B33" s="90" t="str">
        <f>IF(OR($C$6="",$J$6="",$M$6=""),"",IF(HKI!B33="","",HKI!B33))</f>
        <v>13D301Đ101</v>
      </c>
      <c r="C33" s="91" t="str">
        <f>IF($B33="","",VLOOKUP($B33,'DS LOP HKI'!$B$2:$F$2642,2,0))</f>
        <v>Huỳnh Thanh</v>
      </c>
      <c r="D33" s="92" t="str">
        <f>IF($B33="","",VLOOKUP($B33,'DS LOP HKI'!$B$2:$F$2642,3,0))</f>
        <v>Phú</v>
      </c>
      <c r="E33" s="143"/>
      <c r="F33" s="201">
        <v>4</v>
      </c>
      <c r="G33" s="201">
        <v>6</v>
      </c>
      <c r="H33" s="201">
        <v>7</v>
      </c>
      <c r="I33" s="201">
        <v>6</v>
      </c>
      <c r="J33" s="201"/>
      <c r="K33" s="201"/>
      <c r="L33" s="201"/>
      <c r="M33" s="111"/>
      <c r="N33" s="201"/>
      <c r="O33" s="145">
        <f t="shared" si="0"/>
        <v>5.8</v>
      </c>
      <c r="P33" s="113" t="str">
        <f t="shared" si="1"/>
        <v>TB</v>
      </c>
    </row>
    <row r="34" spans="1:16" ht="15">
      <c r="A34" s="2">
        <f>IF(OR($C$6="",$J$6=""),"",IF(B34="","",SUBTOTAL(3,$B$11:B34)))</f>
        <v>24</v>
      </c>
      <c r="B34" s="90" t="str">
        <f>IF(OR($C$6="",$J$6="",$M$6=""),"",IF(HKI!B34="","",HKI!B34))</f>
        <v>13D301Đ117</v>
      </c>
      <c r="C34" s="91" t="str">
        <f>IF($B34="","",VLOOKUP($B34,'DS LOP HKI'!$B$2:$F$2642,2,0))</f>
        <v>Trịnh Ngọc</v>
      </c>
      <c r="D34" s="92" t="str">
        <f>IF($B34="","",VLOOKUP($B34,'DS LOP HKI'!$B$2:$F$2642,3,0))</f>
        <v>Sơn</v>
      </c>
      <c r="E34" s="143"/>
      <c r="F34" s="201">
        <v>6</v>
      </c>
      <c r="G34" s="201">
        <v>6</v>
      </c>
      <c r="H34" s="201">
        <v>8</v>
      </c>
      <c r="I34" s="201">
        <v>7</v>
      </c>
      <c r="J34" s="201"/>
      <c r="K34" s="201"/>
      <c r="L34" s="201"/>
      <c r="M34" s="111"/>
      <c r="N34" s="201"/>
      <c r="O34" s="145">
        <f t="shared" si="0"/>
        <v>6.8</v>
      </c>
      <c r="P34" s="113" t="str">
        <f t="shared" si="1"/>
        <v>TB</v>
      </c>
    </row>
    <row r="35" spans="1:16" ht="15">
      <c r="A35" s="2">
        <f>IF(OR($C$6="",$J$6=""),"",IF(B35="","",SUBTOTAL(3,$B$11:B35)))</f>
        <v>25</v>
      </c>
      <c r="B35" s="90" t="str">
        <f>IF(OR($C$6="",$J$6="",$M$6=""),"",IF(HKI!B35="","",HKI!B35))</f>
        <v>13D301Đ121</v>
      </c>
      <c r="C35" s="91" t="str">
        <f>IF($B35="","",VLOOKUP($B35,'DS LOP HKI'!$B$2:$F$2642,2,0))</f>
        <v>Lê Minh</v>
      </c>
      <c r="D35" s="92" t="str">
        <f>IF($B35="","",VLOOKUP($B35,'DS LOP HKI'!$B$2:$F$2642,3,0))</f>
        <v>Tâm</v>
      </c>
      <c r="E35" s="143"/>
      <c r="F35" s="201">
        <v>4</v>
      </c>
      <c r="G35" s="201">
        <v>7</v>
      </c>
      <c r="H35" s="201">
        <v>7</v>
      </c>
      <c r="I35" s="201">
        <v>6</v>
      </c>
      <c r="J35" s="201"/>
      <c r="K35" s="201"/>
      <c r="L35" s="201"/>
      <c r="M35" s="111"/>
      <c r="N35" s="201"/>
      <c r="O35" s="145">
        <f t="shared" si="0"/>
        <v>6</v>
      </c>
      <c r="P35" s="113" t="str">
        <f t="shared" si="1"/>
        <v>TB</v>
      </c>
    </row>
    <row r="36" spans="1:16" ht="15">
      <c r="A36" s="2">
        <f>IF(OR($C$6="",$J$6=""),"",IF(B36="","",SUBTOTAL(3,$B$11:B36)))</f>
        <v>26</v>
      </c>
      <c r="B36" s="90" t="str">
        <f>IF(OR($C$6="",$J$6="",$M$6=""),"",IF(HKI!B36="","",HKI!B36))</f>
        <v>13D301Đ124</v>
      </c>
      <c r="C36" s="91" t="str">
        <f>IF($B36="","",VLOOKUP($B36,'DS LOP HKI'!$B$2:$F$2642,2,0))</f>
        <v>Cao Nguyễn Nhật</v>
      </c>
      <c r="D36" s="92" t="str">
        <f>IF($B36="","",VLOOKUP($B36,'DS LOP HKI'!$B$2:$F$2642,3,0))</f>
        <v>Tân</v>
      </c>
      <c r="E36" s="143"/>
      <c r="F36" s="201">
        <v>7</v>
      </c>
      <c r="G36" s="201">
        <v>7</v>
      </c>
      <c r="H36" s="201">
        <v>7</v>
      </c>
      <c r="I36" s="201">
        <v>6</v>
      </c>
      <c r="J36" s="201"/>
      <c r="K36" s="201"/>
      <c r="L36" s="201"/>
      <c r="M36" s="111"/>
      <c r="N36" s="201"/>
      <c r="O36" s="145">
        <f t="shared" si="0"/>
        <v>6.8</v>
      </c>
      <c r="P36" s="113" t="str">
        <f t="shared" si="1"/>
        <v>TB</v>
      </c>
    </row>
    <row r="37" spans="1:16" ht="15">
      <c r="A37" s="2">
        <f>IF(OR($C$6="",$J$6=""),"",IF(B37="","",SUBTOTAL(3,$B$11:B37)))</f>
        <v>27</v>
      </c>
      <c r="B37" s="90" t="str">
        <f>IF(OR($C$6="",$J$6="",$M$6=""),"",IF(HKI!B37="","",HKI!B37))</f>
        <v>13D301Đ130</v>
      </c>
      <c r="C37" s="91" t="str">
        <f>IF($B37="","",VLOOKUP($B37,'DS LOP HKI'!$B$2:$F$2642,2,0))</f>
        <v>Nguyễn Việt</v>
      </c>
      <c r="D37" s="92" t="str">
        <f>IF($B37="","",VLOOKUP($B37,'DS LOP HKI'!$B$2:$F$2642,3,0))</f>
        <v>Thắng</v>
      </c>
      <c r="E37" s="143"/>
      <c r="F37" s="201">
        <v>6</v>
      </c>
      <c r="G37" s="201">
        <v>6</v>
      </c>
      <c r="H37" s="201">
        <v>7</v>
      </c>
      <c r="I37" s="201">
        <v>0</v>
      </c>
      <c r="J37" s="201"/>
      <c r="K37" s="201"/>
      <c r="L37" s="201"/>
      <c r="M37" s="111"/>
      <c r="N37" s="201"/>
      <c r="O37" s="145">
        <f t="shared" si="0"/>
        <v>4.8</v>
      </c>
      <c r="P37" s="113" t="str">
        <f t="shared" si="1"/>
        <v>TBY</v>
      </c>
    </row>
    <row r="38" spans="1:16" ht="15">
      <c r="A38" s="2">
        <f>IF(OR($C$6="",$J$6=""),"",IF(B38="","",SUBTOTAL(3,$B$11:B38)))</f>
        <v>28</v>
      </c>
      <c r="B38" s="90" t="str">
        <f>IF(OR($C$6="",$J$6="",$M$6=""),"",IF(HKI!B38="","",HKI!B38))</f>
        <v>13D301Đ133</v>
      </c>
      <c r="C38" s="91" t="str">
        <f>IF($B38="","",VLOOKUP($B38,'DS LOP HKI'!$B$2:$F$2642,2,0))</f>
        <v>Nguyễn Khắc</v>
      </c>
      <c r="D38" s="92" t="str">
        <f>IF($B38="","",VLOOKUP($B38,'DS LOP HKI'!$B$2:$F$2642,3,0))</f>
        <v>Thành</v>
      </c>
      <c r="E38" s="143"/>
      <c r="F38" s="201">
        <v>5</v>
      </c>
      <c r="G38" s="201">
        <v>8</v>
      </c>
      <c r="H38" s="201">
        <v>7</v>
      </c>
      <c r="I38" s="201">
        <v>5</v>
      </c>
      <c r="J38" s="201"/>
      <c r="K38" s="201"/>
      <c r="L38" s="201"/>
      <c r="M38" s="111"/>
      <c r="N38" s="201"/>
      <c r="O38" s="145">
        <f t="shared" si="0"/>
        <v>6.3</v>
      </c>
      <c r="P38" s="113" t="str">
        <f t="shared" si="1"/>
        <v>TB</v>
      </c>
    </row>
    <row r="39" spans="1:16" ht="15">
      <c r="A39" s="2">
        <f>IF(OR($C$6="",$J$6=""),"",IF(B39="","",SUBTOTAL(3,$B$11:B39)))</f>
        <v>29</v>
      </c>
      <c r="B39" s="90" t="str">
        <f>IF(OR($C$6="",$J$6="",$M$6=""),"",IF(HKI!B39="","",HKI!B39))</f>
        <v>13D301Đ136</v>
      </c>
      <c r="C39" s="91" t="str">
        <f>IF($B39="","",VLOOKUP($B39,'DS LOP HKI'!$B$2:$F$2642,2,0))</f>
        <v>Trần Minh</v>
      </c>
      <c r="D39" s="92" t="str">
        <f>IF($B39="","",VLOOKUP($B39,'DS LOP HKI'!$B$2:$F$2642,3,0))</f>
        <v>Thanh</v>
      </c>
      <c r="E39" s="143"/>
      <c r="F39" s="201">
        <v>7</v>
      </c>
      <c r="G39" s="201">
        <v>7</v>
      </c>
      <c r="H39" s="201">
        <v>6</v>
      </c>
      <c r="I39" s="201">
        <v>6</v>
      </c>
      <c r="J39" s="201"/>
      <c r="K39" s="201"/>
      <c r="L39" s="201"/>
      <c r="M39" s="111"/>
      <c r="N39" s="201"/>
      <c r="O39" s="145">
        <f t="shared" si="0"/>
        <v>6.5</v>
      </c>
      <c r="P39" s="113" t="str">
        <f t="shared" si="1"/>
        <v>TB</v>
      </c>
    </row>
    <row r="40" spans="1:16" ht="15">
      <c r="A40" s="2">
        <f>IF(OR($C$6="",$J$6=""),"",IF(B40="","",SUBTOTAL(3,$B$11:B40)))</f>
        <v>30</v>
      </c>
      <c r="B40" s="90" t="str">
        <f>IF(OR($C$6="",$J$6="",$M$6=""),"",IF(HKI!B40="","",HKI!B40))</f>
        <v>13D301Đ169</v>
      </c>
      <c r="C40" s="91" t="str">
        <f>IF($B40="","",VLOOKUP($B40,'DS LOP HKI'!$B$2:$F$2642,2,0))</f>
        <v>Nguyễn Thanh</v>
      </c>
      <c r="D40" s="92" t="str">
        <f>IF($B40="","",VLOOKUP($B40,'DS LOP HKI'!$B$2:$F$2642,3,0))</f>
        <v>Thảo</v>
      </c>
      <c r="E40" s="143"/>
      <c r="F40" s="201">
        <v>6</v>
      </c>
      <c r="G40" s="201">
        <v>6</v>
      </c>
      <c r="H40" s="201">
        <v>6</v>
      </c>
      <c r="I40" s="201">
        <v>6</v>
      </c>
      <c r="J40" s="201"/>
      <c r="K40" s="201"/>
      <c r="L40" s="201"/>
      <c r="M40" s="111"/>
      <c r="N40" s="201"/>
      <c r="O40" s="145">
        <f t="shared" si="0"/>
        <v>6</v>
      </c>
      <c r="P40" s="113" t="str">
        <f t="shared" si="1"/>
        <v>TB</v>
      </c>
    </row>
    <row r="41" spans="1:16" ht="15">
      <c r="A41" s="2">
        <f>IF(OR($C$6="",$J$6=""),"",IF(B41="","",SUBTOTAL(3,$B$11:B41)))</f>
        <v>31</v>
      </c>
      <c r="B41" s="90" t="str">
        <f>IF(OR($C$6="",$J$6="",$M$6=""),"",IF(HKI!B41="","",HKI!B41))</f>
        <v>13D301Đ154</v>
      </c>
      <c r="C41" s="91" t="str">
        <f>IF($B41="","",VLOOKUP($B41,'DS LOP HKI'!$B$2:$F$2642,2,0))</f>
        <v>Võ Đức</v>
      </c>
      <c r="D41" s="92" t="str">
        <f>IF($B41="","",VLOOKUP($B41,'DS LOP HKI'!$B$2:$F$2642,3,0))</f>
        <v>Trí</v>
      </c>
      <c r="E41" s="143"/>
      <c r="F41" s="201">
        <v>6</v>
      </c>
      <c r="G41" s="201">
        <v>8</v>
      </c>
      <c r="H41" s="201">
        <v>8</v>
      </c>
      <c r="I41" s="201">
        <v>6</v>
      </c>
      <c r="J41" s="201"/>
      <c r="K41" s="201"/>
      <c r="L41" s="201"/>
      <c r="M41" s="111"/>
      <c r="N41" s="201"/>
      <c r="O41" s="145">
        <f t="shared" si="0"/>
        <v>7</v>
      </c>
      <c r="P41" s="113" t="str">
        <f t="shared" si="1"/>
        <v>Khá</v>
      </c>
    </row>
    <row r="42" spans="1:16" ht="15">
      <c r="A42" s="2">
        <f>IF(OR($C$6="",$J$6=""),"",IF(B42="","",SUBTOTAL(3,$B$11:B42)))</f>
        <v>32</v>
      </c>
      <c r="B42" s="90" t="str">
        <f>IF(OR($C$6="",$J$6="",$M$6=""),"",IF(HKI!B42="","",HKI!B42))</f>
        <v>13D301Đ160</v>
      </c>
      <c r="C42" s="91" t="str">
        <f>IF($B42="","",VLOOKUP($B42,'DS LOP HKI'!$B$2:$F$2642,2,0))</f>
        <v>Nguyễn Bá</v>
      </c>
      <c r="D42" s="92" t="str">
        <f>IF($B42="","",VLOOKUP($B42,'DS LOP HKI'!$B$2:$F$2642,3,0))</f>
        <v>Trung</v>
      </c>
      <c r="E42" s="143"/>
      <c r="F42" s="201">
        <v>7</v>
      </c>
      <c r="G42" s="201">
        <v>7</v>
      </c>
      <c r="H42" s="201">
        <v>8</v>
      </c>
      <c r="I42" s="201">
        <v>8</v>
      </c>
      <c r="J42" s="201"/>
      <c r="K42" s="201"/>
      <c r="L42" s="201"/>
      <c r="M42" s="111"/>
      <c r="N42" s="201"/>
      <c r="O42" s="145">
        <f t="shared" si="0"/>
        <v>7.5</v>
      </c>
      <c r="P42" s="113" t="str">
        <f t="shared" si="1"/>
        <v>Khá</v>
      </c>
    </row>
    <row r="43" spans="1:16" ht="15">
      <c r="A43" s="2">
        <f>IF(OR($C$6="",$J$6=""),"",IF(B43="","",SUBTOTAL(3,$B$11:B43)))</f>
        <v>33</v>
      </c>
      <c r="B43" s="90" t="str">
        <f>IF(OR($C$6="",$J$6="",$M$6=""),"",IF(HKI!B43="","",HKI!B43))</f>
        <v>13D301Đ163</v>
      </c>
      <c r="C43" s="91" t="str">
        <f>IF($B43="","",VLOOKUP($B43,'DS LOP HKI'!$B$2:$F$2642,2,0))</f>
        <v>Mai Ngọc</v>
      </c>
      <c r="D43" s="92" t="str">
        <f>IF($B43="","",VLOOKUP($B43,'DS LOP HKI'!$B$2:$F$2642,3,0))</f>
        <v>Trước</v>
      </c>
      <c r="E43" s="143"/>
      <c r="F43" s="201">
        <v>6</v>
      </c>
      <c r="G43" s="201">
        <v>7</v>
      </c>
      <c r="H43" s="201">
        <v>7</v>
      </c>
      <c r="I43" s="201">
        <v>7</v>
      </c>
      <c r="J43" s="201"/>
      <c r="K43" s="201"/>
      <c r="L43" s="201"/>
      <c r="M43" s="111"/>
      <c r="N43" s="201"/>
      <c r="O43" s="145">
        <f t="shared" si="0"/>
        <v>6.8</v>
      </c>
      <c r="P43" s="113" t="str">
        <f t="shared" si="1"/>
        <v>TB</v>
      </c>
    </row>
    <row r="44" spans="1:16" ht="15">
      <c r="A44" s="2">
        <f>IF(OR($C$6="",$J$6=""),"",IF(B44="","",SUBTOTAL(3,$B$11:B44)))</f>
        <v>34</v>
      </c>
      <c r="B44" s="90" t="str">
        <f>IF(OR($C$6="",$J$6="",$M$6=""),"",IF(HKI!B44="","",HKI!B44))</f>
        <v>13D301Đ166</v>
      </c>
      <c r="C44" s="91" t="str">
        <f>IF($B44="","",VLOOKUP($B44,'DS LOP HKI'!$B$2:$F$2642,2,0))</f>
        <v>Nguyễn Văn</v>
      </c>
      <c r="D44" s="92" t="str">
        <f>IF($B44="","",VLOOKUP($B44,'DS LOP HKI'!$B$2:$F$2642,3,0))</f>
        <v>Tư</v>
      </c>
      <c r="E44" s="143"/>
      <c r="F44" s="201">
        <v>5</v>
      </c>
      <c r="G44" s="201">
        <v>7</v>
      </c>
      <c r="H44" s="201">
        <v>6</v>
      </c>
      <c r="I44" s="201">
        <v>7</v>
      </c>
      <c r="J44" s="201"/>
      <c r="K44" s="201"/>
      <c r="L44" s="201"/>
      <c r="M44" s="111"/>
      <c r="N44" s="201"/>
      <c r="O44" s="145">
        <f t="shared" si="0"/>
        <v>6.3</v>
      </c>
      <c r="P44" s="113" t="str">
        <f t="shared" si="1"/>
        <v>TB</v>
      </c>
    </row>
    <row r="45" spans="1:16" ht="15">
      <c r="A45" s="2">
        <f>IF(OR($C$6="",$J$6=""),"",IF(B45="","",SUBTOTAL(3,$B$11:B45)))</f>
        <v>35</v>
      </c>
      <c r="B45" s="90" t="str">
        <f>IF(OR($C$6="",$J$6="",$M$6=""),"",IF(HKI!B45="","",HKI!B45))</f>
        <v>13D301Đ178</v>
      </c>
      <c r="C45" s="91" t="str">
        <f>IF($B45="","",VLOOKUP($B45,'DS LOP HKI'!$B$2:$F$2642,2,0))</f>
        <v>Lê Văn</v>
      </c>
      <c r="D45" s="92" t="str">
        <f>IF($B45="","",VLOOKUP($B45,'DS LOP HKI'!$B$2:$F$2642,3,0))</f>
        <v>Vũ</v>
      </c>
      <c r="E45" s="143"/>
      <c r="F45" s="201">
        <v>5</v>
      </c>
      <c r="G45" s="201">
        <v>6</v>
      </c>
      <c r="H45" s="201">
        <v>7</v>
      </c>
      <c r="I45" s="201">
        <v>6</v>
      </c>
      <c r="J45" s="201"/>
      <c r="K45" s="201"/>
      <c r="L45" s="201"/>
      <c r="M45" s="111"/>
      <c r="N45" s="201"/>
      <c r="O45" s="145">
        <f t="shared" si="0"/>
        <v>6</v>
      </c>
      <c r="P45" s="113" t="str">
        <f t="shared" si="1"/>
        <v>TB</v>
      </c>
    </row>
    <row r="46" spans="1:16" ht="15">
      <c r="A46" s="2" t="str">
        <f>IF(OR($C$6="",$J$6=""),"",IF(B46="","",SUBTOTAL(3,$B$11:B46)))</f>
        <v/>
      </c>
      <c r="B46" s="90" t="str">
        <f>IF(OR($C$6="",$J$6="",$M$6=""),"",IF(HKI!B46="","",HKI!B46))</f>
        <v/>
      </c>
      <c r="C46" s="91" t="str">
        <f>IF($B46="","",VLOOKUP($B46,'DS LOP HKI'!$B$2:$F$2642,2,0))</f>
        <v/>
      </c>
      <c r="D46" s="92" t="str">
        <f>IF($B46="","",VLOOKUP($B46,'DS LOP HKI'!$B$2:$F$2642,3,0))</f>
        <v/>
      </c>
      <c r="E46" s="143"/>
      <c r="F46" s="262"/>
      <c r="G46" s="262"/>
      <c r="H46" s="262"/>
      <c r="I46" s="262"/>
      <c r="J46" s="262"/>
      <c r="K46" s="262"/>
      <c r="L46" s="262"/>
      <c r="M46" s="144"/>
      <c r="N46" s="111"/>
      <c r="O46" s="145" t="str">
        <f t="shared" si="0"/>
        <v/>
      </c>
      <c r="P46" s="113" t="str">
        <f t="shared" si="1"/>
        <v/>
      </c>
    </row>
    <row r="47" spans="1:16" ht="15">
      <c r="A47" s="2" t="str">
        <f>IF(OR($C$6="",$J$6=""),"",IF(B47="","",SUBTOTAL(3,$B$11:B47)))</f>
        <v/>
      </c>
      <c r="B47" s="90" t="str">
        <f>IF(OR($C$6="",$J$6="",$M$6=""),"",IF(HKI!B47="","",HKI!B47))</f>
        <v/>
      </c>
      <c r="C47" s="91" t="str">
        <f>IF($B47="","",VLOOKUP($B47,'DS LOP HKI'!$B$2:$F$2642,2,0))</f>
        <v/>
      </c>
      <c r="D47" s="92" t="str">
        <f>IF($B47="","",VLOOKUP($B47,'DS LOP HKI'!$B$2:$F$2642,3,0))</f>
        <v/>
      </c>
      <c r="E47" s="143"/>
      <c r="F47" s="262"/>
      <c r="G47" s="262"/>
      <c r="H47" s="262"/>
      <c r="I47" s="262"/>
      <c r="J47" s="262"/>
      <c r="K47" s="262"/>
      <c r="L47" s="262"/>
      <c r="M47" s="144"/>
      <c r="N47" s="111"/>
      <c r="O47" s="145" t="str">
        <f t="shared" si="0"/>
        <v/>
      </c>
      <c r="P47" s="113" t="str">
        <f t="shared" si="1"/>
        <v/>
      </c>
    </row>
    <row r="48" spans="1:16" ht="15">
      <c r="A48" s="2" t="str">
        <f>IF(OR($C$6="",$J$6=""),"",IF(B48="","",SUBTOTAL(3,$B$11:B48)))</f>
        <v/>
      </c>
      <c r="B48" s="90" t="str">
        <f>IF(OR($C$6="",$J$6="",$M$6=""),"",IF(HKI!B48="","",HKI!B48))</f>
        <v/>
      </c>
      <c r="C48" s="91" t="str">
        <f>IF($B48="","",VLOOKUP($B48,'DS LOP HKI'!$B$2:$F$2642,2,0))</f>
        <v/>
      </c>
      <c r="D48" s="92" t="str">
        <f>IF($B48="","",VLOOKUP($B48,'DS LOP HKI'!$B$2:$F$2642,3,0))</f>
        <v/>
      </c>
      <c r="E48" s="143"/>
      <c r="F48" s="262"/>
      <c r="G48" s="262"/>
      <c r="H48" s="262"/>
      <c r="I48" s="262"/>
      <c r="J48" s="262"/>
      <c r="K48" s="262"/>
      <c r="L48" s="262"/>
      <c r="M48" s="144"/>
      <c r="N48" s="111"/>
      <c r="O48" s="145" t="str">
        <f t="shared" si="0"/>
        <v/>
      </c>
      <c r="P48" s="113" t="str">
        <f t="shared" si="1"/>
        <v/>
      </c>
    </row>
    <row r="49" spans="1:16" ht="15">
      <c r="A49" s="2" t="str">
        <f>IF(OR($C$6="",$J$6=""),"",IF(B49="","",SUBTOTAL(3,$B$11:B49)))</f>
        <v/>
      </c>
      <c r="B49" s="90" t="str">
        <f>IF(OR($C$6="",$J$6="",$M$6=""),"",IF(HKI!B49="","",HKI!B49))</f>
        <v/>
      </c>
      <c r="C49" s="91" t="str">
        <f>IF($B49="","",VLOOKUP($B49,'DS LOP HKI'!$B$2:$F$2642,2,0))</f>
        <v/>
      </c>
      <c r="D49" s="92" t="str">
        <f>IF($B49="","",VLOOKUP($B49,'DS LOP HKI'!$B$2:$F$2642,3,0))</f>
        <v/>
      </c>
      <c r="E49" s="143"/>
      <c r="F49" s="262"/>
      <c r="G49" s="262"/>
      <c r="H49" s="262"/>
      <c r="I49" s="262"/>
      <c r="J49" s="262"/>
      <c r="K49" s="262"/>
      <c r="L49" s="262"/>
      <c r="M49" s="144"/>
      <c r="N49" s="111"/>
      <c r="O49" s="145" t="str">
        <f t="shared" si="0"/>
        <v/>
      </c>
      <c r="P49" s="113" t="str">
        <f t="shared" si="1"/>
        <v/>
      </c>
    </row>
    <row r="50" spans="1:16" ht="15">
      <c r="A50" s="2" t="str">
        <f>IF(OR($C$6="",$J$6=""),"",IF(B50="","",SUBTOTAL(3,$B$11:B50)))</f>
        <v/>
      </c>
      <c r="B50" s="90" t="str">
        <f>IF(OR($C$6="",$J$6="",$M$6=""),"",IF(HKI!B50="","",HKI!B50))</f>
        <v/>
      </c>
      <c r="C50" s="91" t="str">
        <f>IF($B50="","",VLOOKUP($B50,'DS LOP HKI'!$B$2:$F$2642,2,0))</f>
        <v/>
      </c>
      <c r="D50" s="92" t="str">
        <f>IF($B50="","",VLOOKUP($B50,'DS LOP HKI'!$B$2:$F$2642,3,0))</f>
        <v/>
      </c>
      <c r="E50" s="143"/>
      <c r="F50" s="262"/>
      <c r="G50" s="262"/>
      <c r="H50" s="262"/>
      <c r="I50" s="262"/>
      <c r="J50" s="262"/>
      <c r="K50" s="262"/>
      <c r="L50" s="262"/>
      <c r="M50" s="144"/>
      <c r="N50" s="111"/>
      <c r="O50" s="145" t="str">
        <f t="shared" si="0"/>
        <v/>
      </c>
      <c r="P50" s="113" t="str">
        <f t="shared" si="1"/>
        <v/>
      </c>
    </row>
    <row r="51" spans="1:16" ht="15">
      <c r="A51" s="2" t="str">
        <f>IF(OR($C$6="",$J$6=""),"",IF(B51="","",SUBTOTAL(3,$B$11:B51)))</f>
        <v/>
      </c>
      <c r="B51" s="90" t="str">
        <f>IF(OR($C$6="",$J$6="",$M$6=""),"",IF(HKI!B51="","",HKI!B51))</f>
        <v/>
      </c>
      <c r="C51" s="91" t="str">
        <f>IF($B51="","",VLOOKUP($B51,'DS LOP HKI'!$B$2:$F$2642,2,0))</f>
        <v/>
      </c>
      <c r="D51" s="92" t="str">
        <f>IF($B51="","",VLOOKUP($B51,'DS LOP HKI'!$B$2:$F$2642,3,0))</f>
        <v/>
      </c>
      <c r="E51" s="143"/>
      <c r="F51" s="262"/>
      <c r="G51" s="262"/>
      <c r="H51" s="262"/>
      <c r="I51" s="262"/>
      <c r="J51" s="262"/>
      <c r="K51" s="262"/>
      <c r="L51" s="262"/>
      <c r="M51" s="144"/>
      <c r="N51" s="111"/>
      <c r="O51" s="145" t="str">
        <f t="shared" si="0"/>
        <v/>
      </c>
      <c r="P51" s="113" t="str">
        <f t="shared" si="1"/>
        <v/>
      </c>
    </row>
    <row r="52" spans="1:16" ht="15">
      <c r="A52" s="2" t="str">
        <f>IF(OR($C$6="",$J$6=""),"",IF(B52="","",SUBTOTAL(3,$B$11:B52)))</f>
        <v/>
      </c>
      <c r="B52" s="90" t="str">
        <f>IF(OR($C$6="",$J$6="",$M$6=""),"",IF(HKI!B52="","",HKI!B52))</f>
        <v/>
      </c>
      <c r="C52" s="91" t="str">
        <f>IF($B52="","",VLOOKUP($B52,'DS LOP HKI'!$B$2:$F$2642,2,0))</f>
        <v/>
      </c>
      <c r="D52" s="92" t="str">
        <f>IF($B52="","",VLOOKUP($B52,'DS LOP HKI'!$B$2:$F$2642,3,0))</f>
        <v/>
      </c>
      <c r="E52" s="143"/>
      <c r="F52" s="262"/>
      <c r="G52" s="262"/>
      <c r="H52" s="262"/>
      <c r="I52" s="262"/>
      <c r="J52" s="262"/>
      <c r="K52" s="262"/>
      <c r="L52" s="262"/>
      <c r="M52" s="144"/>
      <c r="N52" s="111"/>
      <c r="O52" s="145" t="str">
        <f t="shared" si="0"/>
        <v/>
      </c>
      <c r="P52" s="113" t="str">
        <f t="shared" si="1"/>
        <v/>
      </c>
    </row>
    <row r="53" spans="1:16" ht="15">
      <c r="A53" s="2" t="str">
        <f>IF(OR($C$6="",$J$6=""),"",IF(B53="","",SUBTOTAL(3,$B$11:B53)))</f>
        <v/>
      </c>
      <c r="B53" s="90" t="str">
        <f>IF(OR($C$6="",$J$6="",$M$6=""),"",IF(HKI!B53="","",HKI!B53))</f>
        <v/>
      </c>
      <c r="C53" s="91" t="str">
        <f>IF($B53="","",VLOOKUP($B53,'DS LOP HKI'!$B$2:$F$2642,2,0))</f>
        <v/>
      </c>
      <c r="D53" s="92" t="str">
        <f>IF($B53="","",VLOOKUP($B53,'DS LOP HKI'!$B$2:$F$2642,3,0))</f>
        <v/>
      </c>
      <c r="E53" s="143"/>
      <c r="F53" s="262"/>
      <c r="G53" s="262"/>
      <c r="H53" s="262"/>
      <c r="I53" s="262"/>
      <c r="J53" s="262"/>
      <c r="K53" s="262"/>
      <c r="L53" s="262"/>
      <c r="M53" s="144"/>
      <c r="N53" s="111"/>
      <c r="O53" s="145" t="str">
        <f t="shared" si="0"/>
        <v/>
      </c>
      <c r="P53" s="113" t="str">
        <f t="shared" si="1"/>
        <v/>
      </c>
    </row>
    <row r="54" spans="1:16" ht="15">
      <c r="A54" s="2" t="str">
        <f>IF(OR($C$6="",$J$6=""),"",IF(B54="","",SUBTOTAL(3,$B$11:B54)))</f>
        <v/>
      </c>
      <c r="B54" s="90" t="str">
        <f>IF(OR($C$6="",$J$6="",$M$6=""),"",IF(HKI!B54="","",HKI!B54))</f>
        <v/>
      </c>
      <c r="C54" s="91" t="str">
        <f>IF($B54="","",VLOOKUP($B54,'DS LOP HKI'!$B$2:$F$2642,2,0))</f>
        <v/>
      </c>
      <c r="D54" s="92" t="str">
        <f>IF($B54="","",VLOOKUP($B54,'DS LOP HKI'!$B$2:$F$2642,3,0))</f>
        <v/>
      </c>
      <c r="E54" s="143"/>
      <c r="F54" s="262"/>
      <c r="G54" s="262"/>
      <c r="H54" s="262"/>
      <c r="I54" s="262"/>
      <c r="J54" s="262"/>
      <c r="K54" s="262"/>
      <c r="L54" s="262"/>
      <c r="M54" s="144"/>
      <c r="N54" s="111"/>
      <c r="O54" s="145" t="str">
        <f t="shared" si="0"/>
        <v/>
      </c>
      <c r="P54" s="113" t="str">
        <f t="shared" si="1"/>
        <v/>
      </c>
    </row>
    <row r="55" spans="1:16" ht="15">
      <c r="A55" s="2" t="str">
        <f>IF(OR($C$6="",$J$6=""),"",IF(B55="","",SUBTOTAL(3,$B$11:B55)))</f>
        <v/>
      </c>
      <c r="B55" s="90" t="str">
        <f>IF(OR($C$6="",$J$6="",$M$6=""),"",IF(HKI!B55="","",HKI!B55))</f>
        <v/>
      </c>
      <c r="C55" s="91" t="str">
        <f>IF($B55="","",VLOOKUP($B55,'DS LOP HKI'!$B$2:$F$2642,2,0))</f>
        <v/>
      </c>
      <c r="D55" s="92" t="str">
        <f>IF($B55="","",VLOOKUP($B55,'DS LOP HKI'!$B$2:$F$2642,3,0))</f>
        <v/>
      </c>
      <c r="E55" s="143"/>
      <c r="F55" s="262"/>
      <c r="G55" s="262"/>
      <c r="H55" s="262"/>
      <c r="I55" s="262"/>
      <c r="J55" s="262"/>
      <c r="K55" s="262"/>
      <c r="L55" s="262"/>
      <c r="M55" s="144"/>
      <c r="N55" s="111"/>
      <c r="O55" s="145" t="str">
        <f t="shared" si="0"/>
        <v/>
      </c>
      <c r="P55" s="113" t="str">
        <f t="shared" si="1"/>
        <v/>
      </c>
    </row>
    <row r="56" spans="1:16" ht="15">
      <c r="A56" s="2" t="str">
        <f>IF(OR($C$6="",$J$6=""),"",IF(B56="","",SUBTOTAL(3,$B$11:B56)))</f>
        <v/>
      </c>
      <c r="B56" s="90" t="str">
        <f>IF(OR($C$6="",$J$6="",$M$6=""),"",IF(HKI!B56="","",HKI!B56))</f>
        <v/>
      </c>
      <c r="C56" s="91" t="str">
        <f>IF($B56="","",VLOOKUP($B56,'DS LOP HKI'!$B$2:$F$2642,2,0))</f>
        <v/>
      </c>
      <c r="D56" s="92" t="str">
        <f>IF($B56="","",VLOOKUP($B56,'DS LOP HKI'!$B$2:$F$2642,3,0))</f>
        <v/>
      </c>
      <c r="E56" s="143"/>
      <c r="F56" s="262"/>
      <c r="G56" s="262"/>
      <c r="H56" s="262"/>
      <c r="I56" s="262"/>
      <c r="J56" s="262"/>
      <c r="K56" s="262"/>
      <c r="L56" s="262"/>
      <c r="M56" s="144"/>
      <c r="N56" s="111"/>
      <c r="O56" s="145" t="str">
        <f t="shared" si="0"/>
        <v/>
      </c>
      <c r="P56" s="113" t="str">
        <f t="shared" si="1"/>
        <v/>
      </c>
    </row>
    <row r="57" spans="1:16" s="4" customFormat="1" ht="15">
      <c r="A57" s="2" t="str">
        <f>IF(OR($C$6="",$J$6=""),"",IF(B57="","",SUBTOTAL(3,$B$11:B57)))</f>
        <v/>
      </c>
      <c r="B57" s="90" t="str">
        <f>IF(OR($C$6="",$J$6="",$M$6=""),"",IF(HKI!B57="","",HKI!B57))</f>
        <v/>
      </c>
      <c r="C57" s="91" t="str">
        <f>IF($B57="","",VLOOKUP($B57,'DS LOP HKI'!$B$2:$F$2642,2,0))</f>
        <v/>
      </c>
      <c r="D57" s="92" t="str">
        <f>IF($B57="","",VLOOKUP($B57,'DS LOP HKI'!$B$2:$F$2642,3,0))</f>
        <v/>
      </c>
      <c r="E57" s="143"/>
      <c r="F57" s="262"/>
      <c r="G57" s="262"/>
      <c r="H57" s="262"/>
      <c r="I57" s="262"/>
      <c r="J57" s="262"/>
      <c r="K57" s="262"/>
      <c r="L57" s="262"/>
      <c r="M57" s="144"/>
      <c r="N57" s="111"/>
      <c r="O57" s="145" t="str">
        <f t="shared" si="0"/>
        <v/>
      </c>
      <c r="P57" s="113" t="str">
        <f t="shared" si="1"/>
        <v/>
      </c>
    </row>
    <row r="58" spans="1:16" s="4" customFormat="1" ht="15">
      <c r="A58" s="2" t="str">
        <f>IF(OR($C$6="",$J$6=""),"",IF(B58="","",SUBTOTAL(3,$B$11:B58)))</f>
        <v/>
      </c>
      <c r="B58" s="90" t="str">
        <f>IF(OR($C$6="",$J$6="",$M$6=""),"",IF(HKI!B58="","",HKI!B58))</f>
        <v/>
      </c>
      <c r="C58" s="91" t="str">
        <f>IF($B58="","",VLOOKUP($B58,'DS LOP HKI'!$B$2:$F$2642,2,0))</f>
        <v/>
      </c>
      <c r="D58" s="92" t="str">
        <f>IF($B58="","",VLOOKUP($B58,'DS LOP HKI'!$B$2:$F$2642,3,0))</f>
        <v/>
      </c>
      <c r="E58" s="143"/>
      <c r="F58" s="262"/>
      <c r="G58" s="262"/>
      <c r="H58" s="262"/>
      <c r="I58" s="262"/>
      <c r="J58" s="262"/>
      <c r="K58" s="262"/>
      <c r="L58" s="262"/>
      <c r="M58" s="144"/>
      <c r="N58" s="111"/>
      <c r="O58" s="145" t="str">
        <f t="shared" si="0"/>
        <v/>
      </c>
      <c r="P58" s="113" t="str">
        <f t="shared" si="1"/>
        <v/>
      </c>
    </row>
    <row r="59" spans="1:16" ht="15">
      <c r="A59" s="2" t="str">
        <f>IF(OR($C$6="",$J$6=""),"",IF(B59="","",SUBTOTAL(3,$B$11:B59)))</f>
        <v/>
      </c>
      <c r="B59" s="90" t="str">
        <f>IF(OR($C$6="",$J$6="",$M$6=""),"",IF(HKI!B59="","",HKI!B59))</f>
        <v/>
      </c>
      <c r="C59" s="91" t="str">
        <f>IF($B59="","",VLOOKUP($B59,'DS LOP HKI'!$B$2:$F$2642,2,0))</f>
        <v/>
      </c>
      <c r="D59" s="92" t="str">
        <f>IF($B59="","",VLOOKUP($B59,'DS LOP HKI'!$B$2:$F$2642,3,0))</f>
        <v/>
      </c>
      <c r="E59" s="143"/>
      <c r="F59" s="262"/>
      <c r="G59" s="262"/>
      <c r="H59" s="262"/>
      <c r="I59" s="262"/>
      <c r="J59" s="262"/>
      <c r="K59" s="262"/>
      <c r="L59" s="262"/>
      <c r="M59" s="144"/>
      <c r="N59" s="111"/>
      <c r="O59" s="145" t="str">
        <f t="shared" si="0"/>
        <v/>
      </c>
      <c r="P59" s="113" t="str">
        <f t="shared" si="1"/>
        <v/>
      </c>
    </row>
    <row r="60" spans="1:16" ht="15">
      <c r="A60" s="2" t="str">
        <f>IF(OR($C$6="",$J$6=""),"",IF(B60="","",SUBTOTAL(3,$B$11:B60)))</f>
        <v/>
      </c>
      <c r="B60" s="90" t="str">
        <f>IF(OR($C$6="",$J$6="",$M$6=""),"",IF(HKI!B60="","",HKI!B60))</f>
        <v/>
      </c>
      <c r="C60" s="91" t="str">
        <f>IF($B60="","",VLOOKUP($B60,'DS LOP HKI'!$B$2:$F$2642,2,0))</f>
        <v/>
      </c>
      <c r="D60" s="92" t="str">
        <f>IF($B60="","",VLOOKUP($B60,'DS LOP HKI'!$B$2:$F$2642,3,0))</f>
        <v/>
      </c>
      <c r="E60" s="143"/>
      <c r="F60" s="262"/>
      <c r="G60" s="262"/>
      <c r="H60" s="262"/>
      <c r="I60" s="262"/>
      <c r="J60" s="262"/>
      <c r="K60" s="262"/>
      <c r="L60" s="262"/>
      <c r="M60" s="144"/>
      <c r="N60" s="111"/>
      <c r="O60" s="145" t="str">
        <f t="shared" si="0"/>
        <v/>
      </c>
      <c r="P60" s="113" t="str">
        <f t="shared" si="1"/>
        <v/>
      </c>
    </row>
    <row r="61" spans="1:16" ht="16.5">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0"/>
        <v/>
      </c>
      <c r="P61" s="113" t="str">
        <f t="shared" si="1"/>
        <v/>
      </c>
    </row>
    <row r="62" spans="1:16" ht="16.5">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0"/>
        <v/>
      </c>
      <c r="P62" s="113" t="str">
        <f t="shared" si="1"/>
        <v/>
      </c>
    </row>
    <row r="63" spans="1:16" ht="15">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0"/>
        <v/>
      </c>
      <c r="P63" s="113" t="str">
        <f t="shared" si="1"/>
        <v/>
      </c>
    </row>
    <row r="64" spans="1:16" ht="15">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0"/>
        <v/>
      </c>
      <c r="P64" s="113" t="str">
        <f t="shared" si="1"/>
        <v/>
      </c>
    </row>
    <row r="65" spans="1:16" ht="15">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0"/>
        <v/>
      </c>
      <c r="P65" s="113" t="str">
        <f t="shared" si="1"/>
        <v/>
      </c>
    </row>
    <row r="66" spans="1:16" ht="15">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0"/>
        <v/>
      </c>
      <c r="P66" s="113" t="str">
        <f t="shared" si="1"/>
        <v/>
      </c>
    </row>
    <row r="67" spans="1:16" ht="15">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0"/>
        <v/>
      </c>
      <c r="P67" s="113" t="str">
        <f t="shared" si="1"/>
        <v/>
      </c>
    </row>
    <row r="68" spans="1:16" ht="15">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0"/>
        <v/>
      </c>
      <c r="P68" s="113" t="str">
        <f t="shared" si="1"/>
        <v/>
      </c>
    </row>
    <row r="69" spans="1:16" ht="15">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0"/>
        <v/>
      </c>
      <c r="P69" s="113" t="str">
        <f t="shared" si="1"/>
        <v/>
      </c>
    </row>
    <row r="70" spans="1:16" ht="15">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0"/>
        <v/>
      </c>
      <c r="P70" s="113" t="str">
        <f t="shared" si="1"/>
        <v/>
      </c>
    </row>
    <row r="71" spans="1:16" ht="15">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0"/>
        <v/>
      </c>
      <c r="P71" s="113" t="str">
        <f t="shared" si="1"/>
        <v/>
      </c>
    </row>
    <row r="72" spans="1:16" ht="15">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0"/>
        <v/>
      </c>
      <c r="P72" s="113" t="str">
        <f t="shared" si="1"/>
        <v/>
      </c>
    </row>
    <row r="73" spans="1:16" ht="15">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0"/>
        <v/>
      </c>
      <c r="P73" s="113" t="str">
        <f t="shared" si="1"/>
        <v/>
      </c>
    </row>
    <row r="74" spans="1:16" ht="15">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0"/>
        <v/>
      </c>
      <c r="P74" s="113" t="str">
        <f t="shared" si="1"/>
        <v/>
      </c>
    </row>
    <row r="75" spans="1:16" ht="15">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 t="shared" si="0"/>
        <v/>
      </c>
      <c r="P75" s="113" t="str">
        <f t="shared" si="1"/>
        <v/>
      </c>
    </row>
    <row r="76" spans="1:16" s="38" customFormat="1">
      <c r="A76" s="806" t="s">
        <v>1519</v>
      </c>
      <c r="B76" s="806"/>
      <c r="C76" s="806"/>
      <c r="D76" s="806"/>
      <c r="E76" s="806"/>
      <c r="F76" s="806"/>
      <c r="G76" s="806"/>
      <c r="H76" s="806"/>
      <c r="I76" s="806"/>
      <c r="J76" s="806"/>
      <c r="K76" s="806"/>
      <c r="L76" s="806"/>
      <c r="M76" s="806"/>
      <c r="N76" s="806"/>
      <c r="O76" s="806"/>
      <c r="P76" s="806"/>
    </row>
    <row r="77" spans="1:16" s="38" customFormat="1">
      <c r="A77" s="5"/>
      <c r="B77" s="793" t="str">
        <f>"Tổng danh sách có"</f>
        <v>Tổng danh sách có</v>
      </c>
      <c r="C77" s="793"/>
      <c r="D77" s="793"/>
      <c r="E77" s="793"/>
      <c r="F77" s="804" t="str">
        <f>": "&amp;IF(MAX($A$11:$A$75)=1,0,MAX($A$11:$A$75))&amp;" SV"</f>
        <v>: 35 SV</v>
      </c>
      <c r="G77" s="804"/>
      <c r="L77" s="6"/>
      <c r="M77" s="6"/>
      <c r="N77" s="6"/>
      <c r="O77" s="6"/>
      <c r="P77" s="5"/>
    </row>
    <row r="78" spans="1:16" s="38" customFormat="1" ht="12.75" customHeight="1">
      <c r="A78" s="4"/>
      <c r="B78" s="782" t="str">
        <f>"Tổng số SV có điểm Giỏi từ 8,5 đ đến 10 đ"</f>
        <v>Tổng số SV có điểm Giỏi từ 8,5 đ đến 10 đ</v>
      </c>
      <c r="C78" s="782"/>
      <c r="D78" s="782"/>
      <c r="E78" s="782"/>
      <c r="F78" s="782" t="str">
        <f>": "&amp;COUNTIF($P$11:$P$75,"Giỏi")&amp;" SV"</f>
        <v>: 0 SV</v>
      </c>
      <c r="G78" s="782"/>
      <c r="H78" s="825" t="str">
        <f>IF(B11="","","("&amp;ROUND(COUNTIF($P$11:$P$75,"Giỏi")*100/MAX($A$11:$A$75),2)&amp;"%" &amp;")")</f>
        <v>(0%)</v>
      </c>
      <c r="I78" s="825"/>
      <c r="J78" s="789" t="str">
        <f>"Tổng số SV có điểm &gt;= 4 đ : "&amp;COUNTIF(O11:O75,"&gt;=4")&amp;" SV"&amp;" ("&amp;ROUND(COUNTIF(O11:O75,"&gt;=4")*100/IF(B11="",1,MAX($A$11:$A$75)),2)&amp;"%" &amp;")"</f>
        <v>Tổng số SV có điểm &gt;= 4 đ : 35 SV (100%)</v>
      </c>
      <c r="K78" s="789"/>
      <c r="L78" s="789"/>
      <c r="M78" s="789"/>
      <c r="N78" s="789"/>
      <c r="O78" s="789"/>
      <c r="P78" s="46"/>
    </row>
    <row r="79" spans="1:16" s="38" customFormat="1">
      <c r="A79" s="4"/>
      <c r="B79" s="782" t="str">
        <f>"Tổng số SV có điểm Khá từ 7 đ đến &lt;8,5 đ"</f>
        <v>Tổng số SV có điểm Khá từ 7 đ đến &lt;8,5 đ</v>
      </c>
      <c r="C79" s="782"/>
      <c r="D79" s="782"/>
      <c r="E79" s="782"/>
      <c r="F79" s="782" t="str">
        <f>": "&amp;COUNTIF($P$11:$P$75,"Khá")&amp;" SV"</f>
        <v>: 4 SV</v>
      </c>
      <c r="G79" s="782"/>
      <c r="H79" s="825" t="str">
        <f>IF(B11="","","("&amp;ROUND(COUNTIF($P$11:$P$75,"Khá")*100/MAX($A$11:$A$75),2)&amp;"%" &amp;")")</f>
        <v>(11.43%)</v>
      </c>
      <c r="I79" s="825"/>
      <c r="J79" s="789"/>
      <c r="K79" s="789"/>
      <c r="L79" s="789"/>
      <c r="M79" s="789"/>
      <c r="N79" s="789"/>
      <c r="O79" s="789"/>
      <c r="P79" s="46"/>
    </row>
    <row r="80" spans="1:16" s="38" customFormat="1">
      <c r="A80" s="4"/>
      <c r="B80" s="782" t="str">
        <f>"Tổng số SV có điểm Trung bình từ 5,5 đ đến &lt;7 đ"</f>
        <v>Tổng số SV có điểm Trung bình từ 5,5 đ đến &lt;7 đ</v>
      </c>
      <c r="C80" s="782"/>
      <c r="D80" s="782"/>
      <c r="E80" s="782"/>
      <c r="F80" s="782" t="str">
        <f>": "&amp;COUNTIF($P$11:$P$75,"TB")&amp;" SV"</f>
        <v>: 23 SV</v>
      </c>
      <c r="G80" s="782"/>
      <c r="H80" s="825" t="str">
        <f>IF(B11="","","("&amp;ROUND(COUNTIF($P$11:$P$75,"TB")*100/MAX($A$11:$A$75),2)&amp;"%" &amp;")")</f>
        <v>(65.71%)</v>
      </c>
      <c r="I80" s="825"/>
      <c r="J80" s="789"/>
      <c r="K80" s="789"/>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8 SV</v>
      </c>
      <c r="G81" s="782"/>
      <c r="H81" s="825" t="str">
        <f>IF(B11="","","("&amp;ROUND(COUNTIF($P$11:$P$75,"TBY")*100/MAX($A$11:$A$75),2)&amp;"%" &amp;")")</f>
        <v>(22.86%)</v>
      </c>
      <c r="I81" s="825"/>
      <c r="J81" s="794" t="str">
        <f>"Tổng số SV có điểm &lt; 4 đ : "&amp;COUNTIF(O11:O75,"&lt;4")&amp;" SV"&amp;" ("&amp;ROUND(COUNTIF(O11:O75,"&lt;4")*100/IF(B11="",1,MAX($A$11:$A$75)),2)&amp;"%" &amp;")"</f>
        <v>Tổng số SV có điểm &lt; 4 đ : 0 SV (0%)</v>
      </c>
      <c r="K81" s="794"/>
      <c r="L81" s="794"/>
      <c r="M81" s="794"/>
      <c r="N81" s="794"/>
      <c r="O81" s="794"/>
      <c r="P81" s="94"/>
    </row>
    <row r="82" spans="1:16" s="38" customFormat="1">
      <c r="A82" s="4"/>
      <c r="B82" s="782" t="str">
        <f>"Tổng số SV có điểm kém &lt;4 đ"</f>
        <v>Tổng số SV có điểm kém &lt;4 đ</v>
      </c>
      <c r="C82" s="782"/>
      <c r="D82" s="782"/>
      <c r="E82" s="782"/>
      <c r="F82" s="782" t="str">
        <f>": "&amp;COUNTIF($P$11:$P$75,"Kém")&amp;" SV"</f>
        <v>: 0 SV</v>
      </c>
      <c r="G82" s="782"/>
      <c r="H82" s="825" t="str">
        <f>IF(B11="","","("&amp;ROUND(COUNTIF($P$11:$P$75,"Kém")*100/MAX($A$11:$A$75),2)&amp;"%"&amp;")")</f>
        <v>(0%)</v>
      </c>
      <c r="I82" s="825"/>
      <c r="J82" s="794"/>
      <c r="K82" s="794"/>
      <c r="L82" s="794"/>
      <c r="M82" s="794"/>
      <c r="N82" s="794"/>
      <c r="O82" s="794"/>
      <c r="P82" s="94"/>
    </row>
    <row r="83" spans="1:16" s="38" customFormat="1">
      <c r="A83" s="4"/>
      <c r="B83" s="782" t="str">
        <f>"Tổng số SV không xếp loại vì chưa đủ điều kiện"</f>
        <v>Tổng số SV không xếp loại vì chưa đủ điều kiện</v>
      </c>
      <c r="C83" s="782"/>
      <c r="D83" s="782"/>
      <c r="E83" s="782"/>
      <c r="F83" s="782" t="str">
        <f>": "&amp;COUNTIF($P$11:$P$75,"KXL")&amp;" SV"</f>
        <v>: 0 SV</v>
      </c>
      <c r="G83" s="782"/>
      <c r="H83" s="825" t="str">
        <f>IF(B11="","","("&amp;ROUND(COUNTIF($P$11:$P$75,"KXL")*100/MAX($A$11:$A$75),2)&amp;"%"&amp;")")</f>
        <v>(0%)</v>
      </c>
      <c r="I83" s="825"/>
      <c r="J83" s="794"/>
      <c r="K83" s="794"/>
      <c r="L83" s="794"/>
      <c r="M83" s="794"/>
      <c r="N83" s="794"/>
      <c r="O83" s="794"/>
      <c r="P83" s="94"/>
    </row>
    <row r="84" spans="1:16" ht="15.75">
      <c r="B84" s="47"/>
      <c r="C84" s="47"/>
      <c r="D84" s="47"/>
      <c r="E84" s="47"/>
      <c r="F84" s="47"/>
      <c r="G84" s="47"/>
      <c r="H84" s="47"/>
      <c r="I84" s="47"/>
      <c r="J84" s="47"/>
      <c r="K84" s="47"/>
      <c r="L84" s="47"/>
      <c r="M84" s="47"/>
      <c r="N84" s="47"/>
    </row>
    <row r="85" spans="1:16" ht="15.75" customHeight="1">
      <c r="A85" s="781" t="s">
        <v>1427</v>
      </c>
      <c r="B85" s="781"/>
      <c r="C85" s="781"/>
      <c r="D85" s="781" t="s">
        <v>1515</v>
      </c>
      <c r="E85" s="781"/>
      <c r="F85" s="781"/>
      <c r="G85" s="781"/>
      <c r="H85" s="781"/>
      <c r="I85" s="84"/>
      <c r="J85" s="781" t="s">
        <v>1516</v>
      </c>
      <c r="K85" s="781"/>
      <c r="L85" s="781"/>
      <c r="M85" s="781"/>
      <c r="N85" s="781"/>
      <c r="O85" s="114"/>
      <c r="P85" s="114"/>
    </row>
    <row r="91" spans="1:16" ht="15.75" customHeight="1">
      <c r="A91" s="781"/>
      <c r="B91" s="781"/>
      <c r="C91" s="781"/>
      <c r="D91" s="781"/>
      <c r="E91" s="781"/>
      <c r="F91" s="781"/>
      <c r="G91" s="781"/>
      <c r="H91" s="781"/>
      <c r="I91" s="84"/>
      <c r="J91" s="781"/>
      <c r="K91" s="781"/>
      <c r="L91" s="781"/>
      <c r="M91" s="781"/>
      <c r="N91" s="781"/>
      <c r="O91" s="114"/>
      <c r="P91" s="114"/>
    </row>
  </sheetData>
  <sheetProtection password="E4CC" sheet="1" objects="1" scenarios="1" formatCells="0" formatRows="0"/>
  <mergeCells count="59">
    <mergeCell ref="J78:O80"/>
    <mergeCell ref="J81:O83"/>
    <mergeCell ref="A91:C91"/>
    <mergeCell ref="D91:H91"/>
    <mergeCell ref="J91:N91"/>
    <mergeCell ref="H82:I82"/>
    <mergeCell ref="H83:I83"/>
    <mergeCell ref="D85:H85"/>
    <mergeCell ref="J85:N85"/>
    <mergeCell ref="H78:I78"/>
    <mergeCell ref="H79:I79"/>
    <mergeCell ref="H80:I80"/>
    <mergeCell ref="H81:I81"/>
    <mergeCell ref="B81:E81"/>
    <mergeCell ref="F81:G81"/>
    <mergeCell ref="B80:E80"/>
    <mergeCell ref="M6:O6"/>
    <mergeCell ref="M9:M10"/>
    <mergeCell ref="B77:E77"/>
    <mergeCell ref="F77:G77"/>
    <mergeCell ref="F9:F10"/>
    <mergeCell ref="G9:G10"/>
    <mergeCell ref="F8:N8"/>
    <mergeCell ref="B8:B10"/>
    <mergeCell ref="I9:I10"/>
    <mergeCell ref="N9:N10"/>
    <mergeCell ref="C6:F6"/>
    <mergeCell ref="J7:L7"/>
    <mergeCell ref="G6:I6"/>
    <mergeCell ref="K6:L6"/>
    <mergeCell ref="P8:P10"/>
    <mergeCell ref="A8:A10"/>
    <mergeCell ref="C8:D10"/>
    <mergeCell ref="O8:O10"/>
    <mergeCell ref="A76:P76"/>
    <mergeCell ref="H9:H10"/>
    <mergeCell ref="J9:J10"/>
    <mergeCell ref="K9:K10"/>
    <mergeCell ref="L9:L10"/>
    <mergeCell ref="G1:O1"/>
    <mergeCell ref="G2:O2"/>
    <mergeCell ref="A4:O4"/>
    <mergeCell ref="A5:O5"/>
    <mergeCell ref="G3:O3"/>
    <mergeCell ref="A1:F1"/>
    <mergeCell ref="A2:F2"/>
    <mergeCell ref="A3:F3"/>
    <mergeCell ref="A85:C85"/>
    <mergeCell ref="G7:I7"/>
    <mergeCell ref="E8:E10"/>
    <mergeCell ref="B82:E82"/>
    <mergeCell ref="F82:G82"/>
    <mergeCell ref="F80:G80"/>
    <mergeCell ref="B83:E83"/>
    <mergeCell ref="F83:G83"/>
    <mergeCell ref="B78:E78"/>
    <mergeCell ref="F78:G78"/>
    <mergeCell ref="B79:E79"/>
    <mergeCell ref="F79:G79"/>
  </mergeCells>
  <phoneticPr fontId="12" type="noConversion"/>
  <conditionalFormatting sqref="O11:O75">
    <cfRule type="cellIs" dxfId="1"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xl/worksheets/sheet19.xml><?xml version="1.0" encoding="utf-8"?>
<worksheet xmlns="http://schemas.openxmlformats.org/spreadsheetml/2006/main" xmlns:r="http://schemas.openxmlformats.org/officeDocument/2006/relationships">
  <sheetPr codeName="Sheet16"/>
  <dimension ref="A1:P91"/>
  <sheetViews>
    <sheetView workbookViewId="0">
      <selection activeCell="R22" sqref="R22"/>
    </sheetView>
  </sheetViews>
  <sheetFormatPr defaultRowHeight="12.75"/>
  <cols>
    <col min="1" max="1" width="4.28515625" style="5" customWidth="1"/>
    <col min="2" max="2" width="14.7109375" style="5" customWidth="1"/>
    <col min="3" max="3" width="19.140625" style="5" bestFit="1" customWidth="1"/>
    <col min="4" max="4" width="8.140625" style="5" bestFit="1" customWidth="1"/>
    <col min="5" max="5" width="6" style="5" bestFit="1" customWidth="1"/>
    <col min="6" max="9" width="5" style="5" bestFit="1" customWidth="1"/>
    <col min="10" max="10" width="5.42578125" style="5" bestFit="1" customWidth="1"/>
    <col min="11" max="14" width="5" style="5" bestFit="1" customWidth="1"/>
    <col min="15" max="15" width="6.140625" style="5" bestFit="1" customWidth="1"/>
    <col min="16" max="16" width="4.5703125" style="5" hidden="1" customWidth="1"/>
    <col min="17" max="16384" width="9.140625" style="5"/>
  </cols>
  <sheetData>
    <row r="1" spans="1:16" s="38" customFormat="1" ht="15">
      <c r="A1" s="809" t="s">
        <v>1295</v>
      </c>
      <c r="B1" s="809"/>
      <c r="C1" s="809"/>
      <c r="D1" s="809"/>
      <c r="E1" s="809"/>
      <c r="F1" s="809"/>
      <c r="G1" s="807" t="s">
        <v>1296</v>
      </c>
      <c r="H1" s="807"/>
      <c r="I1" s="807"/>
      <c r="J1" s="807"/>
      <c r="K1" s="807"/>
      <c r="L1" s="807"/>
      <c r="M1" s="807"/>
      <c r="N1" s="807"/>
      <c r="O1" s="807"/>
    </row>
    <row r="2" spans="1:16" s="38" customFormat="1" ht="14.25">
      <c r="A2" s="807" t="s">
        <v>1297</v>
      </c>
      <c r="B2" s="807"/>
      <c r="C2" s="807"/>
      <c r="D2" s="807"/>
      <c r="E2" s="807"/>
      <c r="F2" s="807"/>
      <c r="G2" s="807" t="s">
        <v>1298</v>
      </c>
      <c r="H2" s="807"/>
      <c r="I2" s="807"/>
      <c r="J2" s="807"/>
      <c r="K2" s="807"/>
      <c r="L2" s="807"/>
      <c r="M2" s="807"/>
      <c r="N2" s="807"/>
      <c r="O2" s="807"/>
    </row>
    <row r="3" spans="1:16" s="38" customFormat="1" ht="15.75">
      <c r="A3" s="810" t="s">
        <v>1299</v>
      </c>
      <c r="B3" s="810"/>
      <c r="C3" s="810"/>
      <c r="D3" s="810"/>
      <c r="E3" s="810"/>
      <c r="F3" s="810"/>
      <c r="G3" s="808" t="s">
        <v>1299</v>
      </c>
      <c r="H3" s="808"/>
      <c r="I3" s="808"/>
      <c r="J3" s="808"/>
      <c r="K3" s="808"/>
      <c r="L3" s="808"/>
      <c r="M3" s="808"/>
      <c r="N3" s="808"/>
      <c r="O3" s="808"/>
    </row>
    <row r="4" spans="1:16" ht="18.75">
      <c r="A4" s="786" t="s">
        <v>1300</v>
      </c>
      <c r="B4" s="786"/>
      <c r="C4" s="786"/>
      <c r="D4" s="786"/>
      <c r="E4" s="786"/>
      <c r="F4" s="786"/>
      <c r="G4" s="786"/>
      <c r="H4" s="786"/>
      <c r="I4" s="786"/>
      <c r="J4" s="786"/>
      <c r="K4" s="786"/>
      <c r="L4" s="786"/>
      <c r="M4" s="786"/>
      <c r="N4" s="786"/>
      <c r="O4" s="786"/>
    </row>
    <row r="5" spans="1:16" ht="18.75">
      <c r="A5" s="786"/>
      <c r="B5" s="786"/>
      <c r="C5" s="786"/>
      <c r="D5" s="786"/>
      <c r="E5" s="786"/>
      <c r="F5" s="786"/>
      <c r="G5" s="786"/>
      <c r="H5" s="786"/>
      <c r="I5" s="786"/>
      <c r="J5" s="786"/>
      <c r="K5" s="786"/>
      <c r="L5" s="786"/>
      <c r="M5" s="786"/>
      <c r="N5" s="786"/>
      <c r="O5" s="786"/>
    </row>
    <row r="6" spans="1:16" s="81" customFormat="1" ht="15">
      <c r="B6" s="82" t="s">
        <v>1509</v>
      </c>
      <c r="C6" s="780" t="str">
        <f>IF(M6="","",IF(VLOOKUP(M6,'LOP-MON'!$C$2:$N$55,12,FALSE)=0,"",VLOOKUP(M6,'LOP-MON'!$C$2:$N$55,12,FALSE)))</f>
        <v xml:space="preserve">Thực tập Đo lường và mạch điện </v>
      </c>
      <c r="D6" s="780"/>
      <c r="E6" s="780"/>
      <c r="F6" s="780"/>
      <c r="G6" s="781" t="s">
        <v>1532</v>
      </c>
      <c r="H6" s="781"/>
      <c r="I6" s="781"/>
      <c r="J6" s="83">
        <f>IF(M6="","",IF(VLOOKUP(CONCATENATE("TC",MID(M6,1,4),MID(M6,6,3)),'LOP-MON'!$C$2:$N$55,12,FALSE)=0,"",VLOOKUP(CONCATENATE("TC",MID(M6,1,4),MID(M6,6,3)),'LOP-MON'!$C$2:$N$55,12,FALSE)))</f>
        <v>2</v>
      </c>
      <c r="K6" s="779" t="s">
        <v>1424</v>
      </c>
      <c r="L6" s="779"/>
      <c r="M6" s="780" t="str">
        <f>HKI!$D$3</f>
        <v>13CĐ-Đ1</v>
      </c>
      <c r="N6" s="780"/>
      <c r="O6" s="780"/>
    </row>
    <row r="7" spans="1:16" s="86" customFormat="1" ht="15">
      <c r="C7" s="45" t="s">
        <v>1510</v>
      </c>
      <c r="D7" s="45" t="s">
        <v>1511</v>
      </c>
      <c r="E7" s="87"/>
      <c r="G7" s="790" t="s">
        <v>1512</v>
      </c>
      <c r="H7" s="790"/>
      <c r="I7" s="790"/>
      <c r="J7" s="790" t="s">
        <v>90</v>
      </c>
      <c r="K7" s="790"/>
      <c r="L7" s="790"/>
      <c r="O7" s="88"/>
      <c r="P7" s="88"/>
    </row>
    <row r="8" spans="1:16" s="112" customFormat="1" ht="15.75">
      <c r="A8" s="812" t="s">
        <v>1514</v>
      </c>
      <c r="B8" s="812" t="s">
        <v>1425</v>
      </c>
      <c r="C8" s="815" t="s">
        <v>1426</v>
      </c>
      <c r="D8" s="816"/>
      <c r="E8" s="798" t="s">
        <v>1518</v>
      </c>
      <c r="F8" s="822" t="s">
        <v>1301</v>
      </c>
      <c r="G8" s="823"/>
      <c r="H8" s="823"/>
      <c r="I8" s="823"/>
      <c r="J8" s="823"/>
      <c r="K8" s="823"/>
      <c r="L8" s="823"/>
      <c r="M8" s="823"/>
      <c r="N8" s="824"/>
      <c r="O8" s="812" t="s">
        <v>1520</v>
      </c>
      <c r="P8" s="811" t="s">
        <v>1517</v>
      </c>
    </row>
    <row r="9" spans="1:16" s="112" customFormat="1" ht="15.75">
      <c r="A9" s="813"/>
      <c r="B9" s="813"/>
      <c r="C9" s="817"/>
      <c r="D9" s="818"/>
      <c r="E9" s="799"/>
      <c r="F9" s="821" t="s">
        <v>1302</v>
      </c>
      <c r="G9" s="821" t="s">
        <v>1303</v>
      </c>
      <c r="H9" s="821" t="s">
        <v>1304</v>
      </c>
      <c r="I9" s="821" t="s">
        <v>1305</v>
      </c>
      <c r="J9" s="821" t="s">
        <v>1306</v>
      </c>
      <c r="K9" s="821" t="s">
        <v>1307</v>
      </c>
      <c r="L9" s="821" t="s">
        <v>1308</v>
      </c>
      <c r="M9" s="821" t="s">
        <v>1309</v>
      </c>
      <c r="N9" s="821" t="s">
        <v>1310</v>
      </c>
      <c r="O9" s="813"/>
      <c r="P9" s="811"/>
    </row>
    <row r="10" spans="1:16">
      <c r="A10" s="814"/>
      <c r="B10" s="814"/>
      <c r="C10" s="819"/>
      <c r="D10" s="820"/>
      <c r="E10" s="800"/>
      <c r="F10" s="821"/>
      <c r="G10" s="821"/>
      <c r="H10" s="821"/>
      <c r="I10" s="821"/>
      <c r="J10" s="821"/>
      <c r="K10" s="821"/>
      <c r="L10" s="821"/>
      <c r="M10" s="821"/>
      <c r="N10" s="821"/>
      <c r="O10" s="814"/>
      <c r="P10" s="811"/>
    </row>
    <row r="11" spans="1:16" ht="15">
      <c r="A11" s="2">
        <f>IF(OR($C$6="",$J$6="",M6=""),"",IF(B11="","",SUBTOTAL(3,$B$11:B11)))</f>
        <v>1</v>
      </c>
      <c r="B11" s="90" t="str">
        <f>IF(OR($C$6="",$J$6="",$M$6=""),"",IF(HKI!B11="","",HKI!B11))</f>
        <v>13D301Đ001</v>
      </c>
      <c r="C11" s="91" t="str">
        <f>IF($B11="","",VLOOKUP($B11,'DS LOP HKI'!$B$2:$F$2642,2,0))</f>
        <v>Lương Hoàng Thuận</v>
      </c>
      <c r="D11" s="92" t="str">
        <f>IF($B11="","",VLOOKUP($B11,'DS LOP HKI'!$B$2:$F$2642,3,0))</f>
        <v>An</v>
      </c>
      <c r="E11" s="143"/>
      <c r="F11" s="201">
        <v>8</v>
      </c>
      <c r="G11" s="201">
        <v>9</v>
      </c>
      <c r="H11" s="201">
        <v>10</v>
      </c>
      <c r="I11" s="201">
        <v>9</v>
      </c>
      <c r="J11" s="201"/>
      <c r="K11" s="201"/>
      <c r="L11" s="201"/>
      <c r="M11" s="111"/>
      <c r="N11" s="201"/>
      <c r="O11" s="145">
        <f t="shared" ref="O11:O42" si="0">IF(OR(B11="",$C$6="",$J$6="",$M$6=""),"",IF(ISNUMBER(E11)=TRUE,E11,IF(COUNT(F11:N11)=0,"",ROUND(SUM(F11:N11)/COUNT(F11:N11),1))))</f>
        <v>9</v>
      </c>
      <c r="P11" s="113" t="str">
        <f>IF(OR(B11="",$C$6="",$J$6="",$M$6=""),"",IF(O11="","KXL",IF(O11&lt;4,"Kém",IF(O11&lt;5.5,"TBY",IF(O11&lt;7,"TB",IF(O11&lt;8.5,"Khá","Giỏi"))))))</f>
        <v>Giỏi</v>
      </c>
    </row>
    <row r="12" spans="1:16" ht="15">
      <c r="A12" s="2">
        <f>IF(OR($C$6="",$J$6=""),"",IF(B12="","",SUBTOTAL(3,$B$11:B12)))</f>
        <v>2</v>
      </c>
      <c r="B12" s="90" t="str">
        <f>IF(OR($C$6="",$J$6="",$M$6=""),"",IF(HKI!B12="","",HKI!B12))</f>
        <v>13D301Đ009</v>
      </c>
      <c r="C12" s="91" t="str">
        <f>IF($B12="","",VLOOKUP($B12,'DS LOP HKI'!$B$2:$F$2642,2,0))</f>
        <v>Võ Thành</v>
      </c>
      <c r="D12" s="92" t="str">
        <f>IF($B12="","",VLOOKUP($B12,'DS LOP HKI'!$B$2:$F$2642,3,0))</f>
        <v>Bảo</v>
      </c>
      <c r="E12" s="143"/>
      <c r="F12" s="201">
        <v>9</v>
      </c>
      <c r="G12" s="201">
        <v>5</v>
      </c>
      <c r="H12" s="201">
        <v>8</v>
      </c>
      <c r="I12" s="201">
        <v>6</v>
      </c>
      <c r="J12" s="201"/>
      <c r="K12" s="201"/>
      <c r="L12" s="201"/>
      <c r="M12" s="111"/>
      <c r="N12" s="201"/>
      <c r="O12" s="145">
        <f t="shared" si="0"/>
        <v>7</v>
      </c>
      <c r="P12" s="113" t="str">
        <f t="shared" ref="P12:P75" si="1">IF(OR(B12="",$C$6="",$J$6="",$M$6=""),"",IF(O12="","KXL",IF(O12&lt;4,"Kém",IF(O12&lt;5.5,"TBY",IF(O12&lt;7,"TB",IF(O12&lt;8.5,"Khá","Giỏi"))))))</f>
        <v>Khá</v>
      </c>
    </row>
    <row r="13" spans="1:16" ht="15">
      <c r="A13" s="2">
        <f>IF(OR($C$6="",$J$6=""),"",IF(B13="","",SUBTOTAL(3,$B$11:B13)))</f>
        <v>3</v>
      </c>
      <c r="B13" s="90" t="str">
        <f>IF(OR($C$6="",$J$6="",$M$6=""),"",IF(HKI!B13="","",HKI!B13))</f>
        <v>13D301Đ013</v>
      </c>
      <c r="C13" s="91" t="str">
        <f>IF($B13="","",VLOOKUP($B13,'DS LOP HKI'!$B$2:$F$2642,2,0))</f>
        <v>Nguyễn Chí</v>
      </c>
      <c r="D13" s="92" t="str">
        <f>IF($B13="","",VLOOKUP($B13,'DS LOP HKI'!$B$2:$F$2642,3,0))</f>
        <v>Bình</v>
      </c>
      <c r="E13" s="143"/>
      <c r="F13" s="201">
        <v>8</v>
      </c>
      <c r="G13" s="201">
        <v>6</v>
      </c>
      <c r="H13" s="201">
        <v>6</v>
      </c>
      <c r="I13" s="201">
        <v>5</v>
      </c>
      <c r="J13" s="201"/>
      <c r="K13" s="201"/>
      <c r="L13" s="201"/>
      <c r="M13" s="111"/>
      <c r="N13" s="201"/>
      <c r="O13" s="145">
        <f t="shared" si="0"/>
        <v>6.3</v>
      </c>
      <c r="P13" s="113" t="str">
        <f t="shared" si="1"/>
        <v>TB</v>
      </c>
    </row>
    <row r="14" spans="1:16" ht="15">
      <c r="A14" s="2">
        <f>IF(OR($C$6="",$J$6=""),"",IF(B14="","",SUBTOTAL(3,$B$11:B14)))</f>
        <v>4</v>
      </c>
      <c r="B14" s="90" t="str">
        <f>IF(OR($C$6="",$J$6="",$M$6=""),"",IF(HKI!B14="","",HKI!B14))</f>
        <v>13D301Đ017</v>
      </c>
      <c r="C14" s="91" t="str">
        <f>IF($B14="","",VLOOKUP($B14,'DS LOP HKI'!$B$2:$F$2642,2,0))</f>
        <v>Trần Văn</v>
      </c>
      <c r="D14" s="92" t="str">
        <f>IF($B14="","",VLOOKUP($B14,'DS LOP HKI'!$B$2:$F$2642,3,0))</f>
        <v>Chinh</v>
      </c>
      <c r="E14" s="143"/>
      <c r="F14" s="201">
        <v>8</v>
      </c>
      <c r="G14" s="201">
        <v>7</v>
      </c>
      <c r="H14" s="201">
        <v>6</v>
      </c>
      <c r="I14" s="201">
        <v>5</v>
      </c>
      <c r="J14" s="201"/>
      <c r="K14" s="201"/>
      <c r="L14" s="201"/>
      <c r="M14" s="111"/>
      <c r="N14" s="201"/>
      <c r="O14" s="145">
        <f t="shared" si="0"/>
        <v>6.5</v>
      </c>
      <c r="P14" s="113" t="str">
        <f t="shared" si="1"/>
        <v>TB</v>
      </c>
    </row>
    <row r="15" spans="1:16" ht="15">
      <c r="A15" s="2">
        <f>IF(OR($C$6="",$J$6=""),"",IF(B15="","",SUBTOTAL(3,$B$11:B15)))</f>
        <v>5</v>
      </c>
      <c r="B15" s="90" t="str">
        <f>IF(OR($C$6="",$J$6="",$M$6=""),"",IF(HKI!B15="","",HKI!B15))</f>
        <v>13D301Đ021</v>
      </c>
      <c r="C15" s="91" t="str">
        <f>IF($B15="","",VLOOKUP($B15,'DS LOP HKI'!$B$2:$F$2642,2,0))</f>
        <v>Nguyễn Chí</v>
      </c>
      <c r="D15" s="92" t="str">
        <f>IF($B15="","",VLOOKUP($B15,'DS LOP HKI'!$B$2:$F$2642,3,0))</f>
        <v>Cường</v>
      </c>
      <c r="E15" s="143"/>
      <c r="F15" s="201">
        <v>9</v>
      </c>
      <c r="G15" s="201">
        <v>5</v>
      </c>
      <c r="H15" s="201">
        <v>6</v>
      </c>
      <c r="I15" s="201">
        <v>3</v>
      </c>
      <c r="J15" s="201"/>
      <c r="K15" s="201"/>
      <c r="L15" s="201"/>
      <c r="M15" s="111"/>
      <c r="N15" s="201"/>
      <c r="O15" s="145">
        <f t="shared" si="0"/>
        <v>5.8</v>
      </c>
      <c r="P15" s="113" t="str">
        <f t="shared" si="1"/>
        <v>TB</v>
      </c>
    </row>
    <row r="16" spans="1:16" ht="15">
      <c r="A16" s="2">
        <f>IF(OR($C$6="",$J$6=""),"",IF(B16="","",SUBTOTAL(3,$B$11:B16)))</f>
        <v>6</v>
      </c>
      <c r="B16" s="90" t="str">
        <f>IF(OR($C$6="",$J$6="",$M$6=""),"",IF(HKI!B16="","",HKI!B16))</f>
        <v>13D301Đ025</v>
      </c>
      <c r="C16" s="91" t="str">
        <f>IF($B16="","",VLOOKUP($B16,'DS LOP HKI'!$B$2:$F$2642,2,0))</f>
        <v>Nguyễn Ngọc</v>
      </c>
      <c r="D16" s="92" t="str">
        <f>IF($B16="","",VLOOKUP($B16,'DS LOP HKI'!$B$2:$F$2642,3,0))</f>
        <v>Dũng</v>
      </c>
      <c r="E16" s="143"/>
      <c r="F16" s="201">
        <v>8</v>
      </c>
      <c r="G16" s="201">
        <v>5</v>
      </c>
      <c r="H16" s="201">
        <v>6</v>
      </c>
      <c r="I16" s="201">
        <v>6</v>
      </c>
      <c r="J16" s="201"/>
      <c r="K16" s="201"/>
      <c r="L16" s="201"/>
      <c r="M16" s="111"/>
      <c r="N16" s="201"/>
      <c r="O16" s="145">
        <f t="shared" si="0"/>
        <v>6.3</v>
      </c>
      <c r="P16" s="113" t="str">
        <f t="shared" si="1"/>
        <v>TB</v>
      </c>
    </row>
    <row r="17" spans="1:16" ht="15">
      <c r="A17" s="2">
        <f>IF(OR($C$6="",$J$6=""),"",IF(B17="","",SUBTOTAL(3,$B$11:B17)))</f>
        <v>7</v>
      </c>
      <c r="B17" s="90" t="str">
        <f>IF(OR($C$6="",$J$6="",$M$6=""),"",IF(HKI!B17="","",HKI!B17))</f>
        <v>13D301Đ033</v>
      </c>
      <c r="C17" s="91" t="str">
        <f>IF($B17="","",VLOOKUP($B17,'DS LOP HKI'!$B$2:$F$2642,2,0))</f>
        <v xml:space="preserve">Trương Văn </v>
      </c>
      <c r="D17" s="92" t="str">
        <f>IF($B17="","",VLOOKUP($B17,'DS LOP HKI'!$B$2:$F$2642,3,0))</f>
        <v>Đạt</v>
      </c>
      <c r="E17" s="143"/>
      <c r="F17" s="201">
        <v>7</v>
      </c>
      <c r="G17" s="201">
        <v>3</v>
      </c>
      <c r="H17" s="201">
        <v>10</v>
      </c>
      <c r="I17" s="201">
        <v>5</v>
      </c>
      <c r="J17" s="201"/>
      <c r="K17" s="201"/>
      <c r="L17" s="201"/>
      <c r="M17" s="111"/>
      <c r="N17" s="201"/>
      <c r="O17" s="145">
        <f t="shared" si="0"/>
        <v>6.3</v>
      </c>
      <c r="P17" s="113" t="str">
        <f t="shared" si="1"/>
        <v>TB</v>
      </c>
    </row>
    <row r="18" spans="1:16" ht="15">
      <c r="A18" s="2">
        <f>IF(OR($C$6="",$J$6=""),"",IF(B18="","",SUBTOTAL(3,$B$11:B18)))</f>
        <v>8</v>
      </c>
      <c r="B18" s="90" t="str">
        <f>IF(OR($C$6="",$J$6="",$M$6=""),"",IF(HKI!B18="","",HKI!B18))</f>
        <v>13D301Đ037</v>
      </c>
      <c r="C18" s="91" t="str">
        <f>IF($B18="","",VLOOKUP($B18,'DS LOP HKI'!$B$2:$F$2642,2,0))</f>
        <v>Nguyễn Thành</v>
      </c>
      <c r="D18" s="92" t="str">
        <f>IF($B18="","",VLOOKUP($B18,'DS LOP HKI'!$B$2:$F$2642,3,0))</f>
        <v>Đông</v>
      </c>
      <c r="E18" s="143"/>
      <c r="F18" s="201">
        <v>10</v>
      </c>
      <c r="G18" s="201">
        <v>5</v>
      </c>
      <c r="H18" s="201">
        <v>8</v>
      </c>
      <c r="I18" s="201">
        <v>5</v>
      </c>
      <c r="J18" s="201"/>
      <c r="K18" s="201"/>
      <c r="L18" s="201"/>
      <c r="M18" s="111"/>
      <c r="N18" s="201"/>
      <c r="O18" s="145">
        <f t="shared" si="0"/>
        <v>7</v>
      </c>
      <c r="P18" s="113" t="str">
        <f t="shared" si="1"/>
        <v>Khá</v>
      </c>
    </row>
    <row r="19" spans="1:16" ht="15">
      <c r="A19" s="2">
        <f>IF(OR($C$6="",$J$6=""),"",IF(B19="","",SUBTOTAL(3,$B$11:B19)))</f>
        <v>9</v>
      </c>
      <c r="B19" s="90" t="str">
        <f>IF(OR($C$6="",$J$6="",$M$6=""),"",IF(HKI!B19="","",HKI!B19))</f>
        <v>13D301Đ041</v>
      </c>
      <c r="C19" s="91" t="str">
        <f>IF($B19="","",VLOOKUP($B19,'DS LOP HKI'!$B$2:$F$2642,2,0))</f>
        <v>Lê Hoàng</v>
      </c>
      <c r="D19" s="92" t="str">
        <f>IF($B19="","",VLOOKUP($B19,'DS LOP HKI'!$B$2:$F$2642,3,0))</f>
        <v>Giang</v>
      </c>
      <c r="E19" s="143"/>
      <c r="F19" s="201">
        <v>10</v>
      </c>
      <c r="G19" s="201">
        <v>5</v>
      </c>
      <c r="H19" s="201">
        <v>6</v>
      </c>
      <c r="I19" s="201">
        <v>6</v>
      </c>
      <c r="J19" s="201"/>
      <c r="K19" s="201"/>
      <c r="L19" s="201"/>
      <c r="M19" s="111"/>
      <c r="N19" s="201"/>
      <c r="O19" s="145">
        <f t="shared" si="0"/>
        <v>6.8</v>
      </c>
      <c r="P19" s="113" t="str">
        <f t="shared" si="1"/>
        <v>TB</v>
      </c>
    </row>
    <row r="20" spans="1:16" ht="15">
      <c r="A20" s="2">
        <f>IF(OR($C$6="",$J$6=""),"",IF(B20="","",SUBTOTAL(3,$B$11:B20)))</f>
        <v>10</v>
      </c>
      <c r="B20" s="90" t="str">
        <f>IF(OR($C$6="",$J$6="",$M$6=""),"",IF(HKI!B20="","",HKI!B20))</f>
        <v>13D301Đ045</v>
      </c>
      <c r="C20" s="91" t="str">
        <f>IF($B20="","",VLOOKUP($B20,'DS LOP HKI'!$B$2:$F$2642,2,0))</f>
        <v>Lê Công</v>
      </c>
      <c r="D20" s="92" t="str">
        <f>IF($B20="","",VLOOKUP($B20,'DS LOP HKI'!$B$2:$F$2642,3,0))</f>
        <v>Hậu</v>
      </c>
      <c r="E20" s="143"/>
      <c r="F20" s="201">
        <v>10</v>
      </c>
      <c r="G20" s="201">
        <v>5</v>
      </c>
      <c r="H20" s="201">
        <v>9</v>
      </c>
      <c r="I20" s="201">
        <v>8</v>
      </c>
      <c r="J20" s="201"/>
      <c r="K20" s="201"/>
      <c r="L20" s="201"/>
      <c r="M20" s="111"/>
      <c r="N20" s="201"/>
      <c r="O20" s="145">
        <f t="shared" si="0"/>
        <v>8</v>
      </c>
      <c r="P20" s="113" t="str">
        <f t="shared" si="1"/>
        <v>Khá</v>
      </c>
    </row>
    <row r="21" spans="1:16" ht="15">
      <c r="A21" s="2">
        <f>IF(OR($C$6="",$J$6=""),"",IF(B21="","",SUBTOTAL(3,$B$11:B21)))</f>
        <v>11</v>
      </c>
      <c r="B21" s="90" t="str">
        <f>IF(OR($C$6="",$J$6="",$M$6=""),"",IF(HKI!B21="","",HKI!B21))</f>
        <v>13D301Đ049</v>
      </c>
      <c r="C21" s="91" t="str">
        <f>IF($B21="","",VLOOKUP($B21,'DS LOP HKI'!$B$2:$F$2642,2,0))</f>
        <v>Lê Minh</v>
      </c>
      <c r="D21" s="92" t="str">
        <f>IF($B21="","",VLOOKUP($B21,'DS LOP HKI'!$B$2:$F$2642,3,0))</f>
        <v>Hiếu</v>
      </c>
      <c r="E21" s="143"/>
      <c r="F21" s="201">
        <v>8</v>
      </c>
      <c r="G21" s="201">
        <v>5</v>
      </c>
      <c r="H21" s="201">
        <v>9</v>
      </c>
      <c r="I21" s="201">
        <v>2</v>
      </c>
      <c r="J21" s="201"/>
      <c r="K21" s="201"/>
      <c r="L21" s="201"/>
      <c r="M21" s="111"/>
      <c r="N21" s="201"/>
      <c r="O21" s="145">
        <f t="shared" si="0"/>
        <v>6</v>
      </c>
      <c r="P21" s="113" t="str">
        <f t="shared" si="1"/>
        <v>TB</v>
      </c>
    </row>
    <row r="22" spans="1:16" ht="15">
      <c r="A22" s="2">
        <f>IF(OR($C$6="",$J$6=""),"",IF(B22="","",SUBTOTAL(3,$B$11:B22)))</f>
        <v>12</v>
      </c>
      <c r="B22" s="90" t="str">
        <f>IF(OR($C$6="",$J$6="",$M$6=""),"",IF(HKI!B22="","",HKI!B22))</f>
        <v>13D301Đ053</v>
      </c>
      <c r="C22" s="91" t="str">
        <f>IF($B22="","",VLOOKUP($B22,'DS LOP HKI'!$B$2:$F$2642,2,0))</f>
        <v>Nguyễn Ngọc</v>
      </c>
      <c r="D22" s="92" t="str">
        <f>IF($B22="","",VLOOKUP($B22,'DS LOP HKI'!$B$2:$F$2642,3,0))</f>
        <v>Hoài</v>
      </c>
      <c r="E22" s="143"/>
      <c r="F22" s="201">
        <v>10</v>
      </c>
      <c r="G22" s="201">
        <v>7</v>
      </c>
      <c r="H22" s="201">
        <v>9</v>
      </c>
      <c r="I22" s="201">
        <v>7</v>
      </c>
      <c r="J22" s="201"/>
      <c r="K22" s="201"/>
      <c r="L22" s="201"/>
      <c r="M22" s="111"/>
      <c r="N22" s="201"/>
      <c r="O22" s="145">
        <f t="shared" si="0"/>
        <v>8.3000000000000007</v>
      </c>
      <c r="P22" s="113" t="str">
        <f t="shared" si="1"/>
        <v>Khá</v>
      </c>
    </row>
    <row r="23" spans="1:16" ht="15">
      <c r="A23" s="2">
        <f>IF(OR($C$6="",$J$6=""),"",IF(B23="","",SUBTOTAL(3,$B$11:B23)))</f>
        <v>13</v>
      </c>
      <c r="B23" s="90" t="str">
        <f>IF(OR($C$6="",$J$6="",$M$6=""),"",IF(HKI!B23="","",HKI!B23))</f>
        <v>13D301Đ057</v>
      </c>
      <c r="C23" s="91" t="str">
        <f>IF($B23="","",VLOOKUP($B23,'DS LOP HKI'!$B$2:$F$2642,2,0))</f>
        <v>Trịnh Thanh</v>
      </c>
      <c r="D23" s="92" t="str">
        <f>IF($B23="","",VLOOKUP($B23,'DS LOP HKI'!$B$2:$F$2642,3,0))</f>
        <v>Hoàng</v>
      </c>
      <c r="E23" s="143"/>
      <c r="F23" s="201">
        <v>10</v>
      </c>
      <c r="G23" s="201">
        <v>7</v>
      </c>
      <c r="H23" s="201">
        <v>8</v>
      </c>
      <c r="I23" s="201">
        <v>5</v>
      </c>
      <c r="J23" s="201"/>
      <c r="K23" s="201"/>
      <c r="L23" s="201"/>
      <c r="M23" s="111"/>
      <c r="N23" s="201"/>
      <c r="O23" s="145">
        <f t="shared" si="0"/>
        <v>7.5</v>
      </c>
      <c r="P23" s="113" t="str">
        <f t="shared" si="1"/>
        <v>Khá</v>
      </c>
    </row>
    <row r="24" spans="1:16" ht="15">
      <c r="A24" s="2">
        <f>IF(OR($C$6="",$J$6=""),"",IF(B24="","",SUBTOTAL(3,$B$11:B24)))</f>
        <v>14</v>
      </c>
      <c r="B24" s="90" t="str">
        <f>IF(OR($C$6="",$J$6="",$M$6=""),"",IF(HKI!B24="","",HKI!B24))</f>
        <v>13D301Đ061</v>
      </c>
      <c r="C24" s="91" t="str">
        <f>IF($B24="","",VLOOKUP($B24,'DS LOP HKI'!$B$2:$F$2642,2,0))</f>
        <v>Huỳnh Thanh</v>
      </c>
      <c r="D24" s="92" t="str">
        <f>IF($B24="","",VLOOKUP($B24,'DS LOP HKI'!$B$2:$F$2642,3,0))</f>
        <v>Hùng</v>
      </c>
      <c r="E24" s="143"/>
      <c r="F24" s="201">
        <v>8</v>
      </c>
      <c r="G24" s="201">
        <v>5</v>
      </c>
      <c r="H24" s="201">
        <v>6</v>
      </c>
      <c r="I24" s="201">
        <v>5</v>
      </c>
      <c r="J24" s="201"/>
      <c r="K24" s="201"/>
      <c r="L24" s="201"/>
      <c r="M24" s="111"/>
      <c r="N24" s="201"/>
      <c r="O24" s="145">
        <f t="shared" si="0"/>
        <v>6</v>
      </c>
      <c r="P24" s="113" t="str">
        <f t="shared" si="1"/>
        <v>TB</v>
      </c>
    </row>
    <row r="25" spans="1:16" ht="15">
      <c r="A25" s="2">
        <f>IF(OR($C$6="",$J$6=""),"",IF(B25="","",SUBTOTAL(3,$B$11:B25)))</f>
        <v>15</v>
      </c>
      <c r="B25" s="90" t="str">
        <f>IF(OR($C$6="",$J$6="",$M$6=""),"",IF(HKI!B25="","",HKI!B25))</f>
        <v>13D301Đ065</v>
      </c>
      <c r="C25" s="91" t="str">
        <f>IF($B25="","",VLOOKUP($B25,'DS LOP HKI'!$B$2:$F$2642,2,0))</f>
        <v>Đoàn Lê Xuân</v>
      </c>
      <c r="D25" s="92" t="str">
        <f>IF($B25="","",VLOOKUP($B25,'DS LOP HKI'!$B$2:$F$2642,3,0))</f>
        <v>Huy</v>
      </c>
      <c r="E25" s="143"/>
      <c r="F25" s="201">
        <v>9</v>
      </c>
      <c r="G25" s="201">
        <v>5</v>
      </c>
      <c r="H25" s="201">
        <v>8</v>
      </c>
      <c r="I25" s="201">
        <v>6</v>
      </c>
      <c r="J25" s="201"/>
      <c r="K25" s="201"/>
      <c r="L25" s="201"/>
      <c r="M25" s="111"/>
      <c r="N25" s="201"/>
      <c r="O25" s="145">
        <f t="shared" si="0"/>
        <v>7</v>
      </c>
      <c r="P25" s="113" t="str">
        <f t="shared" si="1"/>
        <v>Khá</v>
      </c>
    </row>
    <row r="26" spans="1:16" ht="15">
      <c r="A26" s="2">
        <f>IF(OR($C$6="",$J$6=""),"",IF(B26="","",SUBTOTAL(3,$B$11:B26)))</f>
        <v>16</v>
      </c>
      <c r="B26" s="90" t="str">
        <f>IF(OR($C$6="",$J$6="",$M$6=""),"",IF(HKI!B26="","",HKI!B26))</f>
        <v>13D301Đ073</v>
      </c>
      <c r="C26" s="91" t="str">
        <f>IF($B26="","",VLOOKUP($B26,'DS LOP HKI'!$B$2:$F$2642,2,0))</f>
        <v>Trịnh Đại</v>
      </c>
      <c r="D26" s="92" t="str">
        <f>IF($B26="","",VLOOKUP($B26,'DS LOP HKI'!$B$2:$F$2642,3,0))</f>
        <v>Lăng</v>
      </c>
      <c r="E26" s="143"/>
      <c r="F26" s="201">
        <v>10</v>
      </c>
      <c r="G26" s="201">
        <v>5</v>
      </c>
      <c r="H26" s="201">
        <v>9</v>
      </c>
      <c r="I26" s="201">
        <v>5</v>
      </c>
      <c r="J26" s="201"/>
      <c r="K26" s="201"/>
      <c r="L26" s="201"/>
      <c r="M26" s="111"/>
      <c r="N26" s="201"/>
      <c r="O26" s="145">
        <f t="shared" si="0"/>
        <v>7.3</v>
      </c>
      <c r="P26" s="113" t="str">
        <f t="shared" si="1"/>
        <v>Khá</v>
      </c>
    </row>
    <row r="27" spans="1:16" ht="15">
      <c r="A27" s="2">
        <f>IF(OR($C$6="",$J$6=""),"",IF(B27="","",SUBTOTAL(3,$B$11:B27)))</f>
        <v>17</v>
      </c>
      <c r="B27" s="90" t="str">
        <f>IF(OR($C$6="",$J$6="",$M$6=""),"",IF(HKI!B27="","",HKI!B27))</f>
        <v>13D301Đ204</v>
      </c>
      <c r="C27" s="91" t="str">
        <f>IF($B27="","",VLOOKUP($B27,'DS LOP HKI'!$B$2:$F$2642,2,0))</f>
        <v>Nguyễn Khánh</v>
      </c>
      <c r="D27" s="92" t="str">
        <f>IF($B27="","",VLOOKUP($B27,'DS LOP HKI'!$B$2:$F$2642,3,0))</f>
        <v>Linh</v>
      </c>
      <c r="E27" s="143"/>
      <c r="F27" s="201">
        <v>9</v>
      </c>
      <c r="G27" s="201">
        <v>8</v>
      </c>
      <c r="H27" s="201">
        <v>10</v>
      </c>
      <c r="I27" s="201">
        <v>9</v>
      </c>
      <c r="J27" s="201"/>
      <c r="K27" s="201"/>
      <c r="L27" s="201"/>
      <c r="M27" s="111"/>
      <c r="N27" s="201"/>
      <c r="O27" s="145">
        <f t="shared" si="0"/>
        <v>9</v>
      </c>
      <c r="P27" s="113" t="str">
        <f t="shared" si="1"/>
        <v>Giỏi</v>
      </c>
    </row>
    <row r="28" spans="1:16" ht="15">
      <c r="A28" s="2">
        <f>IF(OR($C$6="",$J$6=""),"",IF(B28="","",SUBTOTAL(3,$B$11:B28)))</f>
        <v>18</v>
      </c>
      <c r="B28" s="90" t="str">
        <f>IF(OR($C$6="",$J$6="",$M$6=""),"",IF(HKI!B28="","",HKI!B28))</f>
        <v>13D301Đ162</v>
      </c>
      <c r="C28" s="91" t="str">
        <f>IF($B28="","",VLOOKUP($B28,'DS LOP HKI'!$B$2:$F$2642,2,0))</f>
        <v>Đỗ Văn</v>
      </c>
      <c r="D28" s="92" t="str">
        <f>IF($B28="","",VLOOKUP($B28,'DS LOP HKI'!$B$2:$F$2642,3,0))</f>
        <v>Lượng</v>
      </c>
      <c r="E28" s="143"/>
      <c r="F28" s="201">
        <v>10</v>
      </c>
      <c r="G28" s="201">
        <v>4</v>
      </c>
      <c r="H28" s="201">
        <v>9</v>
      </c>
      <c r="I28" s="201">
        <v>7</v>
      </c>
      <c r="J28" s="201"/>
      <c r="K28" s="201"/>
      <c r="L28" s="201"/>
      <c r="M28" s="111"/>
      <c r="N28" s="201"/>
      <c r="O28" s="145">
        <f t="shared" si="0"/>
        <v>7.5</v>
      </c>
      <c r="P28" s="113" t="str">
        <f t="shared" si="1"/>
        <v>Khá</v>
      </c>
    </row>
    <row r="29" spans="1:16" ht="15">
      <c r="A29" s="2">
        <f>IF(OR($C$6="",$J$6=""),"",IF(B29="","",SUBTOTAL(3,$B$11:B29)))</f>
        <v>19</v>
      </c>
      <c r="B29" s="90" t="str">
        <f>IF(OR($C$6="",$J$6="",$M$6=""),"",IF(HKI!B29="","",HKI!B29))</f>
        <v>13D301Đ081</v>
      </c>
      <c r="C29" s="91" t="str">
        <f>IF($B29="","",VLOOKUP($B29,'DS LOP HKI'!$B$2:$F$2642,2,0))</f>
        <v>Mai Đình</v>
      </c>
      <c r="D29" s="92" t="str">
        <f>IF($B29="","",VLOOKUP($B29,'DS LOP HKI'!$B$2:$F$2642,3,0))</f>
        <v>Luyện</v>
      </c>
      <c r="E29" s="143"/>
      <c r="F29" s="201">
        <v>8</v>
      </c>
      <c r="G29" s="201">
        <v>7</v>
      </c>
      <c r="H29" s="201">
        <v>6</v>
      </c>
      <c r="I29" s="201">
        <v>5</v>
      </c>
      <c r="J29" s="201"/>
      <c r="K29" s="201"/>
      <c r="L29" s="201"/>
      <c r="M29" s="111"/>
      <c r="N29" s="201"/>
      <c r="O29" s="145">
        <f t="shared" si="0"/>
        <v>6.5</v>
      </c>
      <c r="P29" s="113" t="str">
        <f t="shared" si="1"/>
        <v>TB</v>
      </c>
    </row>
    <row r="30" spans="1:16" ht="15">
      <c r="A30" s="2">
        <f>IF(OR($C$6="",$J$6=""),"",IF(B30="","",SUBTOTAL(3,$B$11:B30)))</f>
        <v>20</v>
      </c>
      <c r="B30" s="90" t="str">
        <f>IF(OR($C$6="",$J$6="",$M$6=""),"",IF(HKI!B30="","",HKI!B30))</f>
        <v>13D301Đ085</v>
      </c>
      <c r="C30" s="91" t="str">
        <f>IF($B30="","",VLOOKUP($B30,'DS LOP HKI'!$B$2:$F$2642,2,0))</f>
        <v>Võ Hoài</v>
      </c>
      <c r="D30" s="92" t="str">
        <f>IF($B30="","",VLOOKUP($B30,'DS LOP HKI'!$B$2:$F$2642,3,0))</f>
        <v>Nam</v>
      </c>
      <c r="E30" s="143"/>
      <c r="F30" s="201">
        <v>9</v>
      </c>
      <c r="G30" s="201">
        <v>6</v>
      </c>
      <c r="H30" s="201">
        <v>6</v>
      </c>
      <c r="I30" s="201">
        <v>7</v>
      </c>
      <c r="J30" s="201"/>
      <c r="K30" s="201"/>
      <c r="L30" s="201"/>
      <c r="M30" s="111"/>
      <c r="N30" s="201"/>
      <c r="O30" s="145">
        <f t="shared" si="0"/>
        <v>7</v>
      </c>
      <c r="P30" s="113" t="str">
        <f t="shared" si="1"/>
        <v>Khá</v>
      </c>
    </row>
    <row r="31" spans="1:16" ht="15">
      <c r="A31" s="2">
        <f>IF(OR($C$6="",$J$6=""),"",IF(B31="","",SUBTOTAL(3,$B$11:B31)))</f>
        <v>21</v>
      </c>
      <c r="B31" s="90" t="str">
        <f>IF(OR($C$6="",$J$6="",$M$6=""),"",IF(HKI!B31="","",HKI!B31))</f>
        <v>13D301Đ089</v>
      </c>
      <c r="C31" s="91" t="str">
        <f>IF($B31="","",VLOOKUP($B31,'DS LOP HKI'!$B$2:$F$2642,2,0))</f>
        <v>Nguyễn Hữu</v>
      </c>
      <c r="D31" s="92" t="str">
        <f>IF($B31="","",VLOOKUP($B31,'DS LOP HKI'!$B$2:$F$2642,3,0))</f>
        <v>Nghĩa</v>
      </c>
      <c r="E31" s="143"/>
      <c r="F31" s="201">
        <v>8</v>
      </c>
      <c r="G31" s="201">
        <v>6</v>
      </c>
      <c r="H31" s="201">
        <v>7</v>
      </c>
      <c r="I31" s="201">
        <v>4</v>
      </c>
      <c r="J31" s="201"/>
      <c r="K31" s="201"/>
      <c r="L31" s="201"/>
      <c r="M31" s="111"/>
      <c r="N31" s="201"/>
      <c r="O31" s="145">
        <f t="shared" si="0"/>
        <v>6.3</v>
      </c>
      <c r="P31" s="113" t="str">
        <f t="shared" si="1"/>
        <v>TB</v>
      </c>
    </row>
    <row r="32" spans="1:16" ht="15">
      <c r="A32" s="2">
        <f>IF(OR($C$6="",$J$6=""),"",IF(B32="","",SUBTOTAL(3,$B$11:B32)))</f>
        <v>22</v>
      </c>
      <c r="B32" s="90" t="str">
        <f>IF(OR($C$6="",$J$6="",$M$6=""),"",IF(HKI!B32="","",HKI!B32))</f>
        <v>13D301Đ097</v>
      </c>
      <c r="C32" s="91" t="str">
        <f>IF($B32="","",VLOOKUP($B32,'DS LOP HKI'!$B$2:$F$2642,2,0))</f>
        <v>Nguyễn Thành</v>
      </c>
      <c r="D32" s="92" t="str">
        <f>IF($B32="","",VLOOKUP($B32,'DS LOP HKI'!$B$2:$F$2642,3,0))</f>
        <v>Phát</v>
      </c>
      <c r="E32" s="143"/>
      <c r="F32" s="201">
        <v>9</v>
      </c>
      <c r="G32" s="201">
        <v>7</v>
      </c>
      <c r="H32" s="201">
        <v>8</v>
      </c>
      <c r="I32" s="201">
        <v>8</v>
      </c>
      <c r="J32" s="201"/>
      <c r="K32" s="201"/>
      <c r="L32" s="201"/>
      <c r="M32" s="111"/>
      <c r="N32" s="201"/>
      <c r="O32" s="145">
        <f t="shared" si="0"/>
        <v>8</v>
      </c>
      <c r="P32" s="113" t="str">
        <f t="shared" si="1"/>
        <v>Khá</v>
      </c>
    </row>
    <row r="33" spans="1:16" ht="15">
      <c r="A33" s="2">
        <f>IF(OR($C$6="",$J$6=""),"",IF(B33="","",SUBTOTAL(3,$B$11:B33)))</f>
        <v>23</v>
      </c>
      <c r="B33" s="90" t="str">
        <f>IF(OR($C$6="",$J$6="",$M$6=""),"",IF(HKI!B33="","",HKI!B33))</f>
        <v>13D301Đ101</v>
      </c>
      <c r="C33" s="91" t="str">
        <f>IF($B33="","",VLOOKUP($B33,'DS LOP HKI'!$B$2:$F$2642,2,0))</f>
        <v>Huỳnh Thanh</v>
      </c>
      <c r="D33" s="92" t="str">
        <f>IF($B33="","",VLOOKUP($B33,'DS LOP HKI'!$B$2:$F$2642,3,0))</f>
        <v>Phú</v>
      </c>
      <c r="E33" s="143"/>
      <c r="F33" s="201">
        <v>8</v>
      </c>
      <c r="G33" s="201">
        <v>5</v>
      </c>
      <c r="H33" s="201">
        <v>4</v>
      </c>
      <c r="I33" s="201">
        <v>3</v>
      </c>
      <c r="J33" s="201"/>
      <c r="K33" s="201"/>
      <c r="L33" s="201"/>
      <c r="M33" s="111"/>
      <c r="N33" s="201"/>
      <c r="O33" s="145">
        <f t="shared" si="0"/>
        <v>5</v>
      </c>
      <c r="P33" s="113" t="str">
        <f t="shared" si="1"/>
        <v>TBY</v>
      </c>
    </row>
    <row r="34" spans="1:16" ht="15">
      <c r="A34" s="2">
        <f>IF(OR($C$6="",$J$6=""),"",IF(B34="","",SUBTOTAL(3,$B$11:B34)))</f>
        <v>24</v>
      </c>
      <c r="B34" s="90" t="str">
        <f>IF(OR($C$6="",$J$6="",$M$6=""),"",IF(HKI!B34="","",HKI!B34))</f>
        <v>13D301Đ117</v>
      </c>
      <c r="C34" s="91" t="str">
        <f>IF($B34="","",VLOOKUP($B34,'DS LOP HKI'!$B$2:$F$2642,2,0))</f>
        <v>Trịnh Ngọc</v>
      </c>
      <c r="D34" s="92" t="str">
        <f>IF($B34="","",VLOOKUP($B34,'DS LOP HKI'!$B$2:$F$2642,3,0))</f>
        <v>Sơn</v>
      </c>
      <c r="E34" s="143"/>
      <c r="F34" s="201">
        <v>8</v>
      </c>
      <c r="G34" s="201">
        <v>5</v>
      </c>
      <c r="H34" s="201">
        <v>6</v>
      </c>
      <c r="I34" s="201">
        <v>9</v>
      </c>
      <c r="J34" s="201"/>
      <c r="K34" s="201"/>
      <c r="L34" s="201"/>
      <c r="M34" s="111"/>
      <c r="N34" s="201"/>
      <c r="O34" s="145">
        <f t="shared" si="0"/>
        <v>7</v>
      </c>
      <c r="P34" s="113" t="str">
        <f t="shared" si="1"/>
        <v>Khá</v>
      </c>
    </row>
    <row r="35" spans="1:16" ht="15">
      <c r="A35" s="2">
        <f>IF(OR($C$6="",$J$6=""),"",IF(B35="","",SUBTOTAL(3,$B$11:B35)))</f>
        <v>25</v>
      </c>
      <c r="B35" s="90" t="str">
        <f>IF(OR($C$6="",$J$6="",$M$6=""),"",IF(HKI!B35="","",HKI!B35))</f>
        <v>13D301Đ121</v>
      </c>
      <c r="C35" s="91" t="str">
        <f>IF($B35="","",VLOOKUP($B35,'DS LOP HKI'!$B$2:$F$2642,2,0))</f>
        <v>Lê Minh</v>
      </c>
      <c r="D35" s="92" t="str">
        <f>IF($B35="","",VLOOKUP($B35,'DS LOP HKI'!$B$2:$F$2642,3,0))</f>
        <v>Tâm</v>
      </c>
      <c r="E35" s="143"/>
      <c r="F35" s="201">
        <v>8</v>
      </c>
      <c r="G35" s="201">
        <v>6</v>
      </c>
      <c r="H35" s="201">
        <v>8</v>
      </c>
      <c r="I35" s="201">
        <v>7</v>
      </c>
      <c r="J35" s="201"/>
      <c r="K35" s="201"/>
      <c r="L35" s="201"/>
      <c r="M35" s="111"/>
      <c r="N35" s="201"/>
      <c r="O35" s="145">
        <f t="shared" si="0"/>
        <v>7.3</v>
      </c>
      <c r="P35" s="113" t="str">
        <f t="shared" si="1"/>
        <v>Khá</v>
      </c>
    </row>
    <row r="36" spans="1:16" ht="15">
      <c r="A36" s="2">
        <f>IF(OR($C$6="",$J$6=""),"",IF(B36="","",SUBTOTAL(3,$B$11:B36)))</f>
        <v>26</v>
      </c>
      <c r="B36" s="90" t="str">
        <f>IF(OR($C$6="",$J$6="",$M$6=""),"",IF(HKI!B36="","",HKI!B36))</f>
        <v>13D301Đ124</v>
      </c>
      <c r="C36" s="91" t="str">
        <f>IF($B36="","",VLOOKUP($B36,'DS LOP HKI'!$B$2:$F$2642,2,0))</f>
        <v>Cao Nguyễn Nhật</v>
      </c>
      <c r="D36" s="92" t="str">
        <f>IF($B36="","",VLOOKUP($B36,'DS LOP HKI'!$B$2:$F$2642,3,0))</f>
        <v>Tân</v>
      </c>
      <c r="E36" s="143"/>
      <c r="F36" s="201">
        <v>8</v>
      </c>
      <c r="G36" s="201">
        <v>7</v>
      </c>
      <c r="H36" s="201">
        <v>6</v>
      </c>
      <c r="I36" s="201">
        <v>5</v>
      </c>
      <c r="J36" s="201"/>
      <c r="K36" s="201"/>
      <c r="L36" s="201"/>
      <c r="M36" s="111"/>
      <c r="N36" s="201"/>
      <c r="O36" s="145">
        <f t="shared" si="0"/>
        <v>6.5</v>
      </c>
      <c r="P36" s="113" t="str">
        <f t="shared" si="1"/>
        <v>TB</v>
      </c>
    </row>
    <row r="37" spans="1:16" ht="15">
      <c r="A37" s="2">
        <f>IF(OR($C$6="",$J$6=""),"",IF(B37="","",SUBTOTAL(3,$B$11:B37)))</f>
        <v>27</v>
      </c>
      <c r="B37" s="90" t="str">
        <f>IF(OR($C$6="",$J$6="",$M$6=""),"",IF(HKI!B37="","",HKI!B37))</f>
        <v>13D301Đ130</v>
      </c>
      <c r="C37" s="91" t="str">
        <f>IF($B37="","",VLOOKUP($B37,'DS LOP HKI'!$B$2:$F$2642,2,0))</f>
        <v>Nguyễn Việt</v>
      </c>
      <c r="D37" s="92" t="str">
        <f>IF($B37="","",VLOOKUP($B37,'DS LOP HKI'!$B$2:$F$2642,3,0))</f>
        <v>Thắng</v>
      </c>
      <c r="E37" s="143"/>
      <c r="F37" s="201">
        <v>8</v>
      </c>
      <c r="G37" s="201">
        <v>5</v>
      </c>
      <c r="H37" s="201">
        <v>8</v>
      </c>
      <c r="I37" s="201">
        <v>3</v>
      </c>
      <c r="J37" s="201"/>
      <c r="K37" s="201"/>
      <c r="L37" s="201"/>
      <c r="M37" s="111"/>
      <c r="N37" s="201"/>
      <c r="O37" s="145">
        <f t="shared" si="0"/>
        <v>6</v>
      </c>
      <c r="P37" s="113" t="str">
        <f t="shared" si="1"/>
        <v>TB</v>
      </c>
    </row>
    <row r="38" spans="1:16" ht="15">
      <c r="A38" s="2">
        <f>IF(OR($C$6="",$J$6=""),"",IF(B38="","",SUBTOTAL(3,$B$11:B38)))</f>
        <v>28</v>
      </c>
      <c r="B38" s="90" t="str">
        <f>IF(OR($C$6="",$J$6="",$M$6=""),"",IF(HKI!B38="","",HKI!B38))</f>
        <v>13D301Đ133</v>
      </c>
      <c r="C38" s="91" t="str">
        <f>IF($B38="","",VLOOKUP($B38,'DS LOP HKI'!$B$2:$F$2642,2,0))</f>
        <v>Nguyễn Khắc</v>
      </c>
      <c r="D38" s="92" t="str">
        <f>IF($B38="","",VLOOKUP($B38,'DS LOP HKI'!$B$2:$F$2642,3,0))</f>
        <v>Thành</v>
      </c>
      <c r="E38" s="143"/>
      <c r="F38" s="201">
        <v>10</v>
      </c>
      <c r="G38" s="201">
        <v>7</v>
      </c>
      <c r="H38" s="201">
        <v>6</v>
      </c>
      <c r="I38" s="201">
        <v>3</v>
      </c>
      <c r="J38" s="201"/>
      <c r="K38" s="201"/>
      <c r="L38" s="201"/>
      <c r="M38" s="111"/>
      <c r="N38" s="201"/>
      <c r="O38" s="145">
        <f t="shared" si="0"/>
        <v>6.5</v>
      </c>
      <c r="P38" s="113" t="str">
        <f t="shared" si="1"/>
        <v>TB</v>
      </c>
    </row>
    <row r="39" spans="1:16" ht="15">
      <c r="A39" s="2">
        <f>IF(OR($C$6="",$J$6=""),"",IF(B39="","",SUBTOTAL(3,$B$11:B39)))</f>
        <v>29</v>
      </c>
      <c r="B39" s="90" t="str">
        <f>IF(OR($C$6="",$J$6="",$M$6=""),"",IF(HKI!B39="","",HKI!B39))</f>
        <v>13D301Đ136</v>
      </c>
      <c r="C39" s="91" t="str">
        <f>IF($B39="","",VLOOKUP($B39,'DS LOP HKI'!$B$2:$F$2642,2,0))</f>
        <v>Trần Minh</v>
      </c>
      <c r="D39" s="92" t="str">
        <f>IF($B39="","",VLOOKUP($B39,'DS LOP HKI'!$B$2:$F$2642,3,0))</f>
        <v>Thanh</v>
      </c>
      <c r="E39" s="143"/>
      <c r="F39" s="201">
        <v>10</v>
      </c>
      <c r="G39" s="201">
        <v>9</v>
      </c>
      <c r="H39" s="201">
        <v>9</v>
      </c>
      <c r="I39" s="201">
        <v>8</v>
      </c>
      <c r="J39" s="201"/>
      <c r="K39" s="201"/>
      <c r="L39" s="201"/>
      <c r="M39" s="111"/>
      <c r="N39" s="201"/>
      <c r="O39" s="145">
        <f t="shared" si="0"/>
        <v>9</v>
      </c>
      <c r="P39" s="113" t="str">
        <f t="shared" si="1"/>
        <v>Giỏi</v>
      </c>
    </row>
    <row r="40" spans="1:16" ht="15">
      <c r="A40" s="2">
        <f>IF(OR($C$6="",$J$6=""),"",IF(B40="","",SUBTOTAL(3,$B$11:B40)))</f>
        <v>30</v>
      </c>
      <c r="B40" s="90" t="str">
        <f>IF(OR($C$6="",$J$6="",$M$6=""),"",IF(HKI!B40="","",HKI!B40))</f>
        <v>13D301Đ169</v>
      </c>
      <c r="C40" s="91" t="str">
        <f>IF($B40="","",VLOOKUP($B40,'DS LOP HKI'!$B$2:$F$2642,2,0))</f>
        <v>Nguyễn Thanh</v>
      </c>
      <c r="D40" s="92" t="str">
        <f>IF($B40="","",VLOOKUP($B40,'DS LOP HKI'!$B$2:$F$2642,3,0))</f>
        <v>Thảo</v>
      </c>
      <c r="E40" s="143"/>
      <c r="F40" s="201">
        <v>8</v>
      </c>
      <c r="G40" s="201">
        <v>6</v>
      </c>
      <c r="H40" s="201">
        <v>7</v>
      </c>
      <c r="I40" s="201">
        <v>7</v>
      </c>
      <c r="J40" s="201"/>
      <c r="K40" s="201"/>
      <c r="L40" s="201"/>
      <c r="M40" s="111"/>
      <c r="N40" s="201"/>
      <c r="O40" s="145">
        <f t="shared" si="0"/>
        <v>7</v>
      </c>
      <c r="P40" s="113" t="str">
        <f t="shared" si="1"/>
        <v>Khá</v>
      </c>
    </row>
    <row r="41" spans="1:16" ht="15">
      <c r="A41" s="2">
        <f>IF(OR($C$6="",$J$6=""),"",IF(B41="","",SUBTOTAL(3,$B$11:B41)))</f>
        <v>31</v>
      </c>
      <c r="B41" s="90" t="str">
        <f>IF(OR($C$6="",$J$6="",$M$6=""),"",IF(HKI!B41="","",HKI!B41))</f>
        <v>13D301Đ154</v>
      </c>
      <c r="C41" s="91" t="str">
        <f>IF($B41="","",VLOOKUP($B41,'DS LOP HKI'!$B$2:$F$2642,2,0))</f>
        <v>Võ Đức</v>
      </c>
      <c r="D41" s="92" t="str">
        <f>IF($B41="","",VLOOKUP($B41,'DS LOP HKI'!$B$2:$F$2642,3,0))</f>
        <v>Trí</v>
      </c>
      <c r="E41" s="143"/>
      <c r="F41" s="201">
        <v>9</v>
      </c>
      <c r="G41" s="201">
        <v>8</v>
      </c>
      <c r="H41" s="201">
        <v>5</v>
      </c>
      <c r="I41" s="201">
        <v>6</v>
      </c>
      <c r="J41" s="201"/>
      <c r="K41" s="201"/>
      <c r="L41" s="201"/>
      <c r="M41" s="111"/>
      <c r="N41" s="201"/>
      <c r="O41" s="145">
        <f t="shared" si="0"/>
        <v>7</v>
      </c>
      <c r="P41" s="113" t="str">
        <f t="shared" si="1"/>
        <v>Khá</v>
      </c>
    </row>
    <row r="42" spans="1:16" ht="15">
      <c r="A42" s="2">
        <f>IF(OR($C$6="",$J$6=""),"",IF(B42="","",SUBTOTAL(3,$B$11:B42)))</f>
        <v>32</v>
      </c>
      <c r="B42" s="90" t="str">
        <f>IF(OR($C$6="",$J$6="",$M$6=""),"",IF(HKI!B42="","",HKI!B42))</f>
        <v>13D301Đ160</v>
      </c>
      <c r="C42" s="91" t="str">
        <f>IF($B42="","",VLOOKUP($B42,'DS LOP HKI'!$B$2:$F$2642,2,0))</f>
        <v>Nguyễn Bá</v>
      </c>
      <c r="D42" s="92" t="str">
        <f>IF($B42="","",VLOOKUP($B42,'DS LOP HKI'!$B$2:$F$2642,3,0))</f>
        <v>Trung</v>
      </c>
      <c r="E42" s="143"/>
      <c r="F42" s="201">
        <v>8</v>
      </c>
      <c r="G42" s="201">
        <v>7</v>
      </c>
      <c r="H42" s="201">
        <v>5</v>
      </c>
      <c r="I42" s="201">
        <v>9</v>
      </c>
      <c r="J42" s="201"/>
      <c r="K42" s="201"/>
      <c r="L42" s="201"/>
      <c r="M42" s="111"/>
      <c r="N42" s="201"/>
      <c r="O42" s="145">
        <f t="shared" si="0"/>
        <v>7.3</v>
      </c>
      <c r="P42" s="113" t="str">
        <f t="shared" si="1"/>
        <v>Khá</v>
      </c>
    </row>
    <row r="43" spans="1:16" ht="15">
      <c r="A43" s="2">
        <f>IF(OR($C$6="",$J$6=""),"",IF(B43="","",SUBTOTAL(3,$B$11:B43)))</f>
        <v>33</v>
      </c>
      <c r="B43" s="90" t="str">
        <f>IF(OR($C$6="",$J$6="",$M$6=""),"",IF(HKI!B43="","",HKI!B43))</f>
        <v>13D301Đ163</v>
      </c>
      <c r="C43" s="91" t="str">
        <f>IF($B43="","",VLOOKUP($B43,'DS LOP HKI'!$B$2:$F$2642,2,0))</f>
        <v>Mai Ngọc</v>
      </c>
      <c r="D43" s="92" t="str">
        <f>IF($B43="","",VLOOKUP($B43,'DS LOP HKI'!$B$2:$F$2642,3,0))</f>
        <v>Trước</v>
      </c>
      <c r="E43" s="143"/>
      <c r="F43" s="201">
        <v>8</v>
      </c>
      <c r="G43" s="201">
        <v>6</v>
      </c>
      <c r="H43" s="201">
        <v>7</v>
      </c>
      <c r="I43" s="201">
        <v>9</v>
      </c>
      <c r="J43" s="201"/>
      <c r="K43" s="201"/>
      <c r="L43" s="201"/>
      <c r="M43" s="111"/>
      <c r="N43" s="201"/>
      <c r="O43" s="145">
        <f t="shared" ref="O43:O74" si="2">IF(OR(B43="",$C$6="",$J$6="",$M$6=""),"",IF(ISNUMBER(E43)=TRUE,E43,IF(COUNT(F43:N43)=0,"",ROUND(SUM(F43:N43)/COUNT(F43:N43),1))))</f>
        <v>7.5</v>
      </c>
      <c r="P43" s="113" t="str">
        <f t="shared" si="1"/>
        <v>Khá</v>
      </c>
    </row>
    <row r="44" spans="1:16" ht="15">
      <c r="A44" s="2">
        <f>IF(OR($C$6="",$J$6=""),"",IF(B44="","",SUBTOTAL(3,$B$11:B44)))</f>
        <v>34</v>
      </c>
      <c r="B44" s="90" t="str">
        <f>IF(OR($C$6="",$J$6="",$M$6=""),"",IF(HKI!B44="","",HKI!B44))</f>
        <v>13D301Đ166</v>
      </c>
      <c r="C44" s="91" t="str">
        <f>IF($B44="","",VLOOKUP($B44,'DS LOP HKI'!$B$2:$F$2642,2,0))</f>
        <v>Nguyễn Văn</v>
      </c>
      <c r="D44" s="92" t="str">
        <f>IF($B44="","",VLOOKUP($B44,'DS LOP HKI'!$B$2:$F$2642,3,0))</f>
        <v>Tư</v>
      </c>
      <c r="E44" s="143"/>
      <c r="F44" s="201">
        <v>7</v>
      </c>
      <c r="G44" s="201">
        <v>5</v>
      </c>
      <c r="H44" s="201">
        <v>8</v>
      </c>
      <c r="I44" s="201">
        <v>10</v>
      </c>
      <c r="J44" s="201"/>
      <c r="K44" s="201"/>
      <c r="L44" s="201"/>
      <c r="M44" s="111"/>
      <c r="N44" s="201"/>
      <c r="O44" s="145">
        <f t="shared" si="2"/>
        <v>7.5</v>
      </c>
      <c r="P44" s="113" t="str">
        <f t="shared" si="1"/>
        <v>Khá</v>
      </c>
    </row>
    <row r="45" spans="1:16" ht="15">
      <c r="A45" s="2">
        <f>IF(OR($C$6="",$J$6=""),"",IF(B45="","",SUBTOTAL(3,$B$11:B45)))</f>
        <v>35</v>
      </c>
      <c r="B45" s="90" t="str">
        <f>IF(OR($C$6="",$J$6="",$M$6=""),"",IF(HKI!B45="","",HKI!B45))</f>
        <v>13D301Đ178</v>
      </c>
      <c r="C45" s="91" t="str">
        <f>IF($B45="","",VLOOKUP($B45,'DS LOP HKI'!$B$2:$F$2642,2,0))</f>
        <v>Lê Văn</v>
      </c>
      <c r="D45" s="92" t="str">
        <f>IF($B45="","",VLOOKUP($B45,'DS LOP HKI'!$B$2:$F$2642,3,0))</f>
        <v>Vũ</v>
      </c>
      <c r="E45" s="143"/>
      <c r="F45" s="201">
        <v>8</v>
      </c>
      <c r="G45" s="201">
        <v>6</v>
      </c>
      <c r="H45" s="201">
        <v>8</v>
      </c>
      <c r="I45" s="201">
        <v>9</v>
      </c>
      <c r="J45" s="201"/>
      <c r="K45" s="201"/>
      <c r="L45" s="201"/>
      <c r="M45" s="111"/>
      <c r="N45" s="201"/>
      <c r="O45" s="145">
        <f t="shared" si="2"/>
        <v>7.8</v>
      </c>
      <c r="P45" s="113" t="str">
        <f t="shared" si="1"/>
        <v>Khá</v>
      </c>
    </row>
    <row r="46" spans="1:16" ht="16.5">
      <c r="A46" s="2" t="str">
        <f>IF(OR($C$6="",$J$6=""),"",IF(B46="","",SUBTOTAL(3,$B$11:B46)))</f>
        <v/>
      </c>
      <c r="B46" s="90" t="str">
        <f>IF(OR($C$6="",$J$6="",$M$6=""),"",IF(HKI!B46="","",HKI!B46))</f>
        <v/>
      </c>
      <c r="C46" s="91" t="str">
        <f>IF($B46="","",VLOOKUP($B46,'DS LOP HKI'!$B$2:$F$2642,2,0))</f>
        <v/>
      </c>
      <c r="D46" s="92" t="str">
        <f>IF($B46="","",VLOOKUP($B46,'DS LOP HKI'!$B$2:$F$2642,3,0))</f>
        <v/>
      </c>
      <c r="E46" s="143"/>
      <c r="F46" s="469"/>
      <c r="G46" s="469"/>
      <c r="H46" s="469"/>
      <c r="I46" s="469"/>
      <c r="J46" s="469"/>
      <c r="K46" s="144"/>
      <c r="L46" s="111"/>
      <c r="M46" s="111"/>
      <c r="N46" s="111"/>
      <c r="O46" s="145" t="str">
        <f t="shared" si="2"/>
        <v/>
      </c>
      <c r="P46" s="113" t="str">
        <f t="shared" si="1"/>
        <v/>
      </c>
    </row>
    <row r="47" spans="1:16" ht="16.5">
      <c r="A47" s="2" t="str">
        <f>IF(OR($C$6="",$J$6=""),"",IF(B47="","",SUBTOTAL(3,$B$11:B47)))</f>
        <v/>
      </c>
      <c r="B47" s="90" t="str">
        <f>IF(OR($C$6="",$J$6="",$M$6=""),"",IF(HKI!B47="","",HKI!B47))</f>
        <v/>
      </c>
      <c r="C47" s="91" t="str">
        <f>IF($B47="","",VLOOKUP($B47,'DS LOP HKI'!$B$2:$F$2642,2,0))</f>
        <v/>
      </c>
      <c r="D47" s="92" t="str">
        <f>IF($B47="","",VLOOKUP($B47,'DS LOP HKI'!$B$2:$F$2642,3,0))</f>
        <v/>
      </c>
      <c r="E47" s="143"/>
      <c r="F47" s="469"/>
      <c r="G47" s="469"/>
      <c r="H47" s="469"/>
      <c r="I47" s="469"/>
      <c r="J47" s="469"/>
      <c r="K47" s="144"/>
      <c r="L47" s="111"/>
      <c r="M47" s="111"/>
      <c r="N47" s="111"/>
      <c r="O47" s="145" t="str">
        <f t="shared" si="2"/>
        <v/>
      </c>
      <c r="P47" s="113" t="str">
        <f t="shared" si="1"/>
        <v/>
      </c>
    </row>
    <row r="48" spans="1:16" ht="16.5">
      <c r="A48" s="2" t="str">
        <f>IF(OR($C$6="",$J$6=""),"",IF(B48="","",SUBTOTAL(3,$B$11:B48)))</f>
        <v/>
      </c>
      <c r="B48" s="90" t="str">
        <f>IF(OR($C$6="",$J$6="",$M$6=""),"",IF(HKI!B48="","",HKI!B48))</f>
        <v/>
      </c>
      <c r="C48" s="91" t="str">
        <f>IF($B48="","",VLOOKUP($B48,'DS LOP HKI'!$B$2:$F$2642,2,0))</f>
        <v/>
      </c>
      <c r="D48" s="92" t="str">
        <f>IF($B48="","",VLOOKUP($B48,'DS LOP HKI'!$B$2:$F$2642,3,0))</f>
        <v/>
      </c>
      <c r="E48" s="143"/>
      <c r="F48" s="469"/>
      <c r="G48" s="469"/>
      <c r="H48" s="469"/>
      <c r="I48" s="469"/>
      <c r="J48" s="469"/>
      <c r="K48" s="144"/>
      <c r="L48" s="111"/>
      <c r="M48" s="111"/>
      <c r="N48" s="111"/>
      <c r="O48" s="145" t="str">
        <f t="shared" si="2"/>
        <v/>
      </c>
      <c r="P48" s="113" t="str">
        <f t="shared" si="1"/>
        <v/>
      </c>
    </row>
    <row r="49" spans="1:16" ht="16.5">
      <c r="A49" s="2" t="str">
        <f>IF(OR($C$6="",$J$6=""),"",IF(B49="","",SUBTOTAL(3,$B$11:B49)))</f>
        <v/>
      </c>
      <c r="B49" s="90" t="str">
        <f>IF(OR($C$6="",$J$6="",$M$6=""),"",IF(HKI!B49="","",HKI!B49))</f>
        <v/>
      </c>
      <c r="C49" s="91" t="str">
        <f>IF($B49="","",VLOOKUP($B49,'DS LOP HKI'!$B$2:$F$2642,2,0))</f>
        <v/>
      </c>
      <c r="D49" s="92" t="str">
        <f>IF($B49="","",VLOOKUP($B49,'DS LOP HKI'!$B$2:$F$2642,3,0))</f>
        <v/>
      </c>
      <c r="E49" s="143"/>
      <c r="F49" s="469"/>
      <c r="G49" s="469"/>
      <c r="H49" s="467"/>
      <c r="I49" s="468"/>
      <c r="J49" s="468"/>
      <c r="K49" s="144"/>
      <c r="L49" s="111"/>
      <c r="M49" s="111"/>
      <c r="N49" s="111"/>
      <c r="O49" s="145" t="str">
        <f t="shared" si="2"/>
        <v/>
      </c>
      <c r="P49" s="113" t="str">
        <f t="shared" si="1"/>
        <v/>
      </c>
    </row>
    <row r="50" spans="1:16" ht="16.5">
      <c r="A50" s="2" t="str">
        <f>IF(OR($C$6="",$J$6=""),"",IF(B50="","",SUBTOTAL(3,$B$11:B50)))</f>
        <v/>
      </c>
      <c r="B50" s="90" t="str">
        <f>IF(OR($C$6="",$J$6="",$M$6=""),"",IF(HKI!B50="","",HKI!B50))</f>
        <v/>
      </c>
      <c r="C50" s="91" t="str">
        <f>IF($B50="","",VLOOKUP($B50,'DS LOP HKI'!$B$2:$F$2642,2,0))</f>
        <v/>
      </c>
      <c r="D50" s="92" t="str">
        <f>IF($B50="","",VLOOKUP($B50,'DS LOP HKI'!$B$2:$F$2642,3,0))</f>
        <v/>
      </c>
      <c r="E50" s="143"/>
      <c r="F50" s="469"/>
      <c r="G50" s="469"/>
      <c r="H50" s="467"/>
      <c r="I50" s="468"/>
      <c r="J50" s="468"/>
      <c r="K50" s="144"/>
      <c r="L50" s="111"/>
      <c r="M50" s="111"/>
      <c r="N50" s="111"/>
      <c r="O50" s="145" t="str">
        <f t="shared" si="2"/>
        <v/>
      </c>
      <c r="P50" s="113" t="str">
        <f t="shared" si="1"/>
        <v/>
      </c>
    </row>
    <row r="51" spans="1:16" ht="16.5">
      <c r="A51" s="2" t="str">
        <f>IF(OR($C$6="",$J$6=""),"",IF(B51="","",SUBTOTAL(3,$B$11:B51)))</f>
        <v/>
      </c>
      <c r="B51" s="90" t="str">
        <f>IF(OR($C$6="",$J$6="",$M$6=""),"",IF(HKI!B51="","",HKI!B51))</f>
        <v/>
      </c>
      <c r="C51" s="91" t="str">
        <f>IF($B51="","",VLOOKUP($B51,'DS LOP HKI'!$B$2:$F$2642,2,0))</f>
        <v/>
      </c>
      <c r="D51" s="92" t="str">
        <f>IF($B51="","",VLOOKUP($B51,'DS LOP HKI'!$B$2:$F$2642,3,0))</f>
        <v/>
      </c>
      <c r="E51" s="143"/>
      <c r="F51" s="469"/>
      <c r="G51" s="469"/>
      <c r="H51" s="469"/>
      <c r="I51" s="469"/>
      <c r="J51" s="469"/>
      <c r="K51" s="144"/>
      <c r="L51" s="111"/>
      <c r="M51" s="111"/>
      <c r="N51" s="111"/>
      <c r="O51" s="145" t="str">
        <f t="shared" si="2"/>
        <v/>
      </c>
      <c r="P51" s="113" t="str">
        <f t="shared" si="1"/>
        <v/>
      </c>
    </row>
    <row r="52" spans="1:16" ht="16.5">
      <c r="A52" s="2" t="str">
        <f>IF(OR($C$6="",$J$6=""),"",IF(B52="","",SUBTOTAL(3,$B$11:B52)))</f>
        <v/>
      </c>
      <c r="B52" s="90" t="str">
        <f>IF(OR($C$6="",$J$6="",$M$6=""),"",IF(HKI!B52="","",HKI!B52))</f>
        <v/>
      </c>
      <c r="C52" s="91" t="str">
        <f>IF($B52="","",VLOOKUP($B52,'DS LOP HKI'!$B$2:$F$2642,2,0))</f>
        <v/>
      </c>
      <c r="D52" s="92" t="str">
        <f>IF($B52="","",VLOOKUP($B52,'DS LOP HKI'!$B$2:$F$2642,3,0))</f>
        <v/>
      </c>
      <c r="E52" s="143"/>
      <c r="F52" s="469"/>
      <c r="G52" s="469"/>
      <c r="H52" s="469"/>
      <c r="I52" s="469"/>
      <c r="J52" s="469"/>
      <c r="K52" s="144"/>
      <c r="L52" s="111"/>
      <c r="M52" s="111"/>
      <c r="N52" s="111"/>
      <c r="O52" s="145" t="str">
        <f t="shared" si="2"/>
        <v/>
      </c>
      <c r="P52" s="113" t="str">
        <f t="shared" si="1"/>
        <v/>
      </c>
    </row>
    <row r="53" spans="1:16" ht="16.5">
      <c r="A53" s="2" t="str">
        <f>IF(OR($C$6="",$J$6=""),"",IF(B53="","",SUBTOTAL(3,$B$11:B53)))</f>
        <v/>
      </c>
      <c r="B53" s="90" t="str">
        <f>IF(OR($C$6="",$J$6="",$M$6=""),"",IF(HKI!B53="","",HKI!B53))</f>
        <v/>
      </c>
      <c r="C53" s="91" t="str">
        <f>IF($B53="","",VLOOKUP($B53,'DS LOP HKI'!$B$2:$F$2642,2,0))</f>
        <v/>
      </c>
      <c r="D53" s="92" t="str">
        <f>IF($B53="","",VLOOKUP($B53,'DS LOP HKI'!$B$2:$F$2642,3,0))</f>
        <v/>
      </c>
      <c r="E53" s="143"/>
      <c r="F53" s="469"/>
      <c r="G53" s="469"/>
      <c r="H53" s="469"/>
      <c r="I53" s="469"/>
      <c r="J53" s="469"/>
      <c r="K53" s="144"/>
      <c r="L53" s="111"/>
      <c r="M53" s="111"/>
      <c r="N53" s="111"/>
      <c r="O53" s="145" t="str">
        <f t="shared" si="2"/>
        <v/>
      </c>
      <c r="P53" s="113" t="str">
        <f t="shared" si="1"/>
        <v/>
      </c>
    </row>
    <row r="54" spans="1:16" ht="16.5">
      <c r="A54" s="2" t="str">
        <f>IF(OR($C$6="",$J$6=""),"",IF(B54="","",SUBTOTAL(3,$B$11:B54)))</f>
        <v/>
      </c>
      <c r="B54" s="90" t="str">
        <f>IF(OR($C$6="",$J$6="",$M$6=""),"",IF(HKI!B54="","",HKI!B54))</f>
        <v/>
      </c>
      <c r="C54" s="91" t="str">
        <f>IF($B54="","",VLOOKUP($B54,'DS LOP HKI'!$B$2:$F$2642,2,0))</f>
        <v/>
      </c>
      <c r="D54" s="92" t="str">
        <f>IF($B54="","",VLOOKUP($B54,'DS LOP HKI'!$B$2:$F$2642,3,0))</f>
        <v/>
      </c>
      <c r="E54" s="143"/>
      <c r="F54" s="469"/>
      <c r="G54" s="469"/>
      <c r="H54" s="469"/>
      <c r="I54" s="469"/>
      <c r="J54" s="469"/>
      <c r="K54" s="144"/>
      <c r="L54" s="111"/>
      <c r="M54" s="111"/>
      <c r="N54" s="111"/>
      <c r="O54" s="145" t="str">
        <f t="shared" si="2"/>
        <v/>
      </c>
      <c r="P54" s="113" t="str">
        <f t="shared" si="1"/>
        <v/>
      </c>
    </row>
    <row r="55" spans="1:16" ht="16.5">
      <c r="A55" s="2" t="str">
        <f>IF(OR($C$6="",$J$6=""),"",IF(B55="","",SUBTOTAL(3,$B$11:B55)))</f>
        <v/>
      </c>
      <c r="B55" s="90" t="str">
        <f>IF(OR($C$6="",$J$6="",$M$6=""),"",IF(HKI!B55="","",HKI!B55))</f>
        <v/>
      </c>
      <c r="C55" s="91" t="str">
        <f>IF($B55="","",VLOOKUP($B55,'DS LOP HKI'!$B$2:$F$2642,2,0))</f>
        <v/>
      </c>
      <c r="D55" s="92" t="str">
        <f>IF($B55="","",VLOOKUP($B55,'DS LOP HKI'!$B$2:$F$2642,3,0))</f>
        <v/>
      </c>
      <c r="E55" s="143"/>
      <c r="F55" s="469"/>
      <c r="G55" s="469"/>
      <c r="H55" s="469"/>
      <c r="I55" s="469"/>
      <c r="J55" s="469"/>
      <c r="K55" s="146"/>
      <c r="L55" s="111"/>
      <c r="M55" s="111"/>
      <c r="N55" s="111"/>
      <c r="O55" s="145" t="str">
        <f t="shared" si="2"/>
        <v/>
      </c>
      <c r="P55" s="113" t="str">
        <f t="shared" si="1"/>
        <v/>
      </c>
    </row>
    <row r="56" spans="1:16" ht="16.5">
      <c r="A56" s="2" t="str">
        <f>IF(OR($C$6="",$J$6=""),"",IF(B56="","",SUBTOTAL(3,$B$11:B56)))</f>
        <v/>
      </c>
      <c r="B56" s="90" t="str">
        <f>IF(OR($C$6="",$J$6="",$M$6=""),"",IF(HKI!B56="","",HKI!B56))</f>
        <v/>
      </c>
      <c r="C56" s="91" t="str">
        <f>IF($B56="","",VLOOKUP($B56,'DS LOP HKI'!$B$2:$F$2642,2,0))</f>
        <v/>
      </c>
      <c r="D56" s="92" t="str">
        <f>IF($B56="","",VLOOKUP($B56,'DS LOP HKI'!$B$2:$F$2642,3,0))</f>
        <v/>
      </c>
      <c r="E56" s="143"/>
      <c r="F56" s="146"/>
      <c r="G56" s="146"/>
      <c r="H56" s="146"/>
      <c r="I56" s="146"/>
      <c r="J56" s="146"/>
      <c r="K56" s="146"/>
      <c r="L56" s="111"/>
      <c r="M56" s="111"/>
      <c r="N56" s="111"/>
      <c r="O56" s="145" t="str">
        <f t="shared" si="2"/>
        <v/>
      </c>
      <c r="P56" s="113" t="str">
        <f t="shared" si="1"/>
        <v/>
      </c>
    </row>
    <row r="57" spans="1:16" s="4" customFormat="1" ht="16.5">
      <c r="A57" s="2" t="str">
        <f>IF(OR($C$6="",$J$6=""),"",IF(B57="","",SUBTOTAL(3,$B$11:B57)))</f>
        <v/>
      </c>
      <c r="B57" s="90" t="str">
        <f>IF(OR($C$6="",$J$6="",$M$6=""),"",IF(HKI!B57="","",HKI!B57))</f>
        <v/>
      </c>
      <c r="C57" s="91" t="str">
        <f>IF($B57="","",VLOOKUP($B57,'DS LOP HKI'!$B$2:$F$2642,2,0))</f>
        <v/>
      </c>
      <c r="D57" s="92" t="str">
        <f>IF($B57="","",VLOOKUP($B57,'DS LOP HKI'!$B$2:$F$2642,3,0))</f>
        <v/>
      </c>
      <c r="E57" s="143"/>
      <c r="F57" s="146"/>
      <c r="G57" s="146"/>
      <c r="H57" s="146"/>
      <c r="I57" s="146"/>
      <c r="J57" s="146"/>
      <c r="K57" s="146"/>
      <c r="L57" s="111"/>
      <c r="M57" s="111"/>
      <c r="N57" s="111"/>
      <c r="O57" s="145" t="str">
        <f t="shared" si="2"/>
        <v/>
      </c>
      <c r="P57" s="113" t="str">
        <f t="shared" si="1"/>
        <v/>
      </c>
    </row>
    <row r="58" spans="1:16" s="4" customFormat="1" ht="16.5">
      <c r="A58" s="2" t="str">
        <f>IF(OR($C$6="",$J$6=""),"",IF(B58="","",SUBTOTAL(3,$B$11:B58)))</f>
        <v/>
      </c>
      <c r="B58" s="90" t="str">
        <f>IF(OR($C$6="",$J$6="",$M$6=""),"",IF(HKI!B58="","",HKI!B58))</f>
        <v/>
      </c>
      <c r="C58" s="91" t="str">
        <f>IF($B58="","",VLOOKUP($B58,'DS LOP HKI'!$B$2:$F$2642,2,0))</f>
        <v/>
      </c>
      <c r="D58" s="92" t="str">
        <f>IF($B58="","",VLOOKUP($B58,'DS LOP HKI'!$B$2:$F$2642,3,0))</f>
        <v/>
      </c>
      <c r="E58" s="143"/>
      <c r="F58" s="146"/>
      <c r="G58" s="146"/>
      <c r="H58" s="146"/>
      <c r="I58" s="146"/>
      <c r="J58" s="146"/>
      <c r="K58" s="146"/>
      <c r="L58" s="111"/>
      <c r="M58" s="111"/>
      <c r="N58" s="111"/>
      <c r="O58" s="145" t="str">
        <f t="shared" si="2"/>
        <v/>
      </c>
      <c r="P58" s="113" t="str">
        <f t="shared" si="1"/>
        <v/>
      </c>
    </row>
    <row r="59" spans="1:16" ht="16.5">
      <c r="A59" s="2" t="str">
        <f>IF(OR($C$6="",$J$6=""),"",IF(B59="","",SUBTOTAL(3,$B$11:B59)))</f>
        <v/>
      </c>
      <c r="B59" s="90" t="str">
        <f>IF(OR($C$6="",$J$6="",$M$6=""),"",IF(HKI!B59="","",HKI!B59))</f>
        <v/>
      </c>
      <c r="C59" s="91" t="str">
        <f>IF($B59="","",VLOOKUP($B59,'DS LOP HKI'!$B$2:$F$2642,2,0))</f>
        <v/>
      </c>
      <c r="D59" s="92" t="str">
        <f>IF($B59="","",VLOOKUP($B59,'DS LOP HKI'!$B$2:$F$2642,3,0))</f>
        <v/>
      </c>
      <c r="E59" s="143"/>
      <c r="F59" s="146"/>
      <c r="G59" s="146"/>
      <c r="H59" s="146"/>
      <c r="I59" s="146"/>
      <c r="J59" s="146"/>
      <c r="K59" s="146"/>
      <c r="L59" s="111"/>
      <c r="M59" s="111"/>
      <c r="N59" s="111"/>
      <c r="O59" s="145" t="str">
        <f t="shared" si="2"/>
        <v/>
      </c>
      <c r="P59" s="113" t="str">
        <f t="shared" si="1"/>
        <v/>
      </c>
    </row>
    <row r="60" spans="1:16" ht="16.5">
      <c r="A60" s="2" t="str">
        <f>IF(OR($C$6="",$J$6=""),"",IF(B60="","",SUBTOTAL(3,$B$11:B60)))</f>
        <v/>
      </c>
      <c r="B60" s="90" t="str">
        <f>IF(OR($C$6="",$J$6="",$M$6=""),"",IF(HKI!B60="","",HKI!B60))</f>
        <v/>
      </c>
      <c r="C60" s="91" t="str">
        <f>IF($B60="","",VLOOKUP($B60,'DS LOP HKI'!$B$2:$F$2642,2,0))</f>
        <v/>
      </c>
      <c r="D60" s="92" t="str">
        <f>IF($B60="","",VLOOKUP($B60,'DS LOP HKI'!$B$2:$F$2642,3,0))</f>
        <v/>
      </c>
      <c r="E60" s="143"/>
      <c r="F60" s="146"/>
      <c r="G60" s="146"/>
      <c r="H60" s="146"/>
      <c r="I60" s="146"/>
      <c r="J60" s="146"/>
      <c r="K60" s="146"/>
      <c r="L60" s="111"/>
      <c r="M60" s="111"/>
      <c r="N60" s="111"/>
      <c r="O60" s="145" t="str">
        <f t="shared" si="2"/>
        <v/>
      </c>
      <c r="P60" s="113" t="str">
        <f t="shared" si="1"/>
        <v/>
      </c>
    </row>
    <row r="61" spans="1:16" ht="16.5">
      <c r="A61" s="2" t="str">
        <f>IF(OR($C$6="",$J$6=""),"",IF(B61="","",SUBTOTAL(3,$B$11:B61)))</f>
        <v/>
      </c>
      <c r="B61" s="90" t="str">
        <f>IF(OR($C$6="",$J$6="",$M$6=""),"",IF(HKI!B61="","",HKI!B61))</f>
        <v/>
      </c>
      <c r="C61" s="91" t="str">
        <f>IF($B61="","",VLOOKUP($B61,'DS LOP HKI'!$B$2:$F$2642,2,0))</f>
        <v/>
      </c>
      <c r="D61" s="92" t="str">
        <f>IF($B61="","",VLOOKUP($B61,'DS LOP HKI'!$B$2:$F$2642,3,0))</f>
        <v/>
      </c>
      <c r="E61" s="143"/>
      <c r="F61" s="146"/>
      <c r="G61" s="146"/>
      <c r="H61" s="146"/>
      <c r="I61" s="146"/>
      <c r="J61" s="146"/>
      <c r="K61" s="146"/>
      <c r="L61" s="111"/>
      <c r="M61" s="111"/>
      <c r="N61" s="111"/>
      <c r="O61" s="145" t="str">
        <f t="shared" si="2"/>
        <v/>
      </c>
      <c r="P61" s="113" t="str">
        <f t="shared" si="1"/>
        <v/>
      </c>
    </row>
    <row r="62" spans="1:16" ht="16.5">
      <c r="A62" s="2" t="str">
        <f>IF(OR($C$6="",$J$6=""),"",IF(B62="","",SUBTOTAL(3,$B$11:B62)))</f>
        <v/>
      </c>
      <c r="B62" s="90" t="str">
        <f>IF(OR($C$6="",$J$6="",$M$6=""),"",IF(HKI!B62="","",HKI!B62))</f>
        <v/>
      </c>
      <c r="C62" s="91" t="str">
        <f>IF($B62="","",VLOOKUP($B62,'DS LOP HKI'!$B$2:$F$2642,2,0))</f>
        <v/>
      </c>
      <c r="D62" s="92" t="str">
        <f>IF($B62="","",VLOOKUP($B62,'DS LOP HKI'!$B$2:$F$2642,3,0))</f>
        <v/>
      </c>
      <c r="E62" s="143"/>
      <c r="F62" s="146"/>
      <c r="G62" s="146"/>
      <c r="H62" s="146"/>
      <c r="I62" s="146"/>
      <c r="J62" s="146"/>
      <c r="K62" s="146"/>
      <c r="L62" s="111"/>
      <c r="M62" s="111"/>
      <c r="N62" s="111"/>
      <c r="O62" s="145" t="str">
        <f t="shared" si="2"/>
        <v/>
      </c>
      <c r="P62" s="113" t="str">
        <f t="shared" si="1"/>
        <v/>
      </c>
    </row>
    <row r="63" spans="1:16" ht="15">
      <c r="A63" s="2" t="str">
        <f>IF(OR($C$6="",$J$6=""),"",IF(B63="","",SUBTOTAL(3,$B$11:B63)))</f>
        <v/>
      </c>
      <c r="B63" s="90" t="str">
        <f>IF(OR($C$6="",$J$6="",$M$6=""),"",IF(HKI!B63="","",HKI!B63))</f>
        <v/>
      </c>
      <c r="C63" s="91" t="str">
        <f>IF($B63="","",VLOOKUP($B63,'DS LOP HKI'!$B$2:$F$2642,2,0))</f>
        <v/>
      </c>
      <c r="D63" s="92" t="str">
        <f>IF($B63="","",VLOOKUP($B63,'DS LOP HKI'!$B$2:$F$2642,3,0))</f>
        <v/>
      </c>
      <c r="E63" s="143"/>
      <c r="F63" s="111"/>
      <c r="G63" s="111"/>
      <c r="H63" s="111"/>
      <c r="I63" s="111"/>
      <c r="J63" s="111"/>
      <c r="K63" s="111"/>
      <c r="L63" s="111"/>
      <c r="M63" s="111"/>
      <c r="N63" s="111"/>
      <c r="O63" s="145" t="str">
        <f t="shared" si="2"/>
        <v/>
      </c>
      <c r="P63" s="113" t="str">
        <f t="shared" si="1"/>
        <v/>
      </c>
    </row>
    <row r="64" spans="1:16" ht="15">
      <c r="A64" s="2" t="str">
        <f>IF(OR($C$6="",$J$6=""),"",IF(B64="","",SUBTOTAL(3,$B$11:B64)))</f>
        <v/>
      </c>
      <c r="B64" s="90" t="str">
        <f>IF(OR($C$6="",$J$6="",$M$6=""),"",IF(HKI!B64="","",HKI!B64))</f>
        <v/>
      </c>
      <c r="C64" s="91" t="str">
        <f>IF($B64="","",VLOOKUP($B64,'DS LOP HKI'!$B$2:$F$2642,2,0))</f>
        <v/>
      </c>
      <c r="D64" s="92" t="str">
        <f>IF($B64="","",VLOOKUP($B64,'DS LOP HKI'!$B$2:$F$2642,3,0))</f>
        <v/>
      </c>
      <c r="E64" s="143"/>
      <c r="F64" s="147"/>
      <c r="G64" s="111"/>
      <c r="H64" s="111"/>
      <c r="I64" s="111"/>
      <c r="J64" s="111"/>
      <c r="K64" s="148"/>
      <c r="L64" s="111"/>
      <c r="M64" s="111"/>
      <c r="N64" s="111"/>
      <c r="O64" s="145" t="str">
        <f t="shared" si="2"/>
        <v/>
      </c>
      <c r="P64" s="113" t="str">
        <f t="shared" si="1"/>
        <v/>
      </c>
    </row>
    <row r="65" spans="1:16" ht="15">
      <c r="A65" s="2" t="str">
        <f>IF(OR($C$6="",$J$6=""),"",IF(B65="","",SUBTOTAL(3,$B$11:B65)))</f>
        <v/>
      </c>
      <c r="B65" s="90" t="str">
        <f>IF(OR($C$6="",$J$6="",$M$6=""),"",IF(HKI!B65="","",HKI!B65))</f>
        <v/>
      </c>
      <c r="C65" s="91" t="str">
        <f>IF($B65="","",VLOOKUP($B65,'DS LOP HKI'!$B$2:$F$2642,2,0))</f>
        <v/>
      </c>
      <c r="D65" s="92" t="str">
        <f>IF($B65="","",VLOOKUP($B65,'DS LOP HKI'!$B$2:$F$2642,3,0))</f>
        <v/>
      </c>
      <c r="E65" s="143"/>
      <c r="F65" s="147"/>
      <c r="G65" s="111"/>
      <c r="H65" s="111"/>
      <c r="I65" s="111"/>
      <c r="J65" s="111"/>
      <c r="K65" s="148"/>
      <c r="L65" s="111"/>
      <c r="M65" s="111"/>
      <c r="N65" s="111"/>
      <c r="O65" s="145" t="str">
        <f t="shared" si="2"/>
        <v/>
      </c>
      <c r="P65" s="113" t="str">
        <f t="shared" si="1"/>
        <v/>
      </c>
    </row>
    <row r="66" spans="1:16" ht="15">
      <c r="A66" s="2" t="str">
        <f>IF(OR($C$6="",$J$6=""),"",IF(B66="","",SUBTOTAL(3,$B$11:B66)))</f>
        <v/>
      </c>
      <c r="B66" s="90" t="str">
        <f>IF(OR($C$6="",$J$6="",$M$6=""),"",IF(HKI!B66="","",HKI!B66))</f>
        <v/>
      </c>
      <c r="C66" s="91" t="str">
        <f>IF($B66="","",VLOOKUP($B66,'DS LOP HKI'!$B$2:$F$2642,2,0))</f>
        <v/>
      </c>
      <c r="D66" s="92" t="str">
        <f>IF($B66="","",VLOOKUP($B66,'DS LOP HKI'!$B$2:$F$2642,3,0))</f>
        <v/>
      </c>
      <c r="E66" s="143"/>
      <c r="F66" s="147"/>
      <c r="G66" s="111"/>
      <c r="H66" s="111"/>
      <c r="I66" s="111"/>
      <c r="J66" s="111"/>
      <c r="K66" s="148"/>
      <c r="L66" s="111"/>
      <c r="M66" s="111"/>
      <c r="N66" s="111"/>
      <c r="O66" s="145" t="str">
        <f t="shared" si="2"/>
        <v/>
      </c>
      <c r="P66" s="113" t="str">
        <f t="shared" si="1"/>
        <v/>
      </c>
    </row>
    <row r="67" spans="1:16" ht="15">
      <c r="A67" s="2" t="str">
        <f>IF(OR($C$6="",$J$6=""),"",IF(B67="","",SUBTOTAL(3,$B$11:B67)))</f>
        <v/>
      </c>
      <c r="B67" s="90" t="str">
        <f>IF(OR($C$6="",$J$6="",$M$6=""),"",IF(HKI!B67="","",HKI!B67))</f>
        <v/>
      </c>
      <c r="C67" s="91" t="str">
        <f>IF($B67="","",VLOOKUP($B67,'DS LOP HKI'!$B$2:$F$2642,2,0))</f>
        <v/>
      </c>
      <c r="D67" s="92" t="str">
        <f>IF($B67="","",VLOOKUP($B67,'DS LOP HKI'!$B$2:$F$2642,3,0))</f>
        <v/>
      </c>
      <c r="E67" s="143"/>
      <c r="F67" s="147"/>
      <c r="G67" s="111"/>
      <c r="H67" s="111"/>
      <c r="I67" s="111"/>
      <c r="J67" s="111"/>
      <c r="K67" s="148"/>
      <c r="L67" s="111"/>
      <c r="M67" s="111"/>
      <c r="N67" s="111"/>
      <c r="O67" s="145" t="str">
        <f t="shared" si="2"/>
        <v/>
      </c>
      <c r="P67" s="113" t="str">
        <f t="shared" si="1"/>
        <v/>
      </c>
    </row>
    <row r="68" spans="1:16" ht="15">
      <c r="A68" s="2" t="str">
        <f>IF(OR($C$6="",$J$6=""),"",IF(B68="","",SUBTOTAL(3,$B$11:B68)))</f>
        <v/>
      </c>
      <c r="B68" s="90" t="str">
        <f>IF(OR($C$6="",$J$6="",$M$6=""),"",IF(HKI!B68="","",HKI!B68))</f>
        <v/>
      </c>
      <c r="C68" s="91" t="str">
        <f>IF($B68="","",VLOOKUP($B68,'DS LOP HKI'!$B$2:$F$2642,2,0))</f>
        <v/>
      </c>
      <c r="D68" s="92" t="str">
        <f>IF($B68="","",VLOOKUP($B68,'DS LOP HKI'!$B$2:$F$2642,3,0))</f>
        <v/>
      </c>
      <c r="E68" s="143"/>
      <c r="F68" s="147"/>
      <c r="G68" s="111"/>
      <c r="H68" s="111"/>
      <c r="I68" s="111"/>
      <c r="J68" s="111"/>
      <c r="K68" s="148"/>
      <c r="L68" s="111"/>
      <c r="M68" s="111"/>
      <c r="N68" s="111"/>
      <c r="O68" s="145" t="str">
        <f t="shared" si="2"/>
        <v/>
      </c>
      <c r="P68" s="113" t="str">
        <f t="shared" si="1"/>
        <v/>
      </c>
    </row>
    <row r="69" spans="1:16" ht="15">
      <c r="A69" s="2" t="str">
        <f>IF(OR($C$6="",$J$6=""),"",IF(B69="","",SUBTOTAL(3,$B$11:B69)))</f>
        <v/>
      </c>
      <c r="B69" s="90" t="str">
        <f>IF(OR($C$6="",$J$6="",$M$6=""),"",IF(HKI!B69="","",HKI!B69))</f>
        <v/>
      </c>
      <c r="C69" s="91" t="str">
        <f>IF($B69="","",VLOOKUP($B69,'DS LOP HKI'!$B$2:$F$2642,2,0))</f>
        <v/>
      </c>
      <c r="D69" s="92" t="str">
        <f>IF($B69="","",VLOOKUP($B69,'DS LOP HKI'!$B$2:$F$2642,3,0))</f>
        <v/>
      </c>
      <c r="E69" s="143"/>
      <c r="F69" s="147"/>
      <c r="G69" s="111"/>
      <c r="H69" s="111"/>
      <c r="I69" s="111"/>
      <c r="J69" s="111"/>
      <c r="K69" s="148"/>
      <c r="L69" s="111"/>
      <c r="M69" s="111"/>
      <c r="N69" s="111"/>
      <c r="O69" s="145" t="str">
        <f t="shared" si="2"/>
        <v/>
      </c>
      <c r="P69" s="113" t="str">
        <f t="shared" si="1"/>
        <v/>
      </c>
    </row>
    <row r="70" spans="1:16" ht="15">
      <c r="A70" s="2" t="str">
        <f>IF(OR($C$6="",$J$6=""),"",IF(B70="","",SUBTOTAL(3,$B$11:B70)))</f>
        <v/>
      </c>
      <c r="B70" s="90" t="str">
        <f>IF(OR($C$6="",$J$6="",$M$6=""),"",IF(HKI!B70="","",HKI!B70))</f>
        <v/>
      </c>
      <c r="C70" s="91" t="str">
        <f>IF($B70="","",VLOOKUP($B70,'DS LOP HKI'!$B$2:$F$2642,2,0))</f>
        <v/>
      </c>
      <c r="D70" s="92" t="str">
        <f>IF($B70="","",VLOOKUP($B70,'DS LOP HKI'!$B$2:$F$2642,3,0))</f>
        <v/>
      </c>
      <c r="E70" s="143"/>
      <c r="F70" s="147"/>
      <c r="G70" s="111"/>
      <c r="H70" s="111"/>
      <c r="I70" s="111"/>
      <c r="J70" s="111"/>
      <c r="K70" s="148"/>
      <c r="L70" s="111"/>
      <c r="M70" s="111"/>
      <c r="N70" s="111"/>
      <c r="O70" s="145" t="str">
        <f t="shared" si="2"/>
        <v/>
      </c>
      <c r="P70" s="113" t="str">
        <f t="shared" si="1"/>
        <v/>
      </c>
    </row>
    <row r="71" spans="1:16" ht="15">
      <c r="A71" s="2" t="str">
        <f>IF(OR($C$6="",$J$6=""),"",IF(B71="","",SUBTOTAL(3,$B$11:B71)))</f>
        <v/>
      </c>
      <c r="B71" s="90" t="str">
        <f>IF(OR($C$6="",$J$6="",$M$6=""),"",IF(HKI!B71="","",HKI!B71))</f>
        <v/>
      </c>
      <c r="C71" s="91" t="str">
        <f>IF($B71="","",VLOOKUP($B71,'DS LOP HKI'!$B$2:$F$2642,2,0))</f>
        <v/>
      </c>
      <c r="D71" s="92" t="str">
        <f>IF($B71="","",VLOOKUP($B71,'DS LOP HKI'!$B$2:$F$2642,3,0))</f>
        <v/>
      </c>
      <c r="E71" s="143"/>
      <c r="F71" s="147"/>
      <c r="G71" s="111"/>
      <c r="H71" s="111"/>
      <c r="I71" s="111"/>
      <c r="J71" s="111"/>
      <c r="K71" s="148"/>
      <c r="L71" s="111"/>
      <c r="M71" s="111"/>
      <c r="N71" s="111"/>
      <c r="O71" s="145" t="str">
        <f t="shared" si="2"/>
        <v/>
      </c>
      <c r="P71" s="113" t="str">
        <f t="shared" si="1"/>
        <v/>
      </c>
    </row>
    <row r="72" spans="1:16" ht="15">
      <c r="A72" s="2" t="str">
        <f>IF(OR($C$6="",$J$6=""),"",IF(B72="","",SUBTOTAL(3,$B$11:B72)))</f>
        <v/>
      </c>
      <c r="B72" s="90" t="str">
        <f>IF(OR($C$6="",$J$6="",$M$6=""),"",IF(HKI!B72="","",HKI!B72))</f>
        <v/>
      </c>
      <c r="C72" s="91" t="str">
        <f>IF($B72="","",VLOOKUP($B72,'DS LOP HKI'!$B$2:$F$2642,2,0))</f>
        <v/>
      </c>
      <c r="D72" s="92" t="str">
        <f>IF($B72="","",VLOOKUP($B72,'DS LOP HKI'!$B$2:$F$2642,3,0))</f>
        <v/>
      </c>
      <c r="E72" s="143"/>
      <c r="F72" s="147"/>
      <c r="G72" s="111"/>
      <c r="H72" s="111"/>
      <c r="I72" s="111"/>
      <c r="J72" s="111"/>
      <c r="K72" s="148"/>
      <c r="L72" s="111"/>
      <c r="M72" s="111"/>
      <c r="N72" s="111"/>
      <c r="O72" s="145" t="str">
        <f t="shared" si="2"/>
        <v/>
      </c>
      <c r="P72" s="113" t="str">
        <f t="shared" si="1"/>
        <v/>
      </c>
    </row>
    <row r="73" spans="1:16" ht="15">
      <c r="A73" s="2" t="str">
        <f>IF(OR($C$6="",$J$6=""),"",IF(B73="","",SUBTOTAL(3,$B$11:B73)))</f>
        <v/>
      </c>
      <c r="B73" s="90" t="str">
        <f>IF(OR($C$6="",$J$6="",$M$6=""),"",IF(HKI!B73="","",HKI!B73))</f>
        <v/>
      </c>
      <c r="C73" s="91" t="str">
        <f>IF($B73="","",VLOOKUP($B73,'DS LOP HKI'!$B$2:$F$2642,2,0))</f>
        <v/>
      </c>
      <c r="D73" s="92" t="str">
        <f>IF($B73="","",VLOOKUP($B73,'DS LOP HKI'!$B$2:$F$2642,3,0))</f>
        <v/>
      </c>
      <c r="E73" s="143"/>
      <c r="F73" s="147"/>
      <c r="G73" s="111"/>
      <c r="H73" s="111"/>
      <c r="I73" s="111"/>
      <c r="J73" s="111"/>
      <c r="K73" s="148"/>
      <c r="L73" s="111"/>
      <c r="M73" s="111"/>
      <c r="N73" s="111"/>
      <c r="O73" s="145" t="str">
        <f t="shared" si="2"/>
        <v/>
      </c>
      <c r="P73" s="113" t="str">
        <f t="shared" si="1"/>
        <v/>
      </c>
    </row>
    <row r="74" spans="1:16" ht="15">
      <c r="A74" s="2" t="str">
        <f>IF(OR($C$6="",$J$6=""),"",IF(B74="","",SUBTOTAL(3,$B$11:B74)))</f>
        <v/>
      </c>
      <c r="B74" s="90" t="str">
        <f>IF(OR($C$6="",$J$6="",$M$6=""),"",IF(HKI!B74="","",HKI!B74))</f>
        <v/>
      </c>
      <c r="C74" s="91" t="str">
        <f>IF($B74="","",VLOOKUP($B74,'DS LOP HKI'!$B$2:$F$2642,2,0))</f>
        <v/>
      </c>
      <c r="D74" s="92" t="str">
        <f>IF($B74="","",VLOOKUP($B74,'DS LOP HKI'!$B$2:$F$2642,3,0))</f>
        <v/>
      </c>
      <c r="E74" s="143"/>
      <c r="F74" s="147"/>
      <c r="G74" s="111"/>
      <c r="H74" s="111"/>
      <c r="I74" s="111"/>
      <c r="J74" s="111"/>
      <c r="K74" s="148"/>
      <c r="L74" s="111"/>
      <c r="M74" s="111"/>
      <c r="N74" s="111"/>
      <c r="O74" s="145" t="str">
        <f t="shared" si="2"/>
        <v/>
      </c>
      <c r="P74" s="113" t="str">
        <f t="shared" si="1"/>
        <v/>
      </c>
    </row>
    <row r="75" spans="1:16" ht="15">
      <c r="A75" s="2" t="str">
        <f>IF(OR($C$6="",$J$6=""),"",IF(B75="","",SUBTOTAL(3,$B$11:B75)))</f>
        <v/>
      </c>
      <c r="B75" s="90" t="str">
        <f>IF(OR($C$6="",$J$6="",$M$6=""),"",IF(HKI!B75="","",HKI!B75))</f>
        <v/>
      </c>
      <c r="C75" s="91" t="str">
        <f>IF($B75="","",VLOOKUP($B75,'DS LOP HKI'!$B$2:$F$2642,2,0))</f>
        <v/>
      </c>
      <c r="D75" s="92" t="str">
        <f>IF($B75="","",VLOOKUP($B75,'DS LOP HKI'!$B$2:$F$2642,3,0))</f>
        <v/>
      </c>
      <c r="E75" s="143"/>
      <c r="F75" s="147"/>
      <c r="G75" s="111"/>
      <c r="H75" s="111"/>
      <c r="I75" s="111"/>
      <c r="J75" s="111"/>
      <c r="K75" s="148"/>
      <c r="L75" s="111"/>
      <c r="M75" s="111"/>
      <c r="N75" s="111"/>
      <c r="O75" s="145" t="str">
        <f>IF(OR(B75="",$C$6="",$J$6="",$M$6=""),"",IF(ISNUMBER(E75)=TRUE,E75,IF(COUNT(F75:N75)=0,"",ROUND(SUM(F75:N75)/COUNT(F75:N75),1))))</f>
        <v/>
      </c>
      <c r="P75" s="113" t="str">
        <f t="shared" si="1"/>
        <v/>
      </c>
    </row>
    <row r="76" spans="1:16" s="38" customFormat="1">
      <c r="A76" s="806" t="s">
        <v>1519</v>
      </c>
      <c r="B76" s="806"/>
      <c r="C76" s="806"/>
      <c r="D76" s="806"/>
      <c r="E76" s="806"/>
      <c r="F76" s="806"/>
      <c r="G76" s="806"/>
      <c r="H76" s="806"/>
      <c r="I76" s="806"/>
      <c r="J76" s="806"/>
      <c r="K76" s="806"/>
      <c r="L76" s="806"/>
      <c r="M76" s="806"/>
      <c r="N76" s="806"/>
      <c r="O76" s="806"/>
      <c r="P76" s="806"/>
    </row>
    <row r="77" spans="1:16" s="38" customFormat="1">
      <c r="A77" s="5"/>
      <c r="B77" s="793" t="str">
        <f>"Tổng danh sách có"</f>
        <v>Tổng danh sách có</v>
      </c>
      <c r="C77" s="793"/>
      <c r="D77" s="793"/>
      <c r="E77" s="793"/>
      <c r="F77" s="804" t="str">
        <f>": "&amp;IF(MAX($A$11:$A$75)=1,0,MAX($A$11:$A$75))&amp;" SV"</f>
        <v>: 35 SV</v>
      </c>
      <c r="G77" s="804"/>
      <c r="L77" s="6"/>
      <c r="M77" s="6"/>
      <c r="N77" s="6"/>
      <c r="O77" s="6"/>
      <c r="P77" s="5"/>
    </row>
    <row r="78" spans="1:16" s="38" customFormat="1" ht="12.75" customHeight="1">
      <c r="A78" s="4"/>
      <c r="B78" s="782" t="str">
        <f>"Tổng số SV có điểm Giỏi từ 8,5 đ đến 10 đ"</f>
        <v>Tổng số SV có điểm Giỏi từ 8,5 đ đến 10 đ</v>
      </c>
      <c r="C78" s="782"/>
      <c r="D78" s="782"/>
      <c r="E78" s="782"/>
      <c r="F78" s="782" t="str">
        <f>": "&amp;COUNTIF($P$11:$P$75,"Giỏi")&amp;" SV"</f>
        <v>: 3 SV</v>
      </c>
      <c r="G78" s="782"/>
      <c r="H78" s="825" t="str">
        <f>IF(B11="","","("&amp;ROUND(COUNTIF($P$11:$P$75,"Giỏi")*100/MAX($A$11:$A$75),2)&amp;"%" &amp;")")</f>
        <v>(8.57%)</v>
      </c>
      <c r="I78" s="825"/>
      <c r="J78" s="789" t="str">
        <f>"Tổng số SV có điểm &gt;= 4 đ : "&amp;COUNTIF(O11:O75,"&gt;=4")&amp;" SV"&amp;" ("&amp;ROUND(COUNTIF(O11:O75,"&gt;=4")*100/IF(B11="",1,MAX($A$11:$A$75)),2)&amp;"%" &amp;")"</f>
        <v>Tổng số SV có điểm &gt;= 4 đ : 35 SV (100%)</v>
      </c>
      <c r="K78" s="789"/>
      <c r="L78" s="789"/>
      <c r="M78" s="789"/>
      <c r="N78" s="789"/>
      <c r="O78" s="789"/>
      <c r="P78" s="46"/>
    </row>
    <row r="79" spans="1:16" s="38" customFormat="1">
      <c r="A79" s="4"/>
      <c r="B79" s="782" t="str">
        <f>"Tổng số SV có điểm Khá từ 7 đ đến &lt;8,5 đ"</f>
        <v>Tổng số SV có điểm Khá từ 7 đ đến &lt;8,5 đ</v>
      </c>
      <c r="C79" s="782"/>
      <c r="D79" s="782"/>
      <c r="E79" s="782"/>
      <c r="F79" s="782" t="str">
        <f>": "&amp;COUNTIF($P$11:$P$75,"Khá")&amp;" SV"</f>
        <v>: 18 SV</v>
      </c>
      <c r="G79" s="782"/>
      <c r="H79" s="825" t="str">
        <f>IF(B11="","","("&amp;ROUND(COUNTIF($P$11:$P$75,"Khá")*100/MAX($A$11:$A$75),2)&amp;"%" &amp;")")</f>
        <v>(51.43%)</v>
      </c>
      <c r="I79" s="825"/>
      <c r="J79" s="789"/>
      <c r="K79" s="789"/>
      <c r="L79" s="789"/>
      <c r="M79" s="789"/>
      <c r="N79" s="789"/>
      <c r="O79" s="789"/>
      <c r="P79" s="46"/>
    </row>
    <row r="80" spans="1:16" s="38" customFormat="1">
      <c r="A80" s="4"/>
      <c r="B80" s="782" t="str">
        <f>"Tổng số SV có điểm Trung bình từ 5,5 đ đến &lt;7 đ"</f>
        <v>Tổng số SV có điểm Trung bình từ 5,5 đ đến &lt;7 đ</v>
      </c>
      <c r="C80" s="782"/>
      <c r="D80" s="782"/>
      <c r="E80" s="782"/>
      <c r="F80" s="782" t="str">
        <f>": "&amp;COUNTIF($P$11:$P$75,"TB")&amp;" SV"</f>
        <v>: 13 SV</v>
      </c>
      <c r="G80" s="782"/>
      <c r="H80" s="825" t="str">
        <f>IF(B11="","","("&amp;ROUND(COUNTIF($P$11:$P$75,"TB")*100/MAX($A$11:$A$75),2)&amp;"%" &amp;")")</f>
        <v>(37.14%)</v>
      </c>
      <c r="I80" s="825"/>
      <c r="J80" s="789"/>
      <c r="K80" s="789"/>
      <c r="L80" s="789"/>
      <c r="M80" s="789"/>
      <c r="N80" s="789"/>
      <c r="O80" s="789"/>
      <c r="P80" s="46"/>
    </row>
    <row r="81" spans="1:16" s="38" customFormat="1" ht="12.75" customHeight="1">
      <c r="A81" s="4"/>
      <c r="B81" s="782" t="str">
        <f>"Tổng số SV có điểm Trung bình yếu từ 4 đ đến &lt;5,5 đ"</f>
        <v>Tổng số SV có điểm Trung bình yếu từ 4 đ đến &lt;5,5 đ</v>
      </c>
      <c r="C81" s="782"/>
      <c r="D81" s="782"/>
      <c r="E81" s="782"/>
      <c r="F81" s="782" t="str">
        <f>": "&amp;COUNTIF($P$11:$P$75,"TBY")&amp;" SV"</f>
        <v>: 1 SV</v>
      </c>
      <c r="G81" s="782"/>
      <c r="H81" s="825" t="str">
        <f>IF(B11="","","("&amp;ROUND(COUNTIF($P$11:$P$75,"TBY")*100/MAX($A$11:$A$75),2)&amp;"%" &amp;")")</f>
        <v>(2.86%)</v>
      </c>
      <c r="I81" s="825"/>
      <c r="J81" s="794" t="str">
        <f>"Tổng số SV có điểm &lt; 4 đ : "&amp;COUNTIF(O11:O75,"&lt;4")&amp;" SV"&amp;" ("&amp;ROUND(COUNTIF(O11:O75,"&lt;4")*100/IF(B11="",1,MAX($A$11:$A$75)),2)&amp;"%" &amp;")"</f>
        <v>Tổng số SV có điểm &lt; 4 đ : 0 SV (0%)</v>
      </c>
      <c r="K81" s="794"/>
      <c r="L81" s="794"/>
      <c r="M81" s="794"/>
      <c r="N81" s="794"/>
      <c r="O81" s="794"/>
      <c r="P81" s="94"/>
    </row>
    <row r="82" spans="1:16" s="38" customFormat="1">
      <c r="A82" s="4"/>
      <c r="B82" s="782" t="str">
        <f>"Tổng số SV có điểm kém &lt;4 đ"</f>
        <v>Tổng số SV có điểm kém &lt;4 đ</v>
      </c>
      <c r="C82" s="782"/>
      <c r="D82" s="782"/>
      <c r="E82" s="782"/>
      <c r="F82" s="782" t="str">
        <f>": "&amp;COUNTIF($P$11:$P$75,"Kém")&amp;" SV"</f>
        <v>: 0 SV</v>
      </c>
      <c r="G82" s="782"/>
      <c r="H82" s="825" t="str">
        <f>IF(B11="","","("&amp;ROUND(COUNTIF($P$11:$P$75,"Kém")*100/MAX($A$11:$A$75),2)&amp;"%"&amp;")")</f>
        <v>(0%)</v>
      </c>
      <c r="I82" s="825"/>
      <c r="J82" s="794"/>
      <c r="K82" s="794"/>
      <c r="L82" s="794"/>
      <c r="M82" s="794"/>
      <c r="N82" s="794"/>
      <c r="O82" s="794"/>
      <c r="P82" s="94"/>
    </row>
    <row r="83" spans="1:16" s="38" customFormat="1">
      <c r="A83" s="4"/>
      <c r="B83" s="782" t="str">
        <f>"Tổng số SV không xếp loại vì chưa đủ điều kiện"</f>
        <v>Tổng số SV không xếp loại vì chưa đủ điều kiện</v>
      </c>
      <c r="C83" s="782"/>
      <c r="D83" s="782"/>
      <c r="E83" s="782"/>
      <c r="F83" s="782" t="str">
        <f>": "&amp;COUNTIF($P$11:$P$75,"KXL")&amp;" SV"</f>
        <v>: 0 SV</v>
      </c>
      <c r="G83" s="782"/>
      <c r="H83" s="825" t="str">
        <f>IF(B11="","","("&amp;ROUND(COUNTIF($P$11:$P$75,"KXL")*100/MAX($A$11:$A$75),2)&amp;"%"&amp;")")</f>
        <v>(0%)</v>
      </c>
      <c r="I83" s="825"/>
      <c r="J83" s="794"/>
      <c r="K83" s="794"/>
      <c r="L83" s="794"/>
      <c r="M83" s="794"/>
      <c r="N83" s="794"/>
      <c r="O83" s="794"/>
      <c r="P83" s="94"/>
    </row>
    <row r="84" spans="1:16" ht="15.75">
      <c r="B84" s="47"/>
      <c r="C84" s="47"/>
      <c r="D84" s="47"/>
      <c r="E84" s="47"/>
      <c r="F84" s="47"/>
      <c r="G84" s="47"/>
      <c r="H84" s="47"/>
      <c r="I84" s="47"/>
      <c r="J84" s="47"/>
      <c r="K84" s="47"/>
      <c r="L84" s="47"/>
      <c r="M84" s="47"/>
      <c r="N84" s="47"/>
    </row>
    <row r="85" spans="1:16" ht="15.75" customHeight="1">
      <c r="A85" s="781" t="s">
        <v>1427</v>
      </c>
      <c r="B85" s="781"/>
      <c r="C85" s="781"/>
      <c r="D85" s="781" t="s">
        <v>1515</v>
      </c>
      <c r="E85" s="781"/>
      <c r="F85" s="781"/>
      <c r="G85" s="781"/>
      <c r="H85" s="781"/>
      <c r="I85" s="84"/>
      <c r="J85" s="781" t="s">
        <v>1516</v>
      </c>
      <c r="K85" s="781"/>
      <c r="L85" s="781"/>
      <c r="M85" s="781"/>
      <c r="N85" s="781"/>
      <c r="O85" s="114"/>
      <c r="P85" s="114"/>
    </row>
    <row r="91" spans="1:16" ht="15.75" customHeight="1">
      <c r="A91" s="781"/>
      <c r="B91" s="781"/>
      <c r="C91" s="781"/>
      <c r="D91" s="781"/>
      <c r="E91" s="781"/>
      <c r="F91" s="781"/>
      <c r="G91" s="781"/>
      <c r="H91" s="781"/>
      <c r="I91" s="84"/>
      <c r="J91" s="781"/>
      <c r="K91" s="781"/>
      <c r="L91" s="781"/>
      <c r="M91" s="781"/>
      <c r="N91" s="781"/>
      <c r="O91" s="114"/>
      <c r="P91" s="114"/>
    </row>
  </sheetData>
  <sheetProtection password="E4CC" sheet="1" objects="1" scenarios="1" formatCells="0" formatRows="0"/>
  <mergeCells count="59">
    <mergeCell ref="A85:C85"/>
    <mergeCell ref="G7:I7"/>
    <mergeCell ref="J7:L7"/>
    <mergeCell ref="G6:I6"/>
    <mergeCell ref="K6:L6"/>
    <mergeCell ref="J9:J10"/>
    <mergeCell ref="K9:K10"/>
    <mergeCell ref="L9:L10"/>
    <mergeCell ref="E8:E10"/>
    <mergeCell ref="B77:E77"/>
    <mergeCell ref="F77:G77"/>
    <mergeCell ref="A76:P76"/>
    <mergeCell ref="B78:E78"/>
    <mergeCell ref="F78:G78"/>
    <mergeCell ref="B79:E79"/>
    <mergeCell ref="F79:G79"/>
    <mergeCell ref="G1:O1"/>
    <mergeCell ref="G2:O2"/>
    <mergeCell ref="A4:O4"/>
    <mergeCell ref="A5:O5"/>
    <mergeCell ref="G3:O3"/>
    <mergeCell ref="A1:F1"/>
    <mergeCell ref="A2:F2"/>
    <mergeCell ref="A3:F3"/>
    <mergeCell ref="P8:P10"/>
    <mergeCell ref="A8:A10"/>
    <mergeCell ref="C8:D10"/>
    <mergeCell ref="O8:O10"/>
    <mergeCell ref="M6:O6"/>
    <mergeCell ref="M9:M10"/>
    <mergeCell ref="H9:H10"/>
    <mergeCell ref="C6:F6"/>
    <mergeCell ref="F9:F10"/>
    <mergeCell ref="G9:G10"/>
    <mergeCell ref="F8:N8"/>
    <mergeCell ref="B8:B10"/>
    <mergeCell ref="I9:I10"/>
    <mergeCell ref="N9:N10"/>
    <mergeCell ref="H81:I81"/>
    <mergeCell ref="B81:E81"/>
    <mergeCell ref="F81:G81"/>
    <mergeCell ref="B80:E80"/>
    <mergeCell ref="F80:G80"/>
    <mergeCell ref="J78:O80"/>
    <mergeCell ref="J81:O83"/>
    <mergeCell ref="A91:C91"/>
    <mergeCell ref="D91:H91"/>
    <mergeCell ref="J91:N91"/>
    <mergeCell ref="H82:I82"/>
    <mergeCell ref="H83:I83"/>
    <mergeCell ref="D85:H85"/>
    <mergeCell ref="J85:N85"/>
    <mergeCell ref="H78:I78"/>
    <mergeCell ref="B82:E82"/>
    <mergeCell ref="F82:G82"/>
    <mergeCell ref="B83:E83"/>
    <mergeCell ref="F83:G83"/>
    <mergeCell ref="H79:I79"/>
    <mergeCell ref="H80:I80"/>
  </mergeCells>
  <phoneticPr fontId="12" type="noConversion"/>
  <conditionalFormatting sqref="O11:O75">
    <cfRule type="cellIs" dxfId="0" priority="1" stopIfTrue="1" operator="lessThan">
      <formula>4</formula>
    </cfRule>
  </conditionalFormatting>
  <printOptions horizontalCentered="1"/>
  <pageMargins left="0" right="0" top="0.25" bottom="0.39" header="0.25" footer="0.25"/>
  <pageSetup paperSize="9" scale="95" orientation="portrait"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19</vt:i4>
      </vt:variant>
      <vt:variant>
        <vt:lpstr>Named Ranges</vt:lpstr>
      </vt:variant>
      <vt:variant>
        <vt:i4>3</vt:i4>
      </vt:variant>
    </vt:vector>
  </HeadingPairs>
  <TitlesOfParts>
    <vt:vector size="22" baseType="lpstr">
      <vt:lpstr>Hướng dẫn</vt:lpstr>
      <vt:lpstr>TEN HOC PHAN HKI</vt:lpstr>
      <vt:lpstr>LOP-MON</vt:lpstr>
      <vt:lpstr>DS LOP HKI</vt:lpstr>
      <vt:lpstr>TK NỢ HP</vt:lpstr>
      <vt:lpstr>NH13-14</vt:lpstr>
      <vt:lpstr>TICH LUY</vt:lpstr>
      <vt:lpstr>HKI</vt:lpstr>
      <vt:lpstr>LT01</vt:lpstr>
      <vt:lpstr>LT02</vt:lpstr>
      <vt:lpstr>LT03</vt:lpstr>
      <vt:lpstr>LT04</vt:lpstr>
      <vt:lpstr>LT05</vt:lpstr>
      <vt:lpstr>LT06</vt:lpstr>
      <vt:lpstr>LT07</vt:lpstr>
      <vt:lpstr>LT08</vt:lpstr>
      <vt:lpstr>LT09</vt:lpstr>
      <vt:lpstr>TH01</vt:lpstr>
      <vt:lpstr>TH02</vt:lpstr>
      <vt:lpstr>'LT01'!Print_Titles</vt:lpstr>
      <vt:lpstr>'TH01'!Print_Titles</vt:lpstr>
      <vt:lpstr>'TH02'!Print_Titles</vt:lpstr>
    </vt:vector>
  </TitlesOfParts>
  <Company>Kiem Dinh</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Ha Phuoc Tuan</dc:creator>
  <cp:lastModifiedBy>user</cp:lastModifiedBy>
  <cp:lastPrinted>2014-12-08T01:08:45Z</cp:lastPrinted>
  <dcterms:created xsi:type="dcterms:W3CDTF">2013-11-25T08:47:36Z</dcterms:created>
  <dcterms:modified xsi:type="dcterms:W3CDTF">2015-02-04T09:09:26Z</dcterms:modified>
</cp:coreProperties>
</file>